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508081-A274-4964-BEDF-D50CC21A8ECF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<sst xmlns="http://schemas.openxmlformats.org/spreadsheetml/2006/main" count="2061" uniqueCount="829">
  <si>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</si>
  <si>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</si>
  <si>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</si>
  <si>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</si>
  <si>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</si>
  <si>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</si>
  <si>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</si>
  <si>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</si>
  <si>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</si>
  <si>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</si>
  <si>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</si>
  <si>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</si>
  <si>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</si>
  <si>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</si>
  <si>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</si>
  <si>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</si>
  <si>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</si>
  <si>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</si>
  <si>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</si>
  <si>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</si>
  <si>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</si>
  <si>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</si>
  <si>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</si>
  <si>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</si>
  <si>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</si>
  <si>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</si>
  <si>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</si>
  <si>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</si>
  <si>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</si>
  <si>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</si>
  <si>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</si>
  <si>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</si>
  <si>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</si>
  <si>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</si>
  <si>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</si>
  <si>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</si>
  <si>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</si>
  <si>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</si>
  <si>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</si>
  <si>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</si>
  <si>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</si>
  <si>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</si>
  <si>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</si>
  <si>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</si>
  <si>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</si>
  <si>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</si>
  <si>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</si>
  <si>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</si>
  <si>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</si>
  <si>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</si>
  <si>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</si>
  <si>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</si>
  <si>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</si>
  <si>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</si>
  <si>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</si>
  <si>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</si>
  <si>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</si>
  <si>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</si>
  <si>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</si>
  <si>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</si>
  <si>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</si>
  <si>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</si>
  <si>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</si>
  <si>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</si>
  <si>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</si>
  <si>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</si>
  <si>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</si>
  <si>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</si>
  <si>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</si>
  <si>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</si>
  <si>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</si>
  <si>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</si>
  <si>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</si>
  <si>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</si>
  <si>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</si>
  <si>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</si>
  <si>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</si>
  <si>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</si>
  <si>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</si>
  <si>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</si>
  <si>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</si>
  <si>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</si>
  <si>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</si>
  <si>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</si>
  <si>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</si>
  <si>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</si>
  <si>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</si>
  <si>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</si>
  <si>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</si>
  <si>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</si>
  <si>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</si>
  <si>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</si>
  <si>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</si>
  <si>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</si>
  <si>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</si>
  <si>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</si>
  <si>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</si>
  <si>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</si>
  <si>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</si>
  <si>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</si>
  <si>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</si>
  <si>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</si>
  <si>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</si>
  <si>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</si>
  <si>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</si>
  <si>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</si>
  <si>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</si>
  <si>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</si>
  <si>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</si>
  <si>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</si>
  <si>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</si>
  <si>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</si>
  <si>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</si>
  <si>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</si>
  <si>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</si>
  <si>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</si>
  <si>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</si>
  <si>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</si>
  <si>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</si>
  <si>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</si>
  <si>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</si>
  <si>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</si>
  <si>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</si>
  <si>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</si>
  <si>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</si>
  <si>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</si>
  <si>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</si>
  <si>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</si>
  <si>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</si>
  <si>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</si>
  <si>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</si>
  <si>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</si>
  <si>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</si>
  <si>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</si>
  <si>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</si>
  <si>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</si>
  <si>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</si>
  <si>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</si>
  <si>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</si>
  <si>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</si>
  <si>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</si>
  <si>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</si>
  <si>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</si>
  <si>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</si>
  <si>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</si>
  <si>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</si>
  <si>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</si>
  <si>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</si>
  <si>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</si>
  <si>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</si>
  <si>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</si>
  <si>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</si>
  <si>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</si>
  <si>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</si>
  <si>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</si>
  <si>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</si>
  <si>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</si>
  <si>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</si>
  <si>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</si>
  <si>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</si>
  <si>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</si>
  <si>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</si>
  <si>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</si>
  <si>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</si>
  <si>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</si>
  <si>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</si>
  <si>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</si>
  <si>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</si>
  <si>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</si>
  <si>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</si>
  <si>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</si>
  <si>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</si>
  <si>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</si>
  <si>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</si>
  <si>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</si>
  <si>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</si>
  <si>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</si>
  <si>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</si>
  <si>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</si>
  <si>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</si>
  <si>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</si>
  <si>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</si>
  <si>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</si>
  <si>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</si>
  <si>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</si>
  <si>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</si>
  <si>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</si>
  <si>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</si>
  <si>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</si>
  <si>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</si>
  <si>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</si>
  <si>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</si>
  <si>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</si>
  <si>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</si>
  <si>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</si>
  <si>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</si>
  <si>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</si>
  <si>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</si>
  <si>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</si>
  <si>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</si>
  <si>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</si>
  <si>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</si>
  <si>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</si>
  <si>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</si>
  <si>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</si>
  <si>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</si>
  <si>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</si>
  <si>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</si>
  <si>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</si>
  <si>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</si>
  <si>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</si>
  <si>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</si>
  <si>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</si>
  <si>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</si>
  <si>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</si>
  <si>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</si>
  <si>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</si>
  <si>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</si>
  <si>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</si>
  <si>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</si>
  <si>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</si>
  <si>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</si>
  <si>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</si>
  <si>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</si>
  <si>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</si>
  <si>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</si>
  <si>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</si>
  <si>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</si>
  <si>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</si>
  <si>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</si>
  <si>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</si>
  <si>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</si>
  <si>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</si>
  <si>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</si>
  <si>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</si>
  <si>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</si>
  <si>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</si>
  <si>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</si>
  <si>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</si>
  <si>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</si>
  <si>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</si>
  <si>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</si>
  <si>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</si>
  <si>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</si>
  <si>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</si>
  <si>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</si>
  <si>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</si>
  <si>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</si>
  <si>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</si>
  <si>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</si>
  <si>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</si>
  <si>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</si>
  <si>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</si>
  <si>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</si>
  <si>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</si>
  <si>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</si>
  <si>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</si>
  <si>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</si>
  <si>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</si>
  <si>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</si>
  <si>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</si>
  <si>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</si>
  <si>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</si>
  <si>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</si>
  <si>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</si>
  <si>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</si>
  <si>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</si>
  <si>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</si>
  <si>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</si>
  <si>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</si>
  <si>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</si>
  <si>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</si>
  <si>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</si>
  <si>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</si>
  <si>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</si>
  <si>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</si>
  <si>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</si>
  <si>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</si>
  <si>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</si>
  <si>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</si>
  <si>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</si>
  <si>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</si>
  <si>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</si>
  <si>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</si>
  <si>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</si>
  <si>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</si>
  <si>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</si>
  <si>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</si>
  <si>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</si>
  <si>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</si>
  <si>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</si>
  <si>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</si>
  <si>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</si>
  <si>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</si>
  <si>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</si>
  <si>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</si>
  <si>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</si>
  <si>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</si>
  <si>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</si>
  <si>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</si>
  <si>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</si>
  <si>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</si>
  <si>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</si>
  <si>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</si>
  <si>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</si>
  <si>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</si>
  <si>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</si>
  <si>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</si>
  <si>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</si>
  <si>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</si>
  <si>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</si>
  <si>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</si>
  <si>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</si>
  <si>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</si>
  <si>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</si>
  <si>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</si>
  <si>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</si>
  <si>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</si>
  <si>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</si>
  <si>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</si>
  <si>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</si>
  <si>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</si>
  <si>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</si>
  <si>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</si>
  <si>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</si>
  <si>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</si>
  <si>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</si>
  <si>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</si>
  <si>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</si>
  <si>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</si>
  <si>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</si>
  <si>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</si>
  <si>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</si>
  <si>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</si>
  <si>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</si>
  <si>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</si>
  <si>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</si>
  <si>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</si>
  <si>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</si>
  <si>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</si>
  <si>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</si>
  <si>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</si>
  <si>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</si>
  <si>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</si>
  <si>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</si>
  <si>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</si>
  <si>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</si>
  <si>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</si>
  <si>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</si>
  <si>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</si>
  <si>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</si>
  <si>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</si>
  <si>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</si>
  <si>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</si>
  <si>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</si>
  <si>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</si>
  <si>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</si>
  <si>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</si>
  <si>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</si>
  <si>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</si>
  <si>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</si>
  <si>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</si>
  <si>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</si>
  <si>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</si>
  <si>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</si>
  <si>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</si>
  <si>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</si>
  <si>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</si>
  <si>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</si>
  <si>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</si>
  <si>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</si>
  <si>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</si>
  <si>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</si>
  <si>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</si>
  <si>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</si>
  <si>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</si>
  <si>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</si>
  <si>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</si>
  <si>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</si>
  <si>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</si>
  <si>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</si>
  <si>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</si>
  <si>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</si>
  <si>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</si>
  <si>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</si>
  <si>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</si>
  <si>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</si>
  <si>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</si>
  <si>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</si>
  <si>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</si>
  <si>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</si>
  <si>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</si>
  <si>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</si>
  <si>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</si>
  <si>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</si>
  <si>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</si>
  <si>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</si>
  <si>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</si>
  <si>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</si>
  <si>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</si>
  <si>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</si>
  <si>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</si>
  <si>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</si>
  <si>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</si>
  <si>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</si>
  <si>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</si>
  <si>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</si>
  <si>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</si>
  <si>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</si>
  <si>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</si>
  <si>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</si>
  <si>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</si>
  <si>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</si>
  <si>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</si>
  <si>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</si>
  <si>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</si>
  <si>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</si>
  <si>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</si>
  <si>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</si>
  <si>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</si>
  <si>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</si>
  <si>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</si>
  <si>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</si>
  <si>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</si>
  <si>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</si>
  <si>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</si>
  <si>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</si>
  <si>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</si>
  <si>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</si>
  <si>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</si>
  <si>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</si>
  <si>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</si>
  <si>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</si>
  <si>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</si>
  <si>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</si>
  <si>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</si>
  <si>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</si>
  <si>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</si>
  <si>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</si>
  <si>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</si>
  <si>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</si>
  <si>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</si>
  <si>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</si>
  <si>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</si>
  <si>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</si>
  <si>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</si>
  <si>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</si>
  <si>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</si>
  <si>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</si>
  <si>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</si>
  <si>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</si>
  <si>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</si>
  <si>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</si>
  <si>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</si>
  <si>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</si>
  <si>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</si>
  <si>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</si>
  <si>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</si>
  <si>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</si>
  <si>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</si>
  <si>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</si>
  <si>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</si>
  <si>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</si>
  <si>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</si>
  <si>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</si>
  <si>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</si>
  <si>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</si>
  <si>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</si>
  <si>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</si>
  <si>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</si>
  <si>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</si>
  <si>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</si>
  <si>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</si>
  <si>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</si>
  <si>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</si>
  <si>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</si>
  <si>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</si>
  <si>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</si>
  <si>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</si>
  <si>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</si>
  <si>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</si>
  <si>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</si>
  <si>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</si>
  <si>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</si>
  <si>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</si>
  <si>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</si>
  <si>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</si>
  <si>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</si>
  <si>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</si>
  <si>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</si>
  <si>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</si>
  <si>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</si>
  <si>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</si>
  <si>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</si>
  <si>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</si>
  <si>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</si>
  <si>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</si>
  <si>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</si>
  <si>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</si>
  <si>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</si>
  <si>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</si>
  <si>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</si>
  <si>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</si>
  <si>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</si>
  <si>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</si>
  <si>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</si>
  <si>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</si>
  <si>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</si>
  <si>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</si>
  <si>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</si>
  <si>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</si>
  <si>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</si>
  <si>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</si>
  <si>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</si>
  <si>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</si>
  <si>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</si>
  <si>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</si>
  <si>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</si>
  <si>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</si>
  <si>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</si>
  <si>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</si>
  <si>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</si>
  <si>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</si>
  <si>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</si>
  <si>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</si>
  <si>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</si>
  <si>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</si>
  <si>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</si>
  <si>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</si>
  <si>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</si>
  <si>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</si>
  <si>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</si>
  <si>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</si>
  <si>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</si>
  <si>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</si>
  <si>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</si>
  <si>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</si>
  <si>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</si>
  <si>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</si>
  <si>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</si>
  <si>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</si>
  <si>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</si>
  <si>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</si>
  <si>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</si>
  <si>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</si>
  <si>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</si>
  <si>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</si>
  <si>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</si>
  <si>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</si>
  <si>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</si>
  <si>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</si>
  <si>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</si>
  <si>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</si>
  <si>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</si>
  <si>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</si>
  <si>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</si>
  <si>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</si>
  <si>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</si>
  <si>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</si>
  <si>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</si>
  <si>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</si>
  <si>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</si>
  <si>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</si>
  <si>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</si>
  <si>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</si>
  <si>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</si>
  <si>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</si>
  <si>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</si>
  <si>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</si>
  <si>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</si>
  <si>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</si>
  <si>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</si>
  <si>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</si>
  <si>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</si>
  <si>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</si>
  <si>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</si>
  <si>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</si>
  <si>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</si>
  <si>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</si>
  <si>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</si>
  <si>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</si>
  <si>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</si>
  <si>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</si>
  <si>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</si>
  <si>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</si>
  <si>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</si>
  <si>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</si>
  <si>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</si>
  <si>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</si>
  <si>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</si>
  <si>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</si>
  <si>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</si>
  <si>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</si>
  <si>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</si>
  <si>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</si>
  <si>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</si>
  <si>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</si>
  <si>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</si>
  <si>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</si>
  <si>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</si>
  <si>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</si>
  <si>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</si>
  <si>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</si>
  <si>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</si>
  <si>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</si>
  <si>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</si>
  <si>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</si>
  <si>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</si>
  <si>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</si>
  <si>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</si>
  <si>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</si>
  <si>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</si>
  <si>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</si>
  <si>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</si>
  <si>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</si>
  <si>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</si>
  <si>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</si>
  <si>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</si>
  <si>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</si>
  <si>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</si>
  <si>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</si>
  <si>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</si>
  <si>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</si>
  <si>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</si>
  <si>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</si>
  <si>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</si>
  <si>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</si>
  <si>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</si>
  <si>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</si>
  <si>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</si>
  <si>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</si>
  <si>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</si>
  <si>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</si>
  <si>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</si>
  <si>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</si>
  <si>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</si>
  <si>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</si>
  <si>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</si>
  <si>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</si>
  <si>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</si>
  <si>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</si>
  <si>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</si>
  <si>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</si>
  <si>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</si>
  <si>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</si>
  <si>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</si>
  <si>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</si>
  <si>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</si>
  <si>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</si>
  <si>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</si>
  <si>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</si>
  <si>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</si>
  <si>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</si>
  <si>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</si>
  <si>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</si>
  <si>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</si>
  <si>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</si>
  <si>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</si>
  <si>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</si>
  <si>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</si>
  <si>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</si>
  <si>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</si>
  <si>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</si>
  <si>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</si>
  <si>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</si>
  <si>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</si>
  <si>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</si>
  <si>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</si>
  <si>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</si>
  <si>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</si>
  <si>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</si>
  <si>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</si>
  <si>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</si>
  <si>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</si>
  <si>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</si>
  <si>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</si>
  <si>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</si>
  <si>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</si>
  <si>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</si>
  <si>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</si>
  <si>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</si>
  <si>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</si>
  <si>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</si>
  <si>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</si>
  <si>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</si>
  <si>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</si>
  <si>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</si>
  <si>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</si>
  <si>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</si>
  <si>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</si>
  <si>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</si>
  <si>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</si>
  <si>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</si>
  <si>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</si>
  <si>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</si>
  <si>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</si>
  <si>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</si>
  <si>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</si>
  <si>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</si>
  <si>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</si>
  <si>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</si>
  <si>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</si>
  <si>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</si>
  <si>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</si>
  <si>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</si>
  <si>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</si>
  <si>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</si>
  <si>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</si>
  <si>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</si>
  <si>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</si>
  <si>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</si>
  <si>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</si>
  <si>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</si>
  <si>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</si>
  <si>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</si>
  <si>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</si>
  <si>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</si>
  <si>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</si>
  <si>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</si>
  <si>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</si>
  <si>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</si>
  <si>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</si>
  <si>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</si>
  <si>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</si>
  <si>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</si>
  <si>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</si>
  <si>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</si>
  <si>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</si>
  <si>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</si>
  <si>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</si>
  <si>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</si>
  <si>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</si>
  <si>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</si>
  <si>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</si>
  <si>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</si>
  <si>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</si>
  <si>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</si>
  <si>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</si>
  <si>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</si>
  <si>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</si>
  <si>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</si>
  <si>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</si>
  <si>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</si>
  <si>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</si>
  <si>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</si>
  <si>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</si>
  <si>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</si>
  <si>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</si>
  <si>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</si>
  <si>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</si>
  <si>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</si>
  <si>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</si>
  <si>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</si>
  <si>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</si>
  <si>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</si>
  <si>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</si>
  <si>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</si>
  <si>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</si>
  <si>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</si>
  <si>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</si>
  <si>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</si>
  <si>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</si>
  <si>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</si>
  <si>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</si>
  <si>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</si>
  <si>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</si>
  <si>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</si>
  <si>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</si>
  <si>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</si>
  <si>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</si>
  <si>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</si>
  <si>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</si>
  <si>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</si>
  <si>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</si>
  <si>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</si>
  <si>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</si>
  <si>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</si>
  <si>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</si>
  <si>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</si>
  <si>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</si>
  <si>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</si>
  <si>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</si>
  <si>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</si>
  <si>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</si>
  <si>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</si>
  <si>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</si>
  <si>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</si>
  <si>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</si>
  <si>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</si>
  <si>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</si>
  <si>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</si>
  <si>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</si>
  <si>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</si>
  <si>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</si>
  <si>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</si>
  <si>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</si>
  <si>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</si>
  <si>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</si>
  <si>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</si>
  <si>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</si>
  <si>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</si>
  <si>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</si>
  <si>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</si>
  <si>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SUNNY.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</si>
  <si>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</si>
  <si>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</si>
  <si>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</si>
  <si>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</si>
  <si>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</si>
  <si>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</si>
  <si>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</si>
  <si>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</si>
  <si>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</si>
  <si>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</si>
  <si>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</si>
  <si>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</si>
  <si>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</si>
  <si>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</si>
  <si>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</si>
  <si>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 xml:space="preserve"> OVERNIGHT…MOSTLY CLOUDY. A 40% CHANCE OF RAIN.</t>
  </si>
  <si>
    <t>MOSTLY CLOUDY THIS A.M…BECOMING PARTLY SUNNY BY P.M. N.E. WINDS 5/10 MPH</t>
  </si>
  <si>
    <t>OVERNIGHT…PARTLY CLOUDY. LIGHT NORTH WINDS.</t>
  </si>
  <si>
    <t>PARTLY CLOUDY WITH A 30% CHANCE OF P.M. SHOWERS…COOLER NEAR LAKE. OVE</t>
  </si>
  <si>
    <t>RNIGHT…BECOMING FAIR.</t>
  </si>
  <si>
    <t>SUNNY…BUT COOLER NEAR THE LAKE.</t>
  </si>
  <si>
    <t>PARTLY CLOUDY…BUT COOLER NEAR THE LAKE.</t>
  </si>
  <si>
    <t>Deliveries to Alleghney(Wilton)</t>
  </si>
  <si>
    <t xml:space="preserve">Ave Wind </t>
  </si>
  <si>
    <t>Wisvest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</si>
</sst>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5" xfId="0" applyNumberFormat="1" applyFont="1" applyFill="1" applyBorder="1" applyAlignment="1"/>
    <xf numFmtId="0" fontId="29" fillId="0" borderId="166" xfId="0" applyFont="1" applyFill="1" applyBorder="1" applyAlignment="1"/>
    <xf numFmtId="167" fontId="29" fillId="0" borderId="166" xfId="0" applyNumberFormat="1" applyFont="1" applyFill="1" applyBorder="1" applyAlignment="1"/>
    <xf numFmtId="166" fontId="29" fillId="0" borderId="167" xfId="0" applyNumberFormat="1" applyFont="1" applyFill="1" applyBorder="1" applyAlignment="1"/>
    <xf numFmtId="166" fontId="29" fillId="0" borderId="168" xfId="0" applyNumberFormat="1" applyFont="1" applyFill="1" applyBorder="1" applyAlignment="1"/>
    <xf numFmtId="167" fontId="29" fillId="0" borderId="167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9" xfId="0" applyBorder="1"/>
    <xf numFmtId="0" fontId="56" fillId="0" borderId="170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3" xfId="0" applyNumberFormat="1" applyBorder="1"/>
    <xf numFmtId="166" fontId="0" fillId="0" borderId="174" xfId="0" applyNumberFormat="1" applyBorder="1"/>
    <xf numFmtId="166" fontId="0" fillId="3" borderId="111" xfId="0" applyNumberFormat="1" applyFill="1" applyBorder="1"/>
    <xf numFmtId="166" fontId="0" fillId="3" borderId="174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5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6" xfId="0" applyNumberFormat="1" applyFont="1" applyFill="1" applyBorder="1" applyProtection="1"/>
    <xf numFmtId="166" fontId="57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8" xfId="0" applyNumberFormat="1" applyFont="1" applyFill="1" applyBorder="1" applyProtection="1"/>
    <xf numFmtId="167" fontId="11" fillId="0" borderId="169" xfId="0" applyNumberFormat="1" applyFont="1" applyBorder="1"/>
    <xf numFmtId="167" fontId="11" fillId="0" borderId="181" xfId="0" applyNumberFormat="1" applyFont="1" applyBorder="1"/>
    <xf numFmtId="172" fontId="29" fillId="0" borderId="65" xfId="0" applyNumberFormat="1" applyFont="1" applyBorder="1"/>
    <xf numFmtId="166" fontId="0" fillId="0" borderId="173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3" xfId="0" applyFont="1" applyBorder="1"/>
    <xf numFmtId="0" fontId="31" fillId="0" borderId="174" xfId="0" applyFont="1" applyBorder="1"/>
    <xf numFmtId="0" fontId="31" fillId="0" borderId="183" xfId="0" applyFont="1" applyBorder="1"/>
    <xf numFmtId="0" fontId="29" fillId="0" borderId="173" xfId="0" applyFont="1" applyBorder="1"/>
    <xf numFmtId="0" fontId="0" fillId="0" borderId="173" xfId="0" applyBorder="1"/>
    <xf numFmtId="0" fontId="31" fillId="6" borderId="18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5" xfId="0" applyFont="1" applyFill="1" applyBorder="1" applyAlignment="1">
      <alignment horizontal="left"/>
    </xf>
    <xf numFmtId="0" fontId="30" fillId="6" borderId="169" xfId="0" applyFont="1" applyFill="1" applyBorder="1" applyAlignment="1">
      <alignment horizontal="left"/>
    </xf>
    <xf numFmtId="0" fontId="28" fillId="6" borderId="169" xfId="0" quotePrefix="1" applyFont="1" applyFill="1" applyBorder="1" applyAlignment="1">
      <alignment horizontal="center"/>
    </xf>
    <xf numFmtId="0" fontId="6" fillId="5" borderId="169" xfId="0" applyFont="1" applyFill="1" applyBorder="1"/>
    <xf numFmtId="0" fontId="28" fillId="6" borderId="185" xfId="0" applyFont="1" applyFill="1" applyBorder="1" applyAlignment="1">
      <alignment horizontal="centerContinuous"/>
    </xf>
    <xf numFmtId="0" fontId="28" fillId="6" borderId="169" xfId="0" applyFont="1" applyFill="1" applyBorder="1" applyAlignment="1">
      <alignment horizontal="centerContinuous"/>
    </xf>
    <xf numFmtId="0" fontId="31" fillId="6" borderId="169" xfId="0" applyFont="1" applyFill="1" applyBorder="1" applyAlignment="1">
      <alignment horizontal="centerContinuous"/>
    </xf>
    <xf numFmtId="0" fontId="31" fillId="6" borderId="181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6" xfId="0" applyBorder="1"/>
    <xf numFmtId="0" fontId="0" fillId="0" borderId="107" xfId="0" applyBorder="1"/>
    <xf numFmtId="0" fontId="16" fillId="0" borderId="86" xfId="0" applyFont="1" applyBorder="1"/>
    <xf numFmtId="0" fontId="16" fillId="0" borderId="187" xfId="0" applyFont="1" applyBorder="1"/>
    <xf numFmtId="0" fontId="0" fillId="0" borderId="142" xfId="0" applyBorder="1"/>
    <xf numFmtId="0" fontId="0" fillId="0" borderId="188" xfId="0" applyBorder="1"/>
    <xf numFmtId="0" fontId="0" fillId="0" borderId="46" xfId="0" applyBorder="1"/>
    <xf numFmtId="0" fontId="0" fillId="0" borderId="183" xfId="0" applyBorder="1"/>
    <xf numFmtId="0" fontId="0" fillId="0" borderId="165" xfId="0" applyBorder="1"/>
    <xf numFmtId="0" fontId="0" fillId="0" borderId="174" xfId="0" applyBorder="1"/>
    <xf numFmtId="0" fontId="0" fillId="0" borderId="125" xfId="0" applyBorder="1"/>
    <xf numFmtId="0" fontId="0" fillId="0" borderId="189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0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5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89" xfId="0" applyFont="1" applyBorder="1" applyAlignment="1">
      <alignment horizontal="left"/>
    </xf>
    <xf numFmtId="0" fontId="29" fillId="0" borderId="191" xfId="0" applyFont="1" applyBorder="1" applyAlignment="1">
      <alignment horizontal="left"/>
    </xf>
    <xf numFmtId="179" fontId="11" fillId="2" borderId="192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9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3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4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4" xfId="0" applyFont="1" applyFill="1" applyBorder="1" applyAlignment="1" applyProtection="1">
      <alignment horizontal="left"/>
    </xf>
    <xf numFmtId="0" fontId="57" fillId="2" borderId="195" xfId="0" applyFont="1" applyFill="1" applyBorder="1" applyProtection="1"/>
    <xf numFmtId="2" fontId="57" fillId="2" borderId="196" xfId="0" applyNumberFormat="1" applyFont="1" applyFill="1" applyBorder="1" applyProtection="1"/>
    <xf numFmtId="2" fontId="57" fillId="2" borderId="197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8" xfId="0" applyFont="1" applyFill="1" applyBorder="1"/>
    <xf numFmtId="0" fontId="0" fillId="0" borderId="111" xfId="0" applyBorder="1"/>
    <xf numFmtId="0" fontId="0" fillId="0" borderId="199" xfId="0" applyBorder="1"/>
    <xf numFmtId="0" fontId="16" fillId="0" borderId="200" xfId="0" applyFont="1" applyBorder="1"/>
    <xf numFmtId="0" fontId="0" fillId="0" borderId="67" xfId="0" applyBorder="1"/>
    <xf numFmtId="0" fontId="0" fillId="0" borderId="20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2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B8B7145-0434-DE38-B220-36EB96467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FF530B4-81CA-4255-DB47-A7F14E87B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E495244-6CF7-E2FF-082E-FCA94BD927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0799045-A15F-84D0-C09B-32930AC58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E14591B-6785-E59F-9A68-049E90106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9CD4F238-F4AC-FE09-7695-02D8F8894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86208188-88D6-AC35-1627-28DA3A4B9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2E77C88D-D6BD-76D0-6FC6-49F02C14E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BABE6A7-C80B-6400-15E6-A373DF7B4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DE82B55-C6C0-ECFA-FAE7-5FC39ED39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A288DFBD-57D6-8A14-DD81-093E7BF29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D36BFDD-9E96-655B-1D2E-1864DA5B1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AC767E8-6038-028D-12AE-1241211423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21F9C50F-BA49-B114-0EB4-19291504D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D33E50A-D1C6-FCAD-9978-C37ABDEF14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877B18FA-1769-071A-9243-35A553AE0A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8DA6882-DF94-95A3-B5FF-4C1082FAA6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7597E198-5402-B9E8-826A-D23A63525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875E294D-A233-44C6-696F-C3CBEC39E1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99269861-03AF-5969-914D-A598853FF1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4AC9A778-80F7-B2FB-D0EF-A9A7F53B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CAA07BF4-0913-7001-CE42-55DE3BE9E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FFB5B2B7-6B77-BAAF-729D-7F9F997BA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2A64863F-C76D-2372-B89C-439ECA2EB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ABDE5AF2-9478-18A3-19A7-6854E5DF3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5D545C4E-AEC7-018E-385A-BDF04CB0E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47FD7883-4D6C-0C48-566E-F9F35978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3EA3FF4E-0FD0-2170-5EA6-1777B080A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D285E9EF-39DC-0C22-B9F7-606848AA4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07973787-DA1D-FB15-A349-D647B322C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A1AAF868-6210-850F-056B-F5D59374F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1C52D22-0382-D823-B232-CFF9D0DBD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1903AA26-EFD9-B27A-265A-A2B27E7EE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13459317-54FF-5880-9C99-0A7200CD6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C01C787E-03B9-5E6B-80FA-CA6F2D3BA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08CF0256-604D-6381-35E1-C8578906C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75FF2C71-166F-4E96-6617-E4725EB7B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23DF8611-805E-C693-774D-8EDE3B5E0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BDF54876-0530-2A97-9A7C-67D78471A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43B4ECBD-3C48-AD5F-1DE0-6D2985C47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1B812E8A-9BEC-B2E9-237B-9D7E9D58E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8F139A10-0A64-DCA3-96B9-62AD48F83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D32016B4-F2A6-4C1F-6E71-310411B42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6ED12A3B-57A8-88B7-6A53-5E2411B2B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27" name="Day_1">
          <a:extLst>
            <a:ext uri="{FF2B5EF4-FFF2-40B4-BE49-F238E27FC236}">
              <a16:creationId xmlns:a16="http://schemas.microsoft.com/office/drawing/2014/main" id="{64270095-A689-2787-6710-B43AC5E0C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28" name="Day_2">
          <a:extLst>
            <a:ext uri="{FF2B5EF4-FFF2-40B4-BE49-F238E27FC236}">
              <a16:creationId xmlns:a16="http://schemas.microsoft.com/office/drawing/2014/main" id="{1D4E7E3B-461A-CC42-0FED-4E155E277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29" name="Day_3">
          <a:extLst>
            <a:ext uri="{FF2B5EF4-FFF2-40B4-BE49-F238E27FC236}">
              <a16:creationId xmlns:a16="http://schemas.microsoft.com/office/drawing/2014/main" id="{B72A9B89-0537-6B16-72A8-86B5F7C32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30" name="Day_4">
          <a:extLst>
            <a:ext uri="{FF2B5EF4-FFF2-40B4-BE49-F238E27FC236}">
              <a16:creationId xmlns:a16="http://schemas.microsoft.com/office/drawing/2014/main" id="{8AFD0DE8-3388-EA51-2DC0-E5F077618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31" name="Day_5">
          <a:extLst>
            <a:ext uri="{FF2B5EF4-FFF2-40B4-BE49-F238E27FC236}">
              <a16:creationId xmlns:a16="http://schemas.microsoft.com/office/drawing/2014/main" id="{BC72057F-C7AB-6A52-2975-CBFEF9C9A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32" name="Day_6">
          <a:extLst>
            <a:ext uri="{FF2B5EF4-FFF2-40B4-BE49-F238E27FC236}">
              <a16:creationId xmlns:a16="http://schemas.microsoft.com/office/drawing/2014/main" id="{429E5A7F-FD97-26D1-A507-7B6BD6EB8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9434AFA1-DC38-43A9-4953-BF3980FF2F25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0A76968A-A88F-1D95-C781-A00BA8A0AEFB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E98AD589-C796-D61A-65AA-59EAF81202DB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C3E4DA43-E3D9-8433-71C7-73F1F6CF7A5F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093E326A-DC69-4F60-B0AC-AD58D9564F72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F237F37B-423B-48C0-CB84-2AAF03AD7F8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119F3E7-7638-229A-6595-3441F1D5088C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DD979E63-FCF0-996C-5520-B24C63CA2323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8CDE0740-702F-2D38-C3D1-805820A15953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7C9EC472-77C4-911F-A07B-C244D99BC030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83CF5053-0E18-C00B-1FB1-BBF77C73C41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ACD6601C-5D95-5C84-8050-F1A4641245F0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DC31ED24-4DC3-6D2A-2378-571A792D22E9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4FCD2BA4-0D0E-A566-6B8A-1159D13A5F1B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4CE97402-B54B-B3CD-049A-3CCF41B0A1BD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AAF0729D-0378-D3B7-0569-F78F256714B5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93894879-0EDE-A048-E4A0-0AAC1E943B45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C707641A-81A4-9ED9-8C42-41FC4D7F114D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DCE2263D-145A-D4AA-D866-5B737894C595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72360BDD-803B-6138-9F54-B231CC52F36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BDA4F323-07BD-E851-E7A6-4F0FB45C0C23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46A85F6B-85A9-B463-B4A6-FE99792F4EE0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6314F5F2-1D89-B1CC-D980-D8800A182A01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2682621C-141E-ABE2-FA3D-D6B3E655CEFA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14509494-EFA5-461E-E4F5-584605EE48DD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06B08A7D-8E8D-E747-71CB-57E93A0DB474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6CE127E4-4793-00C9-B446-808EC9DBDF39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BB6017BA-9ED2-0C51-ECCF-D02AF7EF687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1DEA4525-23B5-5AEC-F7EB-DD42678700A1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CE3EEC25-A521-26DD-43E4-F8C70282F828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F3E9E655-56FA-5285-0BC2-0DCFA7C1EC3A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5C5CDC26-D6EE-2CB3-EEDF-5851C5D63B06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9192678A-BE05-9479-F185-80CBDC46D8C6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4DA443D7-7282-D522-4551-C38DE2B21DB3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F7CDD1B5-6C64-9E86-983C-E3CE662551E8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FC8E36EF-E39E-759B-FF64-1D75504E9EA2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2ADAC874-B272-13EC-7980-3AAFAC25B2FA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DBD3F784-1255-0592-BD3A-C5023E509317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F2D36B33-1897-01B1-265A-4C0E1E0D1011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2C3DF9FF-FC26-63A9-3F28-920751481AF8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1F14494A-857C-234F-C809-52BA8234CE31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4BD23FFA-B571-926F-EDFF-10A47C898C19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194CD0C8-8858-BA3A-409B-3024B7C4DE70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5380100E-E5D5-103B-6864-36C941A5D077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4363206-87D0-3404-6848-CDD367BF8E96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14EED8DB-8EDB-A041-554B-B8E1BE77FB8A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2E2DC048-6AB4-F2F1-76CB-D96918A35C91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1D720C88-ED17-C89C-027A-4F808C55F2C3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C50E62C6-ECFF-E481-139E-9A09656F68AC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4045F63E-888C-09A1-0D10-844E824D246F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941D1153-A9FC-9CBE-93DD-5FC077D7102E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E0D3219A-8FB2-5EAF-F11B-C4DBF7FDF35A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42BAD325-A222-08E1-D1B2-292D3CA79392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651F427F-E38C-D61F-3E40-DAA5E862F266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479F9727-49AA-EAD1-466E-9793BED9297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CC039610-76E9-B31C-43CE-F1F5695DBDFC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3E61C545-628B-2676-7CA9-18C5CE8B875B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5B377366-00D4-69ED-FE8C-6DB38FC5E1C9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FE27FB91-A3F9-3D1B-4755-438B26F4AE2E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2ECA4887-FF49-4AC9-18E7-E509ACD8B1F3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9FA82FC7-30B7-09E9-3475-10122D1BF6FB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2A6C3994-9DE9-7125-17FD-8EF83701DA96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F440B0A1-2A04-446E-77AB-A0CE0DE244C8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1EB05505-1FA3-108E-6D6C-44D195828588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202A13E8-585D-61D7-CC46-7C66360E03B2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A9B0F71F-ABAE-8B98-BCBA-8DCEBAE4A70B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DF9D37A3-4733-42F0-E2F4-6BE657697976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B9561553-0F73-A746-6D4F-03DE382BF670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EADB4507-EEB8-0AC3-3343-82AA84BF4E70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DCE82827-BB0B-11D6-3921-2E01B7D78A2A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5D03818-A0B6-F2F1-DE08-58D5BABD7D24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D9AFD63A-3EBD-236F-72DF-277AEB12ADED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37BECE56-EE6B-EE6A-3F04-DD5BAD8CE08F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96297579-6EBA-854C-ACA7-9DA5B1485625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A5799BAD-BB33-5257-DC71-B62B0A3DE529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9EB99437-C773-7ECD-5ABB-F5DBE7425622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086DD5F2-FDE5-0BF3-11BB-DCE0F29BBFF3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F3D6FB5B-F3D4-64F9-0F47-1E603E09BD78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549A6BDB-A88A-17A7-D5A6-DD82EF439EFE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20FC53DD-6C8D-1E46-4F4E-6700F16B65E9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5034B377-1581-A652-0A65-B386C4197578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B61451C5-9447-81BF-AC8E-0A06FC2E3988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735E300A-5FCD-EE66-3F5E-0C4BD0E44BFD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28393930-3B9B-BB39-C342-13906DA3AA2E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66ED02AF-37DA-A903-B6C2-4CD344F60E79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9B369C0A-CEA2-0405-0F6D-806DA1E99E08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690B8B12-9E58-D0DB-50A0-ECE824D352A5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C072CF11-7DBF-2167-C58D-6DD67205035A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86714303-3FE1-9913-5885-39D19B0C2223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666DABA3-4B3E-9A81-5187-46904B3047D5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CCE10AFC-3754-8E6D-97D0-A5A840300BA4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489B8281-3B80-3556-09EA-3AEC96BCB9F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23882C87-FB0B-8CBF-39A0-E5D417478E7A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7FE39E3C-07D4-C308-5A99-C44C09618310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CC7C10D1-0C67-EAC9-7F59-6F2A4F4B76F4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365F706B-D975-920D-2048-E4E66783A808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084DE3DA-4301-AB7E-53B1-F717C90B173E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C11E95DE-1420-F0AB-1153-33F6AE2B852D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77D0EE21-34EB-B4D8-6D83-BF6CD542FE0B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8A36F32A-5C3D-7561-C8A1-7461CBF660E6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E8AE7D38-ADAC-9302-63F6-6E2048CB72B4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A7BD29E8-EAD0-69E6-8DB1-A98BA0B9D2A0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1F6C5C19-15F9-CF1A-206B-850C7B56A7CA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D7634F12-4A74-4248-D39E-46612945C31F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28B92B0E-6F8C-0903-B8B0-AAC98889327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44DED206-7EDE-97FA-ADF0-EC87BE978B5B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47807AC1-ECB5-3C5E-27ED-8E4AB8E05A44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80E780A2-531A-0F26-48E2-37B46029ABC1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D3600166-AA5C-3754-A486-447885B15789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78EC91EF-91A6-7594-59A4-4A91F55B2375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5EB16A48-28B9-D383-BDE7-AF893D1CC830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07B2DD9C-740C-7607-AFE6-23A8A55B16F0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38795611-18CF-08F8-7DC5-7282DB22F27F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91592F8C-7A46-E6BE-5754-724C4E0F1A7C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41B6C27E-410C-F5F6-49FC-A58253A3098B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969BCE74-6E3D-95A5-6C49-E08368340B6C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600BD2F8-D200-C495-0BBF-88A1DA1B2581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B4BC342A-1533-1520-D755-D2B5D6FCCF07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09028043-5FE1-7E52-40BB-7126F2776786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6D38245F-DA17-5B8B-E53C-83F2323649DD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12AD8815-7371-F101-4D2C-EFD12CB8C3B0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A3766592-5750-2C7D-3BA6-C53EAD4F025A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249B8AC3-A98D-39FA-2FBE-86F78D17D2FD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974C59E9-6B33-0908-4DA7-4A62E63E1CDD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14AC2288-9494-A5A9-1C45-2E12475A06DC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FD24517F-9E97-BBCB-13F1-89F0D44A4F36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CA1A41F8-F600-E809-CFC8-F1DAC5AF50B2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5025ECAE-82FC-E0F0-D266-5E6DA300C3A1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F1584F8B-BEFD-8B3E-5F52-61DE169B7ABC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66C70C96-DE42-E6A1-9B6B-50B3F5F0A9E1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5" t="s">
        <v>9</v>
      </c>
      <c r="B1" s="798"/>
    </row>
    <row r="2" spans="1:88">
      <c r="A2" s="1045" t="s">
        <v>9</v>
      </c>
      <c r="B2" t="s">
        <v>9</v>
      </c>
    </row>
    <row r="3" spans="1:88" ht="15.75" thickBot="1">
      <c r="A3" s="1117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397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44" t="s">
        <v>666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603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603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738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601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601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603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603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621</v>
      </c>
      <c r="B1" s="822"/>
      <c r="C1" s="822"/>
      <c r="D1" s="822"/>
      <c r="E1" s="822"/>
      <c r="F1" s="822"/>
      <c r="G1" s="822" t="s">
        <v>130</v>
      </c>
      <c r="H1" s="864" t="str">
        <f>D3</f>
        <v>TUE</v>
      </c>
      <c r="I1" s="865">
        <f>D4</f>
        <v>37061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37061</v>
      </c>
      <c r="E4" s="833">
        <f>Weather_Input!A6</f>
        <v>37062</v>
      </c>
      <c r="F4" s="833">
        <f>Weather_Input!A7</f>
        <v>37063</v>
      </c>
      <c r="G4" s="833">
        <f>Weather_Input!A8</f>
        <v>37064</v>
      </c>
      <c r="H4" s="833">
        <f>Weather_Input!A9</f>
        <v>37065</v>
      </c>
      <c r="I4" s="834">
        <f>Weather_Input!A10</f>
        <v>37066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83/65/74</v>
      </c>
      <c r="E5" s="866" t="str">
        <f>TEXT(Weather_Input!B6,"0")&amp;"/"&amp;TEXT(Weather_Input!C6,"0") &amp; "/" &amp; TEXT((Weather_Input!B6+Weather_Input!C6)/2,"0")</f>
        <v>78/59/69</v>
      </c>
      <c r="F5" s="866" t="str">
        <f>TEXT(Weather_Input!B7,"0")&amp;"/"&amp;TEXT(Weather_Input!C7,"0") &amp; "/" &amp; TEXT((Weather_Input!B7+Weather_Input!C7)/2,"0")</f>
        <v>72/53/63</v>
      </c>
      <c r="G5" s="866" t="str">
        <f>TEXT(Weather_Input!B8,"0")&amp;"/"&amp;TEXT(Weather_Input!C8,"0") &amp; "/" &amp; TEXT((Weather_Input!B8+Weather_Input!C8)/2,"0")</f>
        <v>74/51/63</v>
      </c>
      <c r="H5" s="866" t="str">
        <f>TEXT(Weather_Input!B9,"0")&amp;"/"&amp;TEXT(Weather_Input!C9,"0") &amp; "/" &amp; TEXT((Weather_Input!B9+Weather_Input!C9)/2,"0")</f>
        <v>80/58/69</v>
      </c>
      <c r="I5" s="867" t="str">
        <f>TEXT(Weather_Input!B10,"0")&amp;"/"&amp;TEXT(Weather_Input!C10,"0") &amp; "/" &amp; TEXT((Weather_Input!B10+Weather_Input!C10)/2,"0")</f>
        <v>85/62/74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36</v>
      </c>
      <c r="E6" s="836">
        <f ca="1">VLOOKUP(E4,NSG_Sendouts,CELL("Col",NSG_Deliveries!C6),FALSE)/1000</f>
        <v>37</v>
      </c>
      <c r="F6" s="836">
        <f ca="1">VLOOKUP(F4,NSG_Sendouts,CELL("Col",NSG_Deliveries!C7),FALSE)/1000</f>
        <v>38</v>
      </c>
      <c r="G6" s="836">
        <f ca="1">VLOOKUP(G4,NSG_Sendouts,CELL("Col",NSG_Deliveries!C8),FALSE)/1000</f>
        <v>36</v>
      </c>
      <c r="H6" s="836">
        <f ca="1">VLOOKUP(H4,NSG_Sendouts,CELL("Col",NSG_Deliveries!C9),FALSE)/1000</f>
        <v>33</v>
      </c>
      <c r="I6" s="841">
        <f ca="1">VLOOKUP(I4,NSG_Sendouts,CELL("Col",NSG_Deliveries!C10),FALSE)/1000</f>
        <v>36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4.6440000000000001</v>
      </c>
      <c r="E8" s="836">
        <f>NSG_Requirements!J8/1000</f>
        <v>4.76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3.0310000000000001</v>
      </c>
      <c r="E9" s="836">
        <f>NSG_Requirements!H8/1000</f>
        <v>2</v>
      </c>
      <c r="F9" s="836">
        <f>NSG_Requirements!H9/1000</f>
        <v>2</v>
      </c>
      <c r="G9" s="836">
        <f>NSG_Requirements!H10/1000</f>
        <v>2</v>
      </c>
      <c r="H9" s="836">
        <f>NSG_Requirements!H11/1000</f>
        <v>2</v>
      </c>
      <c r="I9" s="837">
        <f>NSG_Requirements!H12/1000</f>
        <v>2</v>
      </c>
      <c r="J9" s="110"/>
    </row>
    <row r="10" spans="1:10" ht="24.95" customHeight="1">
      <c r="A10" s="853" t="s">
        <v>154</v>
      </c>
      <c r="B10" s="854" t="s">
        <v>387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43.674999999999997</v>
      </c>
      <c r="E11" s="845">
        <f t="shared" ca="1" si="1"/>
        <v>43.76</v>
      </c>
      <c r="F11" s="845">
        <f t="shared" ca="1" si="1"/>
        <v>40</v>
      </c>
      <c r="G11" s="845">
        <f t="shared" ca="1" si="1"/>
        <v>38</v>
      </c>
      <c r="H11" s="845">
        <f t="shared" ca="1" si="1"/>
        <v>35</v>
      </c>
      <c r="I11" s="846">
        <f t="shared" ca="1" si="1"/>
        <v>38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732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800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801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733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100" t="s">
        <v>734</v>
      </c>
      <c r="D19" s="836">
        <f>NSG_Supplies!Q7/1000</f>
        <v>27.899000000000001</v>
      </c>
      <c r="E19" s="836">
        <f>NSG_Supplies!Q8/1000</f>
        <v>28.548999999999999</v>
      </c>
      <c r="F19" s="836">
        <f>NSG_Supplies!Q9/1000</f>
        <v>28.548999999999999</v>
      </c>
      <c r="G19" s="836">
        <f>NSG_Supplies!Q10/1000</f>
        <v>28.548999999999999</v>
      </c>
      <c r="H19" s="836">
        <f>NSG_Supplies!Q11/1000</f>
        <v>28.548999999999999</v>
      </c>
      <c r="I19" s="837">
        <f>NSG_Supplies!Q12/1000</f>
        <v>28.548999999999999</v>
      </c>
      <c r="J19" s="110"/>
    </row>
    <row r="20" spans="1:13" ht="24.95" customHeight="1">
      <c r="A20" s="835"/>
      <c r="B20" s="826" t="s">
        <v>137</v>
      </c>
      <c r="C20" s="826" t="s">
        <v>610</v>
      </c>
      <c r="D20" s="836">
        <f>NSG_Supplies!P7/1000</f>
        <v>15.215</v>
      </c>
      <c r="E20" s="836">
        <f>NSG_Supplies!P8/1000</f>
        <v>15.215</v>
      </c>
      <c r="F20" s="836">
        <f>NSG_Supplies!P9/1000</f>
        <v>15.215</v>
      </c>
      <c r="G20" s="836">
        <f>NSG_Supplies!P10/1000</f>
        <v>15.215</v>
      </c>
      <c r="H20" s="836">
        <f>NSG_Supplies!P11/1000</f>
        <v>15.215</v>
      </c>
      <c r="I20" s="837">
        <f>NSG_Supplies!P12/1000</f>
        <v>15.215</v>
      </c>
      <c r="J20" s="110"/>
    </row>
    <row r="21" spans="1:13" ht="24.95" customHeight="1" thickBot="1">
      <c r="A21" s="1252" t="s">
        <v>149</v>
      </c>
      <c r="B21" s="1253"/>
      <c r="C21" s="1253"/>
      <c r="D21" s="1254">
        <f t="shared" ref="D21:I21" si="2">SUM(D14:D20)</f>
        <v>43.114000000000004</v>
      </c>
      <c r="E21" s="1254">
        <f t="shared" si="2"/>
        <v>43.763999999999996</v>
      </c>
      <c r="F21" s="1254">
        <f t="shared" si="2"/>
        <v>43.763999999999996</v>
      </c>
      <c r="G21" s="1254">
        <f t="shared" si="2"/>
        <v>43.763999999999996</v>
      </c>
      <c r="H21" s="1254">
        <f t="shared" si="2"/>
        <v>43.763999999999996</v>
      </c>
      <c r="I21" s="1255">
        <f t="shared" si="2"/>
        <v>43.763999999999996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3.9999999999977831E-3</v>
      </c>
      <c r="F22" s="877">
        <f t="shared" ca="1" si="3"/>
        <v>3.7639999999999958</v>
      </c>
      <c r="G22" s="877">
        <f t="shared" ca="1" si="3"/>
        <v>5.7639999999999958</v>
      </c>
      <c r="H22" s="877">
        <f t="shared" ca="1" si="3"/>
        <v>8.7639999999999958</v>
      </c>
      <c r="I22" s="878">
        <f t="shared" ca="1" si="3"/>
        <v>5.7639999999999958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0.56099999999999284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101" t="s">
        <v>735</v>
      </c>
      <c r="B24" s="1102"/>
      <c r="C24" s="1102"/>
      <c r="D24" s="1103">
        <f>NSG_Supplies!R7/1000</f>
        <v>16.024999999999999</v>
      </c>
      <c r="E24" s="1103">
        <f>NSG_Supplies!R8/1000</f>
        <v>16.675000000000001</v>
      </c>
      <c r="F24" s="1103">
        <f>NSG_Supplies!R9/1000</f>
        <v>16.675000000000001</v>
      </c>
      <c r="G24" s="1103">
        <f>NSG_Supplies!R10/1000</f>
        <v>16.675000000000001</v>
      </c>
      <c r="H24" s="1103">
        <f>NSG_Supplies!R11/1000</f>
        <v>16.675000000000001</v>
      </c>
      <c r="I24" s="1104">
        <f>NSG_Supplies!R12/1000</f>
        <v>16.675000000000001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7.2</v>
      </c>
      <c r="E26" s="884">
        <f>Weather_Input!D6</f>
        <v>7</v>
      </c>
      <c r="F26" s="884">
        <f>Weather_Input!D7</f>
        <v>10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>
      <selection sqref="A1:O40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7" t="s">
        <v>9</v>
      </c>
      <c r="B1" s="1144" t="s">
        <v>9</v>
      </c>
      <c r="C1" s="1145" t="s">
        <v>707</v>
      </c>
      <c r="D1" s="1146"/>
      <c r="E1" s="1147" t="s">
        <v>9</v>
      </c>
      <c r="F1" s="1148" t="s">
        <v>753</v>
      </c>
      <c r="G1" s="1149" t="s">
        <v>9</v>
      </c>
      <c r="H1" s="1150"/>
      <c r="I1" s="1193" t="s">
        <v>9</v>
      </c>
      <c r="J1" s="583"/>
      <c r="K1" s="583"/>
      <c r="L1" s="584" t="s">
        <v>159</v>
      </c>
      <c r="M1" s="1226">
        <f>Weather_Input!A5</f>
        <v>37061</v>
      </c>
      <c r="N1" s="1227" t="str">
        <f>CHOOSE(WEEKDAY(M1),"SUN","MON","TUE","WED","THU","FRI","SAT")</f>
        <v>TUE</v>
      </c>
      <c r="O1" s="588"/>
    </row>
    <row r="2" spans="1:17" ht="16.5" thickTop="1" thickBot="1">
      <c r="A2" s="420" t="s">
        <v>710</v>
      </c>
      <c r="B2" s="319">
        <f>PGL_Supplies!W7/1000</f>
        <v>0</v>
      </c>
      <c r="C2" s="8"/>
      <c r="D2" s="608"/>
      <c r="E2" s="563" t="s">
        <v>412</v>
      </c>
      <c r="F2" s="1124"/>
      <c r="G2" s="558" t="s">
        <v>9</v>
      </c>
      <c r="H2" s="1138" t="s">
        <v>9</v>
      </c>
      <c r="I2" s="254" t="s">
        <v>519</v>
      </c>
      <c r="J2" s="1165" t="s">
        <v>395</v>
      </c>
      <c r="K2" s="1170" t="s">
        <v>162</v>
      </c>
      <c r="L2" s="1171" t="s">
        <v>21</v>
      </c>
      <c r="M2" s="1170" t="s">
        <v>162</v>
      </c>
      <c r="N2" s="1165" t="s">
        <v>21</v>
      </c>
      <c r="O2" s="1172" t="s">
        <v>162</v>
      </c>
      <c r="Q2" s="1143" t="s">
        <v>9</v>
      </c>
    </row>
    <row r="3" spans="1:17" ht="15.75">
      <c r="A3" s="420" t="s">
        <v>748</v>
      </c>
      <c r="B3" s="1185">
        <f>PGL_Requirements!I7/1000</f>
        <v>0</v>
      </c>
      <c r="C3" s="963" t="s">
        <v>9</v>
      </c>
      <c r="D3" s="308"/>
      <c r="E3" s="563" t="s">
        <v>461</v>
      </c>
      <c r="F3" s="319">
        <f>PGL_Supplies!H7/1000</f>
        <v>24.85</v>
      </c>
      <c r="G3" s="383" t="s">
        <v>9</v>
      </c>
      <c r="H3" s="1138" t="s">
        <v>9</v>
      </c>
      <c r="I3" s="1194" t="s">
        <v>9</v>
      </c>
      <c r="J3" s="944">
        <f>Weather_Input!B5</f>
        <v>83</v>
      </c>
      <c r="K3" s="945">
        <f>Weather_Input!C5</f>
        <v>65</v>
      </c>
      <c r="L3" s="599" t="s">
        <v>9</v>
      </c>
      <c r="M3" s="264" t="s">
        <v>9</v>
      </c>
      <c r="N3" s="264"/>
      <c r="O3" s="262"/>
    </row>
    <row r="4" spans="1:17" ht="16.5" thickBot="1">
      <c r="A4" s="244" t="s">
        <v>750</v>
      </c>
      <c r="B4" s="1186">
        <v>0</v>
      </c>
      <c r="C4" s="119"/>
      <c r="D4" s="975"/>
      <c r="E4" s="532" t="s">
        <v>462</v>
      </c>
      <c r="F4" s="1219">
        <v>0</v>
      </c>
      <c r="G4" s="521" t="s">
        <v>9</v>
      </c>
      <c r="H4" s="1247"/>
      <c r="I4" t="s">
        <v>784</v>
      </c>
      <c r="J4" s="1049"/>
      <c r="K4" s="1233" t="s">
        <v>9</v>
      </c>
      <c r="L4" s="429"/>
      <c r="M4" s="1051"/>
      <c r="N4" s="429"/>
      <c r="O4" s="799"/>
    </row>
    <row r="5" spans="1:17" ht="16.5" thickBot="1">
      <c r="A5" s="1064" t="s">
        <v>3</v>
      </c>
      <c r="B5" s="319">
        <f>PGL_Supplies!X7/1000</f>
        <v>89.602999999999994</v>
      </c>
      <c r="C5" s="1052" t="s">
        <v>9</v>
      </c>
      <c r="D5" s="344"/>
      <c r="E5" s="1204" t="s">
        <v>438</v>
      </c>
      <c r="F5" s="969">
        <f>F3+F4</f>
        <v>24.85</v>
      </c>
      <c r="G5" s="561" t="s">
        <v>9</v>
      </c>
      <c r="H5" s="1236" t="s">
        <v>9</v>
      </c>
      <c r="I5" s="1195" t="s">
        <v>405</v>
      </c>
      <c r="J5" s="1093" t="s">
        <v>9</v>
      </c>
      <c r="K5" s="947">
        <f>PGL_Deliveries!C5/1000</f>
        <v>215</v>
      </c>
      <c r="L5" s="597"/>
      <c r="M5" s="264"/>
      <c r="N5" s="597"/>
      <c r="O5" s="262"/>
    </row>
    <row r="6" spans="1:17" ht="16.5" thickBot="1">
      <c r="A6" s="554" t="s">
        <v>429</v>
      </c>
      <c r="B6" s="1055">
        <f>+B5-B3+B2-B4</f>
        <v>89.602999999999994</v>
      </c>
      <c r="C6" s="1056" t="s">
        <v>9</v>
      </c>
      <c r="D6" s="526"/>
      <c r="E6" s="631" t="s">
        <v>9</v>
      </c>
      <c r="F6" s="973" t="s">
        <v>35</v>
      </c>
      <c r="G6" s="974"/>
      <c r="H6" s="1139"/>
      <c r="I6" s="119" t="s">
        <v>729</v>
      </c>
      <c r="J6" s="1094"/>
      <c r="K6" s="1067">
        <f>PGL_Requirements!X7/1000</f>
        <v>0</v>
      </c>
      <c r="L6" s="1094"/>
      <c r="M6" s="1095"/>
      <c r="N6" s="119"/>
      <c r="O6" s="116"/>
    </row>
    <row r="7" spans="1:17" ht="16.5" thickBot="1">
      <c r="A7" s="321" t="s">
        <v>9</v>
      </c>
      <c r="B7" s="1053" t="s">
        <v>9</v>
      </c>
      <c r="C7" s="968" t="s">
        <v>66</v>
      </c>
      <c r="D7" s="1054"/>
      <c r="E7" s="420" t="s">
        <v>440</v>
      </c>
      <c r="F7" s="319">
        <f>PGL_Supplies!P7/1000</f>
        <v>0</v>
      </c>
      <c r="G7" s="376" t="s">
        <v>9</v>
      </c>
      <c r="H7" s="1132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604</v>
      </c>
      <c r="B8" s="319">
        <f>PGL_Requirements!T7/1000</f>
        <v>0</v>
      </c>
      <c r="C8" s="589"/>
      <c r="D8" s="308"/>
      <c r="E8" s="420" t="s">
        <v>441</v>
      </c>
      <c r="F8" s="383">
        <f>PGL_Requirements!E7/1000</f>
        <v>4</v>
      </c>
      <c r="G8" s="376" t="s">
        <v>9</v>
      </c>
      <c r="H8" s="1132"/>
      <c r="I8" s="1040" t="s">
        <v>746</v>
      </c>
      <c r="J8" s="288" t="s">
        <v>9</v>
      </c>
      <c r="K8" s="609">
        <f>B4</f>
        <v>0</v>
      </c>
      <c r="L8" s="614"/>
      <c r="M8" s="264"/>
      <c r="N8" s="614"/>
      <c r="O8" s="262" t="s">
        <v>9</v>
      </c>
    </row>
    <row r="9" spans="1:17">
      <c r="A9" s="420" t="s">
        <v>681</v>
      </c>
      <c r="B9" s="319">
        <f>PGL_Supplies!Q7/1000</f>
        <v>0</v>
      </c>
      <c r="C9" s="308"/>
      <c r="D9" s="308"/>
      <c r="E9" s="420" t="s">
        <v>442</v>
      </c>
      <c r="F9" s="319">
        <f>PGL_Supplies!F7/1000</f>
        <v>0</v>
      </c>
      <c r="G9" s="319"/>
      <c r="H9" s="1132"/>
      <c r="I9" s="119" t="s">
        <v>707</v>
      </c>
      <c r="J9" s="1049"/>
      <c r="K9" s="1063">
        <f>+B6</f>
        <v>89.602999999999994</v>
      </c>
      <c r="L9" s="1049"/>
      <c r="M9" s="1051"/>
      <c r="N9" s="429"/>
      <c r="O9" s="280" t="s">
        <v>9</v>
      </c>
    </row>
    <row r="10" spans="1:17" ht="15.75" thickBot="1">
      <c r="A10" s="630" t="s">
        <v>664</v>
      </c>
      <c r="B10" s="319">
        <f>PGL_Supplies!Y7/1000</f>
        <v>0.2</v>
      </c>
      <c r="C10" s="119"/>
      <c r="D10" s="1048"/>
      <c r="E10" s="420" t="s">
        <v>773</v>
      </c>
      <c r="F10" s="977">
        <f>PGL_Supplies!AC7/1000</f>
        <v>4</v>
      </c>
      <c r="G10" s="522"/>
      <c r="H10" s="1133"/>
      <c r="I10" s="1196" t="s">
        <v>766</v>
      </c>
      <c r="J10" s="277" t="s">
        <v>9</v>
      </c>
      <c r="K10" s="609">
        <f>B11</f>
        <v>0.2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429</v>
      </c>
      <c r="B11" s="561">
        <f>B10+B9-B8</f>
        <v>0.2</v>
      </c>
      <c r="C11" s="526"/>
      <c r="D11" s="526"/>
      <c r="E11" s="786" t="s">
        <v>543</v>
      </c>
      <c r="F11" s="978">
        <f>+F10+F9-F8+F7</f>
        <v>0</v>
      </c>
      <c r="G11" s="969" t="s">
        <v>9</v>
      </c>
      <c r="H11" s="527"/>
      <c r="I11" s="1196" t="s">
        <v>58</v>
      </c>
      <c r="J11" s="277" t="s">
        <v>9</v>
      </c>
      <c r="K11" s="609">
        <f>B19</f>
        <v>-130.447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8" t="s">
        <v>58</v>
      </c>
      <c r="D12" s="553"/>
      <c r="E12" s="1188" t="s">
        <v>9</v>
      </c>
      <c r="F12" s="1187" t="s">
        <v>785</v>
      </c>
      <c r="G12" s="354"/>
      <c r="H12" s="1137"/>
      <c r="I12" s="1196" t="s">
        <v>767</v>
      </c>
      <c r="J12" s="277" t="s">
        <v>9</v>
      </c>
      <c r="K12" s="609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131.31</v>
      </c>
      <c r="C13" s="308"/>
      <c r="D13" s="544"/>
      <c r="E13" s="576" t="s">
        <v>470</v>
      </c>
      <c r="F13" s="1124" t="s">
        <v>9</v>
      </c>
      <c r="G13" s="569" t="s">
        <v>9</v>
      </c>
      <c r="H13" s="1140" t="s">
        <v>9</v>
      </c>
      <c r="I13" s="1196" t="s">
        <v>768</v>
      </c>
      <c r="J13" s="281" t="s">
        <v>9</v>
      </c>
      <c r="K13" s="609">
        <f>B34</f>
        <v>184.43799999999999</v>
      </c>
      <c r="L13" s="597"/>
      <c r="M13" s="264" t="s">
        <v>9</v>
      </c>
      <c r="N13" s="597"/>
      <c r="O13" s="262"/>
    </row>
    <row r="14" spans="1:17">
      <c r="A14" s="420" t="s">
        <v>434</v>
      </c>
      <c r="B14" s="319">
        <f>PGL_Supplies!L7/1000</f>
        <v>0</v>
      </c>
      <c r="C14" s="308"/>
      <c r="D14" s="544"/>
      <c r="E14" s="356" t="s">
        <v>471</v>
      </c>
      <c r="F14" s="308"/>
      <c r="G14" s="535"/>
      <c r="H14" s="1141"/>
      <c r="I14" s="1196" t="s">
        <v>408</v>
      </c>
      <c r="J14" s="277" t="s">
        <v>9</v>
      </c>
      <c r="K14" s="948">
        <f>F5</f>
        <v>24.85</v>
      </c>
      <c r="L14" s="597"/>
      <c r="M14" s="264" t="s">
        <v>9</v>
      </c>
      <c r="N14" s="597"/>
      <c r="O14" s="262"/>
    </row>
    <row r="15" spans="1:17" ht="16.5" thickBot="1">
      <c r="A15" s="420" t="s">
        <v>435</v>
      </c>
      <c r="B15" s="319">
        <f>SUM(PGL_Requirements!B7/1000)</f>
        <v>0</v>
      </c>
      <c r="C15" s="308"/>
      <c r="D15" s="1132"/>
      <c r="E15" s="1190" t="s">
        <v>665</v>
      </c>
      <c r="F15" s="976"/>
      <c r="G15" s="1094"/>
      <c r="H15" s="1156"/>
      <c r="I15" s="1196" t="s">
        <v>769</v>
      </c>
      <c r="J15" s="277" t="s">
        <v>158</v>
      </c>
      <c r="K15" s="609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436</v>
      </c>
      <c r="B16" s="319">
        <f>PGL_Supplies!G7/1000</f>
        <v>1.4630000000000001</v>
      </c>
      <c r="C16" s="308"/>
      <c r="D16" s="1132"/>
      <c r="E16" s="1191" t="s">
        <v>9</v>
      </c>
      <c r="F16" s="1151" t="s">
        <v>463</v>
      </c>
      <c r="G16" s="1237"/>
      <c r="H16" s="1192"/>
      <c r="I16" s="1196" t="s">
        <v>544</v>
      </c>
      <c r="J16" s="277" t="s">
        <v>158</v>
      </c>
      <c r="K16" s="948">
        <f>PGL_Supplies!B7/1000</f>
        <v>15.722</v>
      </c>
      <c r="L16" s="597"/>
      <c r="M16" s="264" t="s">
        <v>9</v>
      </c>
      <c r="N16" s="597"/>
      <c r="O16" s="262"/>
    </row>
    <row r="17" spans="1:15" ht="15" customHeight="1" thickBot="1">
      <c r="A17" s="365" t="s">
        <v>703</v>
      </c>
      <c r="B17" s="319">
        <f>PGL_Requirements!Q7/1000</f>
        <v>0.6</v>
      </c>
      <c r="C17" s="308"/>
      <c r="D17" s="1132"/>
      <c r="E17" s="537" t="s">
        <v>464</v>
      </c>
      <c r="F17" s="557">
        <f>+PGL_Supplies!J7/1000</f>
        <v>0</v>
      </c>
      <c r="G17" s="1217" t="s">
        <v>9</v>
      </c>
      <c r="H17" s="1142" t="s">
        <v>9</v>
      </c>
      <c r="I17" s="1189" t="s">
        <v>545</v>
      </c>
      <c r="J17" s="302" t="s">
        <v>9</v>
      </c>
      <c r="K17" s="963">
        <f>-PGL_Requirements!F7/1000</f>
        <v>0</v>
      </c>
      <c r="L17" s="597"/>
      <c r="M17" s="264"/>
      <c r="N17" s="597"/>
      <c r="O17" s="262"/>
    </row>
    <row r="18" spans="1:15" ht="16.5" thickBot="1">
      <c r="A18" s="420" t="s">
        <v>704</v>
      </c>
      <c r="B18" s="319">
        <f>PGL_Requirements!P7/1000</f>
        <v>1.9696499999999999</v>
      </c>
      <c r="C18" s="344"/>
      <c r="D18" s="1133"/>
      <c r="E18" s="631" t="s">
        <v>9</v>
      </c>
      <c r="F18" s="1151" t="s">
        <v>754</v>
      </c>
      <c r="G18" s="974"/>
      <c r="H18" s="1139"/>
      <c r="I18" t="s">
        <v>783</v>
      </c>
      <c r="J18" s="1049"/>
      <c r="K18" s="1222">
        <f>-F19</f>
        <v>-6.444</v>
      </c>
      <c r="L18" s="1049"/>
      <c r="M18" s="221"/>
      <c r="N18" s="1049"/>
      <c r="O18" s="799"/>
    </row>
    <row r="19" spans="1:15" ht="16.5" thickBot="1">
      <c r="A19" s="513" t="s">
        <v>438</v>
      </c>
      <c r="B19" s="1215">
        <f>-B13+B14+B16-B17-B15+B20+B21</f>
        <v>-130.447</v>
      </c>
      <c r="C19" s="515"/>
      <c r="D19" s="527"/>
      <c r="E19" s="1152" t="s">
        <v>755</v>
      </c>
      <c r="F19" s="1218">
        <f>PGL_Requirements!J7/1000</f>
        <v>6.444</v>
      </c>
      <c r="G19" s="1038" t="s">
        <v>9</v>
      </c>
      <c r="H19" s="1153" t="s">
        <v>9</v>
      </c>
      <c r="I19" t="s">
        <v>546</v>
      </c>
      <c r="J19" s="1221"/>
      <c r="K19" s="1223">
        <f>-F24</f>
        <v>-8.5225000000000009</v>
      </c>
      <c r="L19" s="1221"/>
      <c r="M19" s="157"/>
      <c r="N19" s="1221"/>
      <c r="O19" s="1220"/>
    </row>
    <row r="20" spans="1:15" ht="16.5" thickBot="1">
      <c r="A20" s="327" t="s">
        <v>204</v>
      </c>
      <c r="B20" s="319">
        <v>0</v>
      </c>
      <c r="C20" s="518"/>
      <c r="D20" s="1134"/>
      <c r="E20" s="119"/>
      <c r="F20" s="119"/>
      <c r="G20" s="119"/>
      <c r="H20" s="1164"/>
      <c r="I20" s="1197" t="s">
        <v>665</v>
      </c>
      <c r="J20" s="612" t="s">
        <v>9</v>
      </c>
      <c r="K20" s="506">
        <f>SUM(K8:K19)</f>
        <v>169.39949999999999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8">
        <v>0</v>
      </c>
      <c r="C21" s="545"/>
      <c r="D21" s="1135"/>
      <c r="E21" s="1154" t="s">
        <v>756</v>
      </c>
      <c r="F21" s="1186">
        <v>0</v>
      </c>
      <c r="G21" s="1050"/>
      <c r="H21" s="431"/>
      <c r="I21" s="492" t="s">
        <v>36</v>
      </c>
      <c r="J21" s="500" t="s">
        <v>9</v>
      </c>
      <c r="K21" s="949"/>
      <c r="L21" s="502"/>
      <c r="M21" s="502" t="s">
        <v>765</v>
      </c>
      <c r="N21" s="502"/>
      <c r="O21" s="950"/>
    </row>
    <row r="22" spans="1:15" ht="15.75" thickBot="1">
      <c r="A22" s="1129" t="s">
        <v>747</v>
      </c>
      <c r="B22" s="1116">
        <f>SUM(B4)</f>
        <v>0</v>
      </c>
      <c r="C22" s="1130"/>
      <c r="D22" s="1131"/>
      <c r="E22" s="1154" t="s">
        <v>757</v>
      </c>
      <c r="F22" s="1186">
        <v>0</v>
      </c>
      <c r="G22" s="1050"/>
      <c r="H22" s="431"/>
      <c r="I22" s="1196" t="s">
        <v>602</v>
      </c>
      <c r="J22" s="277" t="s">
        <v>9</v>
      </c>
      <c r="K22" s="951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38" t="s">
        <v>67</v>
      </c>
      <c r="D23" s="1139"/>
      <c r="E23" s="1155" t="s">
        <v>758</v>
      </c>
      <c r="F23" s="1206">
        <v>0</v>
      </c>
      <c r="G23" s="976"/>
      <c r="H23" s="1156"/>
      <c r="I23" s="1196" t="s">
        <v>411</v>
      </c>
      <c r="J23" s="277" t="s">
        <v>9</v>
      </c>
      <c r="K23" s="609">
        <f>K5+K6-K20</f>
        <v>45.600500000000011</v>
      </c>
      <c r="L23" s="261"/>
      <c r="M23" s="609" t="s">
        <v>9</v>
      </c>
      <c r="N23" s="261"/>
      <c r="O23" s="291"/>
    </row>
    <row r="24" spans="1:15" ht="16.5" thickBot="1">
      <c r="A24" s="420" t="s">
        <v>432</v>
      </c>
      <c r="B24" s="319">
        <f>PGL_Supplies!C7/1000</f>
        <v>0</v>
      </c>
      <c r="C24" s="347"/>
      <c r="D24" s="1132"/>
      <c r="E24" s="546" t="s">
        <v>759</v>
      </c>
      <c r="F24" s="1218">
        <f>PGL_Requirements!G7/1000*0.5</f>
        <v>8.5225000000000009</v>
      </c>
      <c r="G24" s="1038"/>
      <c r="H24" s="1021"/>
      <c r="I24" s="1198" t="s">
        <v>412</v>
      </c>
      <c r="J24" s="277" t="s">
        <v>9</v>
      </c>
      <c r="K24" s="609"/>
      <c r="L24" s="292" t="s">
        <v>9</v>
      </c>
      <c r="M24" s="952"/>
      <c r="N24" s="292" t="s">
        <v>9</v>
      </c>
      <c r="O24" s="291"/>
    </row>
    <row r="25" spans="1:15" ht="16.5" thickBot="1">
      <c r="A25" s="420" t="s">
        <v>751</v>
      </c>
      <c r="B25" s="971">
        <f>PGL_Supplies!C7/1000</f>
        <v>0</v>
      </c>
      <c r="C25" s="1214"/>
      <c r="D25" s="1132"/>
      <c r="E25" s="1157" t="s">
        <v>760</v>
      </c>
      <c r="F25" s="1207"/>
      <c r="G25" s="1158"/>
      <c r="H25" s="1159"/>
      <c r="I25" s="1196" t="s">
        <v>413</v>
      </c>
      <c r="J25" s="953" t="s">
        <v>9</v>
      </c>
      <c r="K25" s="954">
        <f>SUM(B18+B20+B21)</f>
        <v>1.9696499999999999</v>
      </c>
      <c r="L25" s="955"/>
      <c r="M25" s="1235"/>
      <c r="N25" s="956" t="s">
        <v>9</v>
      </c>
      <c r="O25" s="255"/>
    </row>
    <row r="26" spans="1:15" ht="17.25" thickTop="1" thickBot="1">
      <c r="A26" s="420" t="s">
        <v>104</v>
      </c>
      <c r="B26" s="971">
        <f>PGL_Supplies!Z7/1000</f>
        <v>0</v>
      </c>
      <c r="C26" s="308"/>
      <c r="D26" s="1132"/>
      <c r="E26" s="119"/>
      <c r="F26" s="1068"/>
      <c r="G26" s="119"/>
      <c r="H26" s="158"/>
      <c r="I26" s="1199" t="s">
        <v>414</v>
      </c>
      <c r="J26" s="957" t="s">
        <v>9</v>
      </c>
      <c r="K26" s="958">
        <f>SUM(K23:K25)</f>
        <v>47.570150000000012</v>
      </c>
      <c r="L26" s="957" t="s">
        <v>9</v>
      </c>
      <c r="M26" s="609"/>
      <c r="N26" s="959" t="s">
        <v>9</v>
      </c>
      <c r="O26" s="960" t="s">
        <v>9</v>
      </c>
    </row>
    <row r="27" spans="1:15" ht="15.75" customHeight="1" thickTop="1" thickBot="1">
      <c r="A27" s="420" t="s">
        <v>752</v>
      </c>
      <c r="B27" s="319">
        <f>PGL_Supplies!R7/1000</f>
        <v>0</v>
      </c>
      <c r="C27" s="347"/>
      <c r="D27" s="1132"/>
      <c r="E27" s="1152" t="s">
        <v>761</v>
      </c>
      <c r="F27" s="1205"/>
      <c r="G27" s="1038"/>
      <c r="H27" s="1153"/>
      <c r="I27" s="1200" t="s">
        <v>698</v>
      </c>
      <c r="J27" s="961"/>
      <c r="K27" s="951">
        <f>SUM(-PGL_Supplies!L7/1000)</f>
        <v>0</v>
      </c>
      <c r="L27" s="1041"/>
      <c r="M27" s="1042"/>
      <c r="N27" s="509"/>
      <c r="O27" s="964"/>
    </row>
    <row r="28" spans="1:15" ht="16.5" thickBot="1">
      <c r="A28" s="554" t="s">
        <v>429</v>
      </c>
      <c r="B28" s="969">
        <f>-B24+B25+B26+B27</f>
        <v>0</v>
      </c>
      <c r="C28" s="970"/>
      <c r="D28" s="527"/>
      <c r="E28" s="119"/>
      <c r="F28" s="1068"/>
      <c r="G28" s="119"/>
      <c r="H28" s="158"/>
      <c r="I28" s="1196" t="s">
        <v>422</v>
      </c>
      <c r="J28" s="965"/>
      <c r="K28" s="963">
        <f>PGL_Requirements!N7/1000</f>
        <v>0</v>
      </c>
      <c r="L28" s="302"/>
      <c r="M28" s="946" t="s">
        <v>9</v>
      </c>
      <c r="N28" s="509"/>
      <c r="O28" s="962" t="s">
        <v>9</v>
      </c>
    </row>
    <row r="29" spans="1:15" ht="16.5" thickBot="1">
      <c r="A29" s="353" t="s">
        <v>9</v>
      </c>
      <c r="B29" s="1232" t="s">
        <v>407</v>
      </c>
      <c r="C29" s="354"/>
      <c r="D29" s="355"/>
      <c r="E29" s="1160" t="s">
        <v>455</v>
      </c>
      <c r="F29" s="1206"/>
      <c r="G29" s="976"/>
      <c r="H29" s="1161"/>
      <c r="I29" s="1196" t="s">
        <v>423</v>
      </c>
      <c r="J29" s="966"/>
      <c r="K29" s="1169">
        <f>-PGL_Supplies!K7/1000</f>
        <v>-18</v>
      </c>
      <c r="L29" s="302"/>
      <c r="M29" s="963" t="s">
        <v>9</v>
      </c>
      <c r="N29" s="509"/>
      <c r="O29" s="967" t="s">
        <v>9</v>
      </c>
    </row>
    <row r="30" spans="1:15" ht="15.75" thickBot="1">
      <c r="A30" s="365" t="s">
        <v>466</v>
      </c>
      <c r="B30" s="383">
        <f>PGL_Requirements!D7/1000</f>
        <v>0</v>
      </c>
      <c r="C30" s="535"/>
      <c r="D30" s="383" t="s">
        <v>9</v>
      </c>
      <c r="E30" s="1163" t="s">
        <v>762</v>
      </c>
      <c r="F30" s="1186"/>
      <c r="G30" s="1050"/>
      <c r="H30" s="1136"/>
      <c r="I30" s="1201" t="s">
        <v>183</v>
      </c>
      <c r="J30" s="1166"/>
      <c r="K30" s="1067">
        <f>-PGL_Supplies!AB7/1000</f>
        <v>-31.556000000000001</v>
      </c>
      <c r="L30" s="1167"/>
      <c r="M30" s="1067">
        <f>-PGL_Supplies!AB7/1000</f>
        <v>-31.556000000000001</v>
      </c>
      <c r="N30" s="1168"/>
      <c r="O30" s="1231">
        <f>-PGL_Supplies!AB7/1000</f>
        <v>-31.556000000000001</v>
      </c>
    </row>
    <row r="31" spans="1:15" ht="16.5" thickBot="1">
      <c r="A31" s="365" t="s">
        <v>467</v>
      </c>
      <c r="B31" s="971">
        <f>PGL_Supplies!D7/1000</f>
        <v>0</v>
      </c>
      <c r="C31" s="971" t="s">
        <v>9</v>
      </c>
      <c r="D31" s="972" t="s">
        <v>9</v>
      </c>
      <c r="E31" s="157" t="s">
        <v>763</v>
      </c>
      <c r="F31" s="1208"/>
      <c r="G31" s="1048"/>
      <c r="H31" s="1162"/>
      <c r="I31" s="324" t="s">
        <v>188</v>
      </c>
      <c r="J31" s="323"/>
      <c r="K31" s="1175"/>
      <c r="L31" s="1176"/>
      <c r="M31" s="326"/>
      <c r="N31" s="326"/>
      <c r="O31" s="326"/>
    </row>
    <row r="32" spans="1:15" ht="16.5" thickBot="1">
      <c r="A32" s="420" t="s">
        <v>104</v>
      </c>
      <c r="B32" s="971">
        <f>PGL_Supplies!AA7/1000+NSG_Supplies!M7/1000</f>
        <v>167.27099999999999</v>
      </c>
      <c r="C32" s="971" t="s">
        <v>9</v>
      </c>
      <c r="D32" s="972" t="s">
        <v>9</v>
      </c>
      <c r="E32" s="546" t="s">
        <v>764</v>
      </c>
      <c r="F32" s="1209"/>
      <c r="G32" s="425"/>
      <c r="H32" s="1021"/>
      <c r="I32" s="1200" t="s">
        <v>446</v>
      </c>
      <c r="J32" s="518"/>
      <c r="K32" s="1239"/>
      <c r="L32" s="1216" t="s">
        <v>770</v>
      </c>
      <c r="M32" s="119"/>
      <c r="N32" s="1246"/>
      <c r="O32" s="1244"/>
    </row>
    <row r="33" spans="1:15" ht="15.75" thickBot="1">
      <c r="A33" s="1123" t="s">
        <v>597</v>
      </c>
      <c r="B33" s="971">
        <f>PGL_Supplies!S7/1000</f>
        <v>34.334000000000003</v>
      </c>
      <c r="C33" s="971" t="s">
        <v>9</v>
      </c>
      <c r="D33" s="975"/>
      <c r="E33" s="119"/>
      <c r="F33" s="119"/>
      <c r="G33" s="119"/>
      <c r="H33" s="158"/>
      <c r="I33" s="1202" t="s">
        <v>447</v>
      </c>
      <c r="J33" s="1243"/>
      <c r="K33" s="1240"/>
      <c r="L33" s="1177" t="s">
        <v>455</v>
      </c>
      <c r="M33" s="1051"/>
      <c r="N33" s="1049"/>
      <c r="O33" s="799"/>
    </row>
    <row r="34" spans="1:15" ht="16.5" thickBot="1">
      <c r="A34" s="1180" t="s">
        <v>661</v>
      </c>
      <c r="B34" s="1205">
        <f>-B30+B31+B32+B33*0.5</f>
        <v>184.43799999999999</v>
      </c>
      <c r="C34" s="1038"/>
      <c r="D34" s="1023" t="s">
        <v>9</v>
      </c>
      <c r="E34" s="1259" t="s">
        <v>772</v>
      </c>
      <c r="F34" s="119"/>
      <c r="G34" s="119"/>
      <c r="H34" s="158"/>
      <c r="I34" s="1203" t="s">
        <v>448</v>
      </c>
      <c r="J34" s="544"/>
      <c r="K34" s="1241"/>
      <c r="L34" s="1177" t="s">
        <v>456</v>
      </c>
      <c r="M34" s="1051"/>
      <c r="N34" s="1049"/>
      <c r="O34" s="799"/>
    </row>
    <row r="35" spans="1:15">
      <c r="A35" s="1118" t="s">
        <v>780</v>
      </c>
      <c r="B35" s="1026"/>
      <c r="C35" s="1026"/>
      <c r="D35" s="1024" t="s">
        <v>9</v>
      </c>
      <c r="E35" s="1259" t="s">
        <v>827</v>
      </c>
      <c r="F35" s="119"/>
      <c r="G35" s="119"/>
      <c r="H35" s="158"/>
      <c r="I35" s="1203" t="s">
        <v>449</v>
      </c>
      <c r="J35" s="544"/>
      <c r="K35" s="1240"/>
      <c r="L35" s="1178" t="s">
        <v>457</v>
      </c>
      <c r="M35" s="1051"/>
      <c r="N35" s="1049"/>
      <c r="O35" s="799"/>
    </row>
    <row r="36" spans="1:15">
      <c r="A36" s="1119" t="s">
        <v>781</v>
      </c>
      <c r="B36" s="319">
        <f>B34-B35-B37</f>
        <v>175.91549999999998</v>
      </c>
      <c r="C36" s="1027" t="s">
        <v>9</v>
      </c>
      <c r="D36" s="1025" t="s">
        <v>9</v>
      </c>
      <c r="E36" s="1259" t="s">
        <v>771</v>
      </c>
      <c r="F36" s="119"/>
      <c r="G36" s="119"/>
      <c r="H36" s="158"/>
      <c r="I36" s="1203" t="s">
        <v>450</v>
      </c>
      <c r="J36" s="544"/>
      <c r="K36" s="1240"/>
      <c r="L36" s="1178" t="s">
        <v>389</v>
      </c>
      <c r="M36" s="1051"/>
      <c r="N36" s="1049"/>
      <c r="O36" s="799"/>
    </row>
    <row r="37" spans="1:15">
      <c r="A37" s="1120" t="s">
        <v>782</v>
      </c>
      <c r="B37" s="1229">
        <f>F24</f>
        <v>8.5225000000000009</v>
      </c>
      <c r="C37" s="1049"/>
      <c r="D37" s="1112" t="s">
        <v>9</v>
      </c>
      <c r="E37" s="119"/>
      <c r="F37" s="119"/>
      <c r="G37" s="119"/>
      <c r="H37" s="119"/>
      <c r="I37" s="1228" t="s">
        <v>451</v>
      </c>
      <c r="J37" s="544"/>
      <c r="K37" s="1240"/>
      <c r="L37" s="1179" t="s">
        <v>458</v>
      </c>
      <c r="M37" s="1051"/>
      <c r="N37" s="1049"/>
      <c r="O37" s="799"/>
    </row>
    <row r="38" spans="1:15">
      <c r="A38" s="1257" t="s">
        <v>826</v>
      </c>
      <c r="B38" s="1050">
        <f>PGL_Requirements!J7/1000</f>
        <v>6.444</v>
      </c>
      <c r="C38" s="1050"/>
      <c r="D38" s="975"/>
      <c r="E38" s="119"/>
      <c r="F38" s="119"/>
      <c r="G38" s="119"/>
      <c r="H38" s="119"/>
      <c r="I38" s="1224" t="s">
        <v>452</v>
      </c>
      <c r="J38" s="544"/>
      <c r="K38" s="1240"/>
      <c r="L38" s="589" t="s">
        <v>459</v>
      </c>
      <c r="M38" s="119"/>
      <c r="N38" s="1261"/>
      <c r="O38" s="1262"/>
    </row>
    <row r="39" spans="1:15" ht="16.5" thickBot="1">
      <c r="A39" s="1125" t="s">
        <v>2</v>
      </c>
      <c r="B39" s="1230">
        <f>B35+B36+B37+B38</f>
        <v>190.88199999999998</v>
      </c>
      <c r="C39" s="1126"/>
      <c r="D39" s="1127" t="s">
        <v>9</v>
      </c>
      <c r="E39" s="119"/>
      <c r="F39" s="119"/>
      <c r="G39" s="119"/>
      <c r="H39" s="119"/>
      <c r="I39" s="1225" t="s">
        <v>453</v>
      </c>
      <c r="J39" s="579"/>
      <c r="K39" s="1242"/>
      <c r="L39" s="1263" t="s">
        <v>828</v>
      </c>
      <c r="M39" s="1095"/>
      <c r="N39" s="1264"/>
      <c r="O39" s="1245"/>
    </row>
    <row r="40" spans="1:15" ht="17.25" thickTop="1" thickBot="1">
      <c r="A40" s="1258" t="s">
        <v>9</v>
      </c>
      <c r="B40" s="433"/>
      <c r="C40" s="433"/>
      <c r="D40" s="433"/>
      <c r="E40" s="117"/>
      <c r="F40" s="117"/>
      <c r="G40" s="117"/>
      <c r="H40" s="117"/>
      <c r="I40" s="117"/>
      <c r="J40" s="980" t="s">
        <v>9</v>
      </c>
      <c r="K40" s="1181"/>
      <c r="L40" s="1260" t="s">
        <v>210</v>
      </c>
      <c r="M40" s="1265"/>
      <c r="N40" s="117" t="s">
        <v>9</v>
      </c>
      <c r="O40" s="1182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83"/>
      <c r="K41" s="1183"/>
      <c r="L41" s="1184"/>
      <c r="M41" s="778"/>
      <c r="N41" s="778"/>
      <c r="O41" s="778"/>
    </row>
    <row r="42" spans="1:15">
      <c r="A42" s="1121"/>
      <c r="B42" s="119"/>
      <c r="C42" s="119"/>
      <c r="D42" s="1122"/>
      <c r="I42" s="119"/>
      <c r="J42" s="1173"/>
      <c r="K42" s="589"/>
      <c r="L42" s="1174"/>
    </row>
    <row r="43" spans="1:15">
      <c r="I43" s="119"/>
      <c r="J43" s="1173"/>
      <c r="K43" s="589"/>
      <c r="L43" s="1174"/>
    </row>
    <row r="44" spans="1:15">
      <c r="I44" s="119"/>
      <c r="J44" s="8"/>
      <c r="K44" s="8"/>
      <c r="L44" s="1174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9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TUE</v>
      </c>
      <c r="G1" s="1234">
        <f>Weather_Input!A5</f>
        <v>37061</v>
      </c>
      <c r="H1" s="584" t="s">
        <v>244</v>
      </c>
      <c r="I1" s="588"/>
    </row>
    <row r="2" spans="1:9" ht="20.25">
      <c r="A2" s="634" t="s">
        <v>9</v>
      </c>
      <c r="B2" s="780" t="s">
        <v>539</v>
      </c>
      <c r="C2" s="935" t="s">
        <v>9</v>
      </c>
      <c r="D2" s="782" t="s">
        <v>540</v>
      </c>
      <c r="E2" s="781"/>
      <c r="F2" s="782" t="s">
        <v>541</v>
      </c>
      <c r="G2" s="781"/>
      <c r="H2" s="783" t="s">
        <v>482</v>
      </c>
      <c r="I2" s="637"/>
    </row>
    <row r="3" spans="1:9" ht="20.25">
      <c r="A3" s="1031" t="s">
        <v>483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83</v>
      </c>
      <c r="C4" s="750">
        <f>Weather_Input!C5</f>
        <v>65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36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0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611</v>
      </c>
      <c r="B9" s="667"/>
      <c r="C9" s="1047">
        <f>B45</f>
        <v>10.571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484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485</v>
      </c>
      <c r="B12" s="670"/>
      <c r="C12" s="671">
        <f>+C5-C9</f>
        <v>25.429000000000002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486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487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488</v>
      </c>
      <c r="B18" s="654"/>
      <c r="C18" s="655" t="s">
        <v>9</v>
      </c>
      <c r="D18" s="656"/>
      <c r="E18" s="655"/>
      <c r="F18" s="656"/>
      <c r="G18" s="502" t="s">
        <v>615</v>
      </c>
      <c r="H18" s="654"/>
      <c r="I18" s="816"/>
    </row>
    <row r="19" spans="1:9" ht="24" thickBot="1">
      <c r="A19" s="695" t="s">
        <v>414</v>
      </c>
      <c r="B19" s="696"/>
      <c r="C19" s="697">
        <f>C7+C12</f>
        <v>25.429000000000002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416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419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489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422</v>
      </c>
      <c r="B23" s="709"/>
      <c r="C23" s="703">
        <f>NSG_Requirements!H7/1000</f>
        <v>3.0310000000000001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423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-27.899000000000001</v>
      </c>
      <c r="D25" s="710"/>
      <c r="E25" s="703">
        <f>-NSG_Supplies!Q7/1000</f>
        <v>-27.899000000000001</v>
      </c>
      <c r="F25" s="710"/>
      <c r="G25" s="703">
        <f>-NSG_Supplies!Q7/1000</f>
        <v>-27.899000000000001</v>
      </c>
      <c r="H25" s="709"/>
      <c r="I25" s="766">
        <f>-NSG_Supplies!Q7/1000</f>
        <v>-27.899000000000001</v>
      </c>
    </row>
    <row r="26" spans="1:9" ht="20.25">
      <c r="A26" s="701" t="s">
        <v>421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516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484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426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517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518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490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502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503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491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616</v>
      </c>
      <c r="D38" s="715"/>
      <c r="E38" s="717"/>
      <c r="F38" s="635"/>
      <c r="G38" s="707"/>
      <c r="H38" s="707"/>
      <c r="I38" s="726"/>
    </row>
    <row r="39" spans="1:9" ht="20.25">
      <c r="A39" s="701" t="s">
        <v>492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493</v>
      </c>
      <c r="B40" s="808">
        <f>NSG_Requirements!J7/1000</f>
        <v>4.6440000000000001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494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495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496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612</v>
      </c>
      <c r="B44" s="809">
        <f>NSG_Supplies!P7/1000</f>
        <v>15.215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491</v>
      </c>
      <c r="B45" s="810">
        <f>B44+B41-B40</f>
        <v>10.571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497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498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499</v>
      </c>
      <c r="D51" s="715"/>
      <c r="E51" s="717"/>
      <c r="F51" s="635"/>
      <c r="G51" s="707"/>
      <c r="H51" s="707"/>
      <c r="I51" s="726"/>
    </row>
    <row r="52" spans="1:9" ht="20.25">
      <c r="A52" s="745" t="s">
        <v>500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501</v>
      </c>
      <c r="B53" s="757"/>
      <c r="C53" s="758"/>
      <c r="D53" s="759"/>
      <c r="E53" s="760"/>
      <c r="F53" s="749"/>
      <c r="G53" s="761"/>
      <c r="H53" s="1033"/>
      <c r="I53" s="103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37061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520</v>
      </c>
      <c r="C3" s="448">
        <v>44</v>
      </c>
      <c r="D3" s="254"/>
      <c r="E3" s="254"/>
      <c r="F3" s="448" t="s">
        <v>382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83</v>
      </c>
      <c r="C5" s="261">
        <f>Weather_Input!C5</f>
        <v>65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215</v>
      </c>
      <c r="C8" s="269">
        <f>NSG_Deliveries!C5/1000</f>
        <v>36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122.53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24.85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-41.707000000000008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1.4630000000000001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15.722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385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36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1.9696499999999999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36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</v>
      </c>
      <c r="C27" s="305">
        <f>NSG_Requirements!P7/1000</f>
        <v>0</v>
      </c>
      <c r="D27" s="305">
        <f>PGL_Requirements!Q7/1000</f>
        <v>0.6</v>
      </c>
      <c r="E27" s="305">
        <f>NSG_Requirements!P7/1000</f>
        <v>0</v>
      </c>
      <c r="F27" s="305">
        <f>PGL_Requirements!Q7/1000</f>
        <v>0.6</v>
      </c>
      <c r="G27" s="305">
        <f>NSG_Requirements!P7/1000</f>
        <v>0</v>
      </c>
      <c r="H27" s="306">
        <f>+B27</f>
        <v>0.6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391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-31.556000000000001</v>
      </c>
      <c r="C32" s="310">
        <f>-NSG_Supplies!Q7/1000</f>
        <v>-27.899000000000001</v>
      </c>
      <c r="D32" s="310">
        <f>B32</f>
        <v>-31.556000000000001</v>
      </c>
      <c r="E32" s="310">
        <f>C32</f>
        <v>-27.899000000000001</v>
      </c>
      <c r="F32" s="310">
        <f>B32</f>
        <v>-31.556000000000001</v>
      </c>
      <c r="G32" s="310">
        <f>C32</f>
        <v>-27.899000000000001</v>
      </c>
      <c r="H32" s="315">
        <f>B32</f>
        <v>-31.556000000000001</v>
      </c>
      <c r="I32" s="316">
        <f>C32</f>
        <v>-27.899000000000001</v>
      </c>
    </row>
    <row r="33" spans="1:9" ht="17.100000000000001" customHeight="1">
      <c r="A33" s="314" t="s">
        <v>379</v>
      </c>
      <c r="B33" s="310">
        <f>-PGL_Supplies!W7/1000</f>
        <v>0</v>
      </c>
      <c r="C33" s="310">
        <f>-NSG_Supplies!R7/1000</f>
        <v>-16.024999999999999</v>
      </c>
      <c r="D33" s="310">
        <f>B33</f>
        <v>0</v>
      </c>
      <c r="E33" s="310">
        <f>C33</f>
        <v>-16.024999999999999</v>
      </c>
      <c r="F33" s="310">
        <f>B33</f>
        <v>0</v>
      </c>
      <c r="G33" s="310">
        <f>C33</f>
        <v>-16.024999999999999</v>
      </c>
      <c r="H33" s="315">
        <f>B33</f>
        <v>0</v>
      </c>
      <c r="I33" s="316">
        <f>C33</f>
        <v>-16.024999999999999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3.0310000000000001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-18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392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399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131.31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1.4630000000000001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1.9696499999999999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1.9696499999999999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1.4630000000000001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356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396</v>
      </c>
      <c r="B50" s="319">
        <f>PGL_Supplies!U7/1000+PGL_Supplies!C7/1000</f>
        <v>122.53</v>
      </c>
      <c r="C50" s="308"/>
      <c r="D50" s="308"/>
      <c r="E50" s="308"/>
      <c r="F50" s="314" t="s">
        <v>388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357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122.53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379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481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401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398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379</v>
      </c>
      <c r="B64" s="319">
        <f>PGL_Supplies!X7/1000</f>
        <v>89.602999999999994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480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384</v>
      </c>
      <c r="I69" s="377"/>
    </row>
    <row r="70" spans="1:10" ht="17.100000000000001" customHeight="1">
      <c r="A70" s="327" t="s">
        <v>232</v>
      </c>
      <c r="B70" s="383">
        <f>PGL_Requirements!O7/1000</f>
        <v>131.31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4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-41.707000000000008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TUE</v>
      </c>
      <c r="H73" s="401">
        <f>Weather_Input!A5</f>
        <v>37061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406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403</v>
      </c>
      <c r="C91" s="264" t="s">
        <v>9</v>
      </c>
      <c r="D91" s="596" t="s">
        <v>474</v>
      </c>
      <c r="E91" s="603"/>
      <c r="F91" s="601" t="s">
        <v>475</v>
      </c>
      <c r="G91" s="602"/>
      <c r="H91" s="600" t="s">
        <v>160</v>
      </c>
      <c r="I91" s="255"/>
    </row>
    <row r="92" spans="1:9" ht="15">
      <c r="A92" s="488" t="s">
        <v>404</v>
      </c>
      <c r="B92" s="595" t="s">
        <v>395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405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1.4630000000000001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122.53</v>
      </c>
      <c r="D99" s="615"/>
      <c r="E99" s="264"/>
      <c r="F99" s="597"/>
      <c r="G99" s="264"/>
      <c r="H99" s="597"/>
      <c r="I99" s="262"/>
    </row>
    <row r="100" spans="1:9" ht="15">
      <c r="A100" s="488" t="s">
        <v>407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408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89.602999999999994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15.722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409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410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411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412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413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414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415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416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417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418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419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420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422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423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421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424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425</v>
      </c>
      <c r="B123" s="310">
        <f>-PGL_Supplies!W7/1000</f>
        <v>0</v>
      </c>
      <c r="C123" s="310">
        <f>-NSG_Supplies!R7/1000</f>
        <v>-16.024999999999999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426</v>
      </c>
      <c r="B125" s="310">
        <f>PGL_Requirements!T7/1000</f>
        <v>0</v>
      </c>
      <c r="F125" s="537" t="s">
        <v>9</v>
      </c>
      <c r="G125" s="538"/>
      <c r="H125" s="605"/>
      <c r="I125" s="331"/>
    </row>
    <row r="126" spans="1:9" ht="15">
      <c r="A126" s="420" t="s">
        <v>383</v>
      </c>
      <c r="B126" s="319">
        <f>PGL_Supplies!Q7/1000</f>
        <v>0</v>
      </c>
      <c r="C126" s="310" t="s">
        <v>9</v>
      </c>
      <c r="D126" s="308"/>
      <c r="E126" s="328"/>
      <c r="F126" s="420" t="s">
        <v>446</v>
      </c>
      <c r="G126" s="539"/>
      <c r="H126" s="544"/>
      <c r="I126" s="331"/>
    </row>
    <row r="127" spans="1:9" ht="15">
      <c r="A127" s="420" t="s">
        <v>476</v>
      </c>
      <c r="B127" s="310">
        <f>PGL_Requirements!N7/1000</f>
        <v>0</v>
      </c>
      <c r="C127" s="310" t="s">
        <v>9</v>
      </c>
      <c r="D127" s="308"/>
      <c r="E127" s="328"/>
      <c r="F127" s="420" t="s">
        <v>447</v>
      </c>
      <c r="G127" s="539"/>
      <c r="H127" s="312"/>
      <c r="I127" s="331"/>
    </row>
    <row r="128" spans="1:9" ht="15">
      <c r="A128" s="420" t="s">
        <v>416</v>
      </c>
      <c r="B128" s="310">
        <f>PGL_Requirements!H7/1000</f>
        <v>0</v>
      </c>
      <c r="C128" s="310" t="s">
        <v>9</v>
      </c>
      <c r="D128" s="308"/>
      <c r="E128" s="328"/>
      <c r="F128" s="420" t="s">
        <v>448</v>
      </c>
      <c r="G128" s="539"/>
      <c r="H128" s="312"/>
      <c r="I128" s="331"/>
    </row>
    <row r="129" spans="1:9" ht="15">
      <c r="A129" s="420" t="s">
        <v>427</v>
      </c>
      <c r="B129" s="310" t="e">
        <f>PGL_Requirements!#REF!/1000</f>
        <v>#REF!</v>
      </c>
      <c r="C129" s="308"/>
      <c r="D129" s="308"/>
      <c r="E129" s="328"/>
      <c r="F129" s="420" t="s">
        <v>449</v>
      </c>
      <c r="G129" s="539"/>
      <c r="H129" s="312"/>
      <c r="I129" s="331"/>
    </row>
    <row r="130" spans="1:9" ht="15">
      <c r="A130" s="420" t="s">
        <v>428</v>
      </c>
      <c r="B130" s="310">
        <f>PGL_Requirements!Z7/1000</f>
        <v>0</v>
      </c>
      <c r="C130" s="589"/>
      <c r="D130" s="308"/>
      <c r="E130" s="328"/>
      <c r="F130" s="420" t="s">
        <v>450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451</v>
      </c>
      <c r="G131" s="539"/>
      <c r="H131" s="312"/>
      <c r="I131" s="331"/>
    </row>
    <row r="132" spans="1:9" ht="15.75" thickBot="1">
      <c r="A132" s="420" t="s">
        <v>379</v>
      </c>
      <c r="B132" s="319">
        <f>PGL_Supplies!T7/1000</f>
        <v>0</v>
      </c>
      <c r="C132" s="344"/>
      <c r="D132" s="344"/>
      <c r="E132" s="549"/>
      <c r="F132" s="420" t="s">
        <v>452</v>
      </c>
      <c r="G132" s="539"/>
      <c r="H132" s="312"/>
      <c r="I132" s="331"/>
    </row>
    <row r="133" spans="1:9" ht="16.5" thickBot="1">
      <c r="A133" s="554" t="s">
        <v>429</v>
      </c>
      <c r="B133" s="561" t="e">
        <f>B126+B127+B130+B131+B132-B125-B128-B129</f>
        <v>#REF!</v>
      </c>
      <c r="C133" s="526"/>
      <c r="D133" s="526"/>
      <c r="E133" s="516"/>
      <c r="F133" s="420" t="s">
        <v>453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454</v>
      </c>
      <c r="G134" s="540"/>
      <c r="H134" s="312"/>
      <c r="I134" s="331"/>
    </row>
    <row r="135" spans="1:9" ht="15">
      <c r="A135" s="420" t="s">
        <v>416</v>
      </c>
      <c r="B135" s="132">
        <f>PGL_Requirements!I7</f>
        <v>0</v>
      </c>
      <c r="C135" s="8"/>
      <c r="D135" s="8"/>
      <c r="E135" s="8"/>
      <c r="F135" s="542" t="s">
        <v>455</v>
      </c>
      <c r="G135" s="540"/>
      <c r="H135" s="345"/>
      <c r="I135" s="331"/>
    </row>
    <row r="136" spans="1:9" ht="15">
      <c r="A136" s="420" t="s">
        <v>430</v>
      </c>
      <c r="B136" s="319">
        <f>NSG_Supplies!N7/1011</f>
        <v>0</v>
      </c>
      <c r="C136" s="308"/>
      <c r="D136" s="308"/>
      <c r="E136" s="308"/>
      <c r="F136" s="420" t="s">
        <v>456</v>
      </c>
      <c r="G136" s="539"/>
      <c r="H136" s="347"/>
      <c r="I136" s="331"/>
    </row>
    <row r="137" spans="1:9" ht="15">
      <c r="A137" s="420" t="s">
        <v>431</v>
      </c>
      <c r="B137" s="319">
        <f>PGL_Supplies!Z7/1000</f>
        <v>0</v>
      </c>
      <c r="C137" s="589"/>
      <c r="D137" s="308"/>
      <c r="E137" s="308"/>
      <c r="F137" s="420" t="s">
        <v>457</v>
      </c>
      <c r="G137" s="539"/>
      <c r="H137" s="312"/>
      <c r="I137" s="331"/>
    </row>
    <row r="138" spans="1:9" ht="15">
      <c r="A138" s="420" t="s">
        <v>432</v>
      </c>
      <c r="B138" s="132">
        <f>PGL_Requirements!C7</f>
        <v>0</v>
      </c>
      <c r="C138" s="308"/>
      <c r="D138" s="308"/>
      <c r="E138" s="308"/>
      <c r="F138" s="420" t="s">
        <v>389</v>
      </c>
      <c r="G138" s="539"/>
      <c r="H138" s="347"/>
      <c r="I138" s="331"/>
    </row>
    <row r="139" spans="1:9" ht="15">
      <c r="A139" s="420" t="s">
        <v>433</v>
      </c>
      <c r="B139" s="319">
        <f>PGL_Supplies!C7/1000</f>
        <v>0</v>
      </c>
      <c r="C139" s="308"/>
      <c r="D139" s="308"/>
      <c r="E139" s="308"/>
      <c r="F139" s="365" t="s">
        <v>458</v>
      </c>
      <c r="G139" s="543"/>
      <c r="H139" s="534"/>
      <c r="I139" s="331"/>
    </row>
    <row r="140" spans="1:9" ht="15.75" thickBot="1">
      <c r="A140" s="420" t="s">
        <v>379</v>
      </c>
      <c r="B140" s="319">
        <f>PGL_Supplies!U7/1000</f>
        <v>122.53</v>
      </c>
      <c r="C140" s="344"/>
      <c r="D140" s="344"/>
      <c r="E140" s="344"/>
      <c r="F140" s="365" t="s">
        <v>459</v>
      </c>
      <c r="G140" s="543"/>
      <c r="H140" s="545"/>
      <c r="I140" s="331"/>
    </row>
    <row r="141" spans="1:9" ht="16.5" thickBot="1">
      <c r="A141" s="554" t="s">
        <v>429</v>
      </c>
      <c r="B141" s="556">
        <f>-B135+B136+B137-B138+B139+B140</f>
        <v>122.53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460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131.31</v>
      </c>
      <c r="C143" s="308"/>
      <c r="D143" s="308"/>
      <c r="E143" s="308"/>
      <c r="F143" s="563" t="s">
        <v>412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434</v>
      </c>
      <c r="B144" s="319">
        <f>PGL_Supplies!L7/1000</f>
        <v>0</v>
      </c>
      <c r="C144" s="308"/>
      <c r="D144" s="308"/>
      <c r="E144" s="308"/>
      <c r="F144" s="356" t="s">
        <v>461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435</v>
      </c>
      <c r="B145" s="319">
        <f>PGL_Requirements!B7/1000</f>
        <v>0</v>
      </c>
      <c r="C145" s="308"/>
      <c r="D145" s="308"/>
      <c r="E145" s="308"/>
      <c r="F145" s="532" t="s">
        <v>462</v>
      </c>
      <c r="G145" s="350"/>
      <c r="H145" s="521" t="s">
        <v>9</v>
      </c>
      <c r="I145" s="402"/>
    </row>
    <row r="146" spans="1:9" ht="15.75" thickBot="1">
      <c r="A146" s="420" t="s">
        <v>436</v>
      </c>
      <c r="B146" s="319">
        <f>PGL_Supplies!G7/1000</f>
        <v>1.4630000000000001</v>
      </c>
      <c r="C146" s="308"/>
      <c r="D146" s="308"/>
      <c r="E146" s="308"/>
      <c r="F146" s="560" t="s">
        <v>438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413</v>
      </c>
      <c r="B147" s="319" t="s">
        <v>9</v>
      </c>
      <c r="C147" s="308"/>
      <c r="D147" s="308"/>
      <c r="E147" s="308"/>
      <c r="F147" s="353" t="s">
        <v>463</v>
      </c>
      <c r="G147" s="354"/>
      <c r="H147" s="354"/>
      <c r="I147" s="355"/>
    </row>
    <row r="148" spans="1:9" ht="15.75" thickBot="1">
      <c r="A148" s="420" t="s">
        <v>437</v>
      </c>
      <c r="B148" s="319">
        <f>PGL_Requirements!P7/1000</f>
        <v>1.9696499999999999</v>
      </c>
      <c r="C148" s="344"/>
      <c r="D148" s="344"/>
      <c r="E148" s="344"/>
      <c r="F148" s="537" t="s">
        <v>464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438</v>
      </c>
      <c r="B149" s="514">
        <f>B144+B146</f>
        <v>1.4630000000000001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438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407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465</v>
      </c>
      <c r="G152" s="538"/>
      <c r="H152" s="569"/>
      <c r="I152" s="383">
        <f>PGL_Requirements!S7/1000</f>
        <v>0</v>
      </c>
    </row>
    <row r="153" spans="1:9" ht="15">
      <c r="A153" s="420" t="s">
        <v>439</v>
      </c>
      <c r="B153" s="383">
        <f>PGL_Requirements!M7/1000</f>
        <v>0</v>
      </c>
      <c r="C153" s="308"/>
      <c r="D153" s="308"/>
      <c r="E153" s="375"/>
      <c r="F153" s="533" t="s">
        <v>466</v>
      </c>
      <c r="G153" s="540"/>
      <c r="H153" s="535"/>
      <c r="I153" s="383">
        <f>PGL_Requirements!S7/1000</f>
        <v>0</v>
      </c>
    </row>
    <row r="154" spans="1:9" ht="15">
      <c r="A154" s="420" t="s">
        <v>440</v>
      </c>
      <c r="B154" s="319">
        <f>PGL_Supplies!AD7/1000</f>
        <v>0</v>
      </c>
      <c r="C154" s="376" t="s">
        <v>9</v>
      </c>
      <c r="D154" s="308"/>
      <c r="E154" s="377"/>
      <c r="F154" s="532" t="s">
        <v>467</v>
      </c>
      <c r="G154" s="539"/>
      <c r="H154" s="535"/>
      <c r="I154" s="319">
        <f>PGL_Supplies!AK7/1000</f>
        <v>0</v>
      </c>
    </row>
    <row r="155" spans="1:9" ht="15">
      <c r="A155" s="420" t="s">
        <v>441</v>
      </c>
      <c r="B155" s="383">
        <f>PGL_Requirements!E7/1000</f>
        <v>4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442</v>
      </c>
      <c r="B156" s="319">
        <f>PGL_Supplies!F7/1000</f>
        <v>0</v>
      </c>
      <c r="C156" s="384" t="s">
        <v>9</v>
      </c>
      <c r="D156" s="308"/>
      <c r="E156" s="377"/>
      <c r="F156" s="365" t="s">
        <v>379</v>
      </c>
      <c r="G156" s="568"/>
      <c r="H156" s="545"/>
      <c r="I156" s="319">
        <f>PGL_Supplies!AK9/1000</f>
        <v>0</v>
      </c>
    </row>
    <row r="157" spans="1:9" ht="15.75">
      <c r="A157" s="420" t="s">
        <v>443</v>
      </c>
      <c r="B157" s="383">
        <f>PGL_Requirements!S7/1000</f>
        <v>0</v>
      </c>
      <c r="C157" s="376" t="s">
        <v>9</v>
      </c>
      <c r="D157" s="308"/>
      <c r="E157" s="377"/>
      <c r="F157" s="570" t="s">
        <v>468</v>
      </c>
      <c r="G157" s="571"/>
      <c r="H157" s="569"/>
      <c r="I157" s="572">
        <v>0</v>
      </c>
    </row>
    <row r="158" spans="1:9" ht="15.75" thickBot="1">
      <c r="A158" s="420" t="s">
        <v>444</v>
      </c>
      <c r="B158" s="319">
        <f>PGL_Supplies!O7/1000</f>
        <v>0</v>
      </c>
      <c r="C158" s="384" t="s">
        <v>9</v>
      </c>
      <c r="D158" s="308"/>
      <c r="E158" s="486"/>
      <c r="F158" s="573" t="s">
        <v>469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4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379</v>
      </c>
      <c r="B160" s="606">
        <f>PGL_Supplies!X7/1000</f>
        <v>89.602999999999994</v>
      </c>
      <c r="C160" s="522" t="s">
        <v>9</v>
      </c>
      <c r="D160" s="344"/>
      <c r="E160" s="520"/>
      <c r="F160" s="576" t="s">
        <v>470</v>
      </c>
      <c r="G160" s="536" t="s">
        <v>9</v>
      </c>
      <c r="H160" s="518"/>
      <c r="I160" s="581"/>
    </row>
    <row r="161" spans="1:9" ht="16.5" thickBot="1">
      <c r="A161" s="590" t="s">
        <v>445</v>
      </c>
      <c r="B161" s="608"/>
      <c r="C161" s="528" t="s">
        <v>9</v>
      </c>
      <c r="D161" s="529"/>
      <c r="E161" s="530"/>
      <c r="F161" s="559" t="s">
        <v>471</v>
      </c>
      <c r="G161" s="344"/>
      <c r="H161" s="579"/>
      <c r="I161" s="580" t="s">
        <v>9</v>
      </c>
    </row>
    <row r="162" spans="1:9" ht="16.5" thickBot="1">
      <c r="A162" s="394" t="s">
        <v>438</v>
      </c>
      <c r="B162" s="607">
        <f>B154+B156+B158+B159+B160-B153-B155-B157-B161</f>
        <v>89.602999999999994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472</v>
      </c>
      <c r="C163" s="592"/>
      <c r="D163" s="592" t="s">
        <v>473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368</v>
      </c>
      <c r="F5" s="194" t="s">
        <v>247</v>
      </c>
      <c r="G5" s="122" t="s">
        <v>369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370</v>
      </c>
    </row>
    <row r="9" spans="1:10">
      <c r="D9" s="122" t="s">
        <v>372</v>
      </c>
      <c r="G9" s="122" t="s">
        <v>371</v>
      </c>
    </row>
    <row r="10" spans="1:10">
      <c r="D10" s="122" t="s">
        <v>373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377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37062.472425231485</v>
      </c>
      <c r="F22" s="161" t="s">
        <v>257</v>
      </c>
      <c r="G22" s="188">
        <f ca="1">NOW()</f>
        <v>37062.472425231485</v>
      </c>
    </row>
    <row r="24" spans="2:9">
      <c r="B24" s="161" t="s">
        <v>258</v>
      </c>
      <c r="D24" s="225" t="s">
        <v>393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394</v>
      </c>
      <c r="C28" s="122" t="s">
        <v>374</v>
      </c>
    </row>
    <row r="29" spans="2:9">
      <c r="B29" t="s">
        <v>9</v>
      </c>
      <c r="C29" s="161" t="s">
        <v>375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376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37061</v>
      </c>
      <c r="C5" s="15"/>
      <c r="D5" s="22" t="s">
        <v>275</v>
      </c>
      <c r="E5" s="23">
        <f>Weather_Input!B5</f>
        <v>83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162</v>
      </c>
      <c r="E6" s="23">
        <f>Weather_Input!C5</f>
        <v>65</v>
      </c>
      <c r="F6" s="24" t="s">
        <v>278</v>
      </c>
      <c r="G6" s="25">
        <f>Weather_Input!F5</f>
        <v>77</v>
      </c>
      <c r="H6" s="26" t="s">
        <v>279</v>
      </c>
      <c r="I6" s="27">
        <f ca="1">G6-(VLOOKUP(B5,DD_Normal_Data,CELL("Col",C7),FALSE))</f>
        <v>31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71.2</v>
      </c>
      <c r="F7" s="24" t="s">
        <v>281</v>
      </c>
      <c r="G7" s="25">
        <f>Weather_Input!G5</f>
        <v>6689</v>
      </c>
      <c r="H7" s="26" t="s">
        <v>281</v>
      </c>
      <c r="I7" s="120">
        <f ca="1">G7-(VLOOKUP(B5,DD_Normal_Data,CELL("Col",D4),FALSE))</f>
        <v>267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OVERNIGHT…MOSTLY CLOUDY. A 40% CHANCE OF RAIN.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37062</v>
      </c>
      <c r="C10" s="15"/>
      <c r="D10" s="150" t="s">
        <v>275</v>
      </c>
      <c r="E10" s="23">
        <f>Weather_Input!B6</f>
        <v>78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59</v>
      </c>
      <c r="F11" s="24" t="s">
        <v>278</v>
      </c>
      <c r="G11" s="25">
        <f>IF(DAY(B10)=1,G10,G6+G10)</f>
        <v>77</v>
      </c>
      <c r="H11" s="30" t="s">
        <v>279</v>
      </c>
      <c r="I11" s="27">
        <f ca="1">G11-(VLOOKUP(B10,DD_Normal_Data,CELL("Col",C12),FALSE))</f>
        <v>31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68.5</v>
      </c>
      <c r="F12" s="24" t="s">
        <v>281</v>
      </c>
      <c r="G12" s="25">
        <f>IF(AND(DAY(B10)=1,MONTH(B10)=8),G10,G7+G10)</f>
        <v>6689</v>
      </c>
      <c r="H12" s="26" t="s">
        <v>281</v>
      </c>
      <c r="I12" s="27">
        <f ca="1">G12-(VLOOKUP(B10,DD_Normal_Data,CELL("Col",D9),FALSE))</f>
        <v>267</v>
      </c>
    </row>
    <row r="13" spans="1:109" ht="15">
      <c r="A13" s="18"/>
      <c r="B13" s="21"/>
      <c r="C13" s="15"/>
      <c r="D13" s="32" t="str">
        <f>IF(Weather_Input!I6=""," ",Weather_Input!I6)</f>
        <v>MOSTLY CLOUDY THIS A.M…BECOMING PARTLY SUNNY BY P.M. N.E. WINDS 5/10 MPH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OVERNIGHT…PARTLY CLOUDY. LIGHT NORTH WINDS.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37063</v>
      </c>
      <c r="C15" s="15"/>
      <c r="D15" s="22" t="s">
        <v>275</v>
      </c>
      <c r="E15" s="23">
        <f>Weather_Input!B7</f>
        <v>72</v>
      </c>
      <c r="F15" s="24" t="s">
        <v>276</v>
      </c>
      <c r="G15" s="25">
        <f>IF(E17&lt;65,65-(Weather_Input!B7+Weather_Input!C7)/2,0)</f>
        <v>2.5</v>
      </c>
      <c r="H15" s="26" t="s">
        <v>277</v>
      </c>
      <c r="I15" s="27">
        <f ca="1">G15-(VLOOKUP(B15,DD_Normal_Data,CELL("Col",B16),FALSE))</f>
        <v>2.5</v>
      </c>
    </row>
    <row r="16" spans="1:109" ht="15">
      <c r="A16" s="18"/>
      <c r="B16" s="20"/>
      <c r="C16" s="15"/>
      <c r="D16" s="22" t="s">
        <v>162</v>
      </c>
      <c r="E16" s="23">
        <f>Weather_Input!C7</f>
        <v>53</v>
      </c>
      <c r="F16" s="24" t="s">
        <v>278</v>
      </c>
      <c r="G16" s="25">
        <f>IF(DAY(B15)=1,G15,G11+G15)</f>
        <v>79.5</v>
      </c>
      <c r="H16" s="30" t="s">
        <v>279</v>
      </c>
      <c r="I16" s="27">
        <f ca="1">G16-(VLOOKUP(B15,DD_Normal_Data,CELL("Col",C17),FALSE))</f>
        <v>33.5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62.5</v>
      </c>
      <c r="F17" s="24" t="s">
        <v>281</v>
      </c>
      <c r="G17" s="25">
        <f>IF(AND(DAY(B15)=1,MONTH(B15)=8),G15,G12+G15)</f>
        <v>6691.5</v>
      </c>
      <c r="H17" s="26" t="s">
        <v>281</v>
      </c>
      <c r="I17" s="27">
        <f ca="1">G17-(VLOOKUP(B15,DD_Normal_Data,CELL("Col",D14),FALSE))</f>
        <v>269.5</v>
      </c>
    </row>
    <row r="18" spans="1:109" ht="15">
      <c r="A18" s="18"/>
      <c r="B18" s="20"/>
      <c r="C18" s="15"/>
      <c r="D18" s="32" t="str">
        <f>IF(Weather_Input!I7=""," ",Weather_Input!I7)</f>
        <v>PARTLY CLOUDY WITH A 30% CHANCE OF P.M. SHOWERS…COOLER NEAR LAKE. OVE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RNIGHT…BECOMING FAIR.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37064</v>
      </c>
      <c r="C20" s="15"/>
      <c r="D20" s="22" t="s">
        <v>275</v>
      </c>
      <c r="E20" s="23">
        <f>Weather_Input!B8</f>
        <v>74</v>
      </c>
      <c r="F20" s="24" t="s">
        <v>276</v>
      </c>
      <c r="G20" s="25">
        <f>IF(E22&lt;65,65-(Weather_Input!B8+Weather_Input!C8)/2,0)</f>
        <v>2.5</v>
      </c>
      <c r="H20" s="26" t="s">
        <v>277</v>
      </c>
      <c r="I20" s="27">
        <f ca="1">G20-(VLOOKUP(B20,DD_Normal_Data,CELL("Col",B21),FALSE))</f>
        <v>2.5</v>
      </c>
    </row>
    <row r="21" spans="1:109" ht="15">
      <c r="A21" s="18"/>
      <c r="B21" s="21"/>
      <c r="C21" s="15"/>
      <c r="D21" s="22" t="s">
        <v>162</v>
      </c>
      <c r="E21" s="23">
        <f>Weather_Input!C8</f>
        <v>51</v>
      </c>
      <c r="F21" s="24" t="s">
        <v>278</v>
      </c>
      <c r="G21" s="25">
        <f>IF(DAY(B20)=1,G20,G16+G20)</f>
        <v>82</v>
      </c>
      <c r="H21" s="30" t="s">
        <v>279</v>
      </c>
      <c r="I21" s="27">
        <f ca="1">G21-(VLOOKUP(B20,DD_Normal_Data,CELL("Col",C22),FALSE))</f>
        <v>36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62.5</v>
      </c>
      <c r="F22" s="24" t="s">
        <v>281</v>
      </c>
      <c r="G22" s="25">
        <f>IF(AND(DAY(B20)=1,MONTH(B20)=8),G20,G17+G20)</f>
        <v>6694</v>
      </c>
      <c r="H22" s="26" t="s">
        <v>281</v>
      </c>
      <c r="I22" s="27">
        <f ca="1">G22-(VLOOKUP(B20,DD_Normal_Data,CELL("Col",D19),FALSE))</f>
        <v>272</v>
      </c>
    </row>
    <row r="23" spans="1:109" ht="15">
      <c r="A23" s="18"/>
      <c r="B23" s="21"/>
      <c r="C23" s="15"/>
      <c r="D23" s="32" t="str">
        <f>IF(Weather_Input!I8=""," ",Weather_Input!I8)</f>
        <v>SUNNY…BUT COOLER NEAR THE LAKE.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37065</v>
      </c>
      <c r="C25" s="15"/>
      <c r="D25" s="22" t="s">
        <v>275</v>
      </c>
      <c r="E25" s="23">
        <f>Weather_Input!B9</f>
        <v>80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58</v>
      </c>
      <c r="F26" s="24" t="s">
        <v>278</v>
      </c>
      <c r="G26" s="25">
        <f>IF(DAY(B25)=1,G25,G21+G25)</f>
        <v>82</v>
      </c>
      <c r="H26" s="30" t="s">
        <v>279</v>
      </c>
      <c r="I26" s="27">
        <f ca="1">G26-(VLOOKUP(B25,DD_Normal_Data,CELL("Col",C27),FALSE))</f>
        <v>36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69</v>
      </c>
      <c r="F27" s="24" t="s">
        <v>281</v>
      </c>
      <c r="G27" s="25">
        <f>IF(AND(DAY(B25)=1,MONTH(B25)=8),G25,G22+G25)</f>
        <v>6694</v>
      </c>
      <c r="H27" s="26" t="s">
        <v>281</v>
      </c>
      <c r="I27" s="27">
        <f ca="1">G27-(VLOOKUP(B25,DD_Normal_Data,CELL("Col",D24),FALSE))</f>
        <v>272</v>
      </c>
    </row>
    <row r="28" spans="1:109" ht="15">
      <c r="A28" s="18"/>
      <c r="B28" s="20"/>
      <c r="C28" s="15"/>
      <c r="D28" s="32" t="str">
        <f>IF(Weather_Input!I9=""," ",Weather_Input!I9)</f>
        <v>PARTLY CLOUDY…BUT COOLER NEAR THE LAKE.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37066</v>
      </c>
      <c r="C30" s="15"/>
      <c r="D30" s="22" t="s">
        <v>275</v>
      </c>
      <c r="E30" s="23">
        <f>Weather_Input!B10</f>
        <v>85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62</v>
      </c>
      <c r="F31" s="24" t="s">
        <v>278</v>
      </c>
      <c r="G31" s="25">
        <f>IF(DAY(B30)=1,G30,G26+G30)</f>
        <v>82</v>
      </c>
      <c r="H31" s="30" t="s">
        <v>279</v>
      </c>
      <c r="I31" s="27">
        <f ca="1">G31-(VLOOKUP(B30,DD_Normal_Data,CELL("Col",C32),FALSE))</f>
        <v>36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73.5</v>
      </c>
      <c r="F32" s="24" t="s">
        <v>281</v>
      </c>
      <c r="G32" s="25">
        <f>IF(AND(DAY(B30)=1,MONTH(B30)=8),G30,G27+G30)</f>
        <v>6694</v>
      </c>
      <c r="H32" s="26" t="s">
        <v>281</v>
      </c>
      <c r="I32" s="27">
        <f ca="1">G32-(VLOOKUP(B30,DD_Normal_Data,CELL("Col",D29),FALSE))</f>
        <v>272</v>
      </c>
    </row>
    <row r="33" spans="1:9" ht="15">
      <c r="A33" s="15"/>
      <c r="B33" s="34"/>
      <c r="C33" s="15"/>
      <c r="D33" s="32" t="str">
        <f>IF(Weather_Input!I10=""," ",Weather_Input!I10)</f>
        <v>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37061</v>
      </c>
      <c r="C36" s="89">
        <f>B10</f>
        <v>37062</v>
      </c>
      <c r="D36" s="89">
        <f>B15</f>
        <v>37063</v>
      </c>
      <c r="E36" s="89">
        <f xml:space="preserve">       B20</f>
        <v>37064</v>
      </c>
      <c r="F36" s="89">
        <f>B25</f>
        <v>37065</v>
      </c>
      <c r="G36" s="89">
        <f>B30</f>
        <v>37066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215</v>
      </c>
      <c r="C37" s="41">
        <f ca="1">(VLOOKUP(C36,PGL_Sendouts,(CELL("COL",PGL_Deliveries!C7))))/1000</f>
        <v>220</v>
      </c>
      <c r="D37" s="41">
        <f ca="1">(VLOOKUP(D36,PGL_Sendouts,(CELL("COL",PGL_Deliveries!C8))))/1000</f>
        <v>225</v>
      </c>
      <c r="E37" s="41">
        <f ca="1">(VLOOKUP(E36,PGL_Sendouts,(CELL("COL",PGL_Deliveries!C9))))/1000</f>
        <v>205</v>
      </c>
      <c r="F37" s="41">
        <f ca="1">(VLOOKUP(F36,PGL_Sendouts,(CELL("COL",PGL_Deliveries!C10))))/1000</f>
        <v>185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286</v>
      </c>
      <c r="B38" s="41">
        <f>PGL_6_Day_Report!D25</f>
        <v>367.84615000000002</v>
      </c>
      <c r="C38" s="41">
        <f>PGL_6_Day_Report!E25</f>
        <v>357.52499999999998</v>
      </c>
      <c r="D38" s="41">
        <f>PGL_6_Day_Report!F25</f>
        <v>366.52499999999998</v>
      </c>
      <c r="E38" s="41">
        <f>PGL_6_Day_Report!G25</f>
        <v>346.52499999999998</v>
      </c>
      <c r="F38" s="41">
        <f>PGL_6_Day_Report!H25</f>
        <v>326.52499999999998</v>
      </c>
      <c r="G38" s="41">
        <f>PGL_6_Day_Report!I25</f>
        <v>341.52499999999998</v>
      </c>
      <c r="H38" s="14"/>
      <c r="I38" s="15"/>
    </row>
    <row r="39" spans="1:9" ht="15">
      <c r="A39" s="42" t="s">
        <v>104</v>
      </c>
      <c r="B39" s="41">
        <f>SUM(PGL_Supplies!Y7:AD7)/1000</f>
        <v>203.02699999999999</v>
      </c>
      <c r="C39" s="41">
        <f>SUM(PGL_Supplies!Y8:AD8)/1000</f>
        <v>216.434</v>
      </c>
      <c r="D39" s="41">
        <f>SUM(PGL_Supplies!Y9:AD9)/1000</f>
        <v>196.434</v>
      </c>
      <c r="E39" s="41">
        <f>SUM(PGL_Supplies!Y10:AD10)/1000</f>
        <v>196.434</v>
      </c>
      <c r="F39" s="41">
        <f>SUM(PGL_Supplies!Y11:AD11)/1000</f>
        <v>196.434</v>
      </c>
      <c r="G39" s="41">
        <f>SUM(PGL_Supplies!Y12:AD12)/1000</f>
        <v>196.434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0.6</v>
      </c>
      <c r="C41" s="41">
        <f>SUM(PGL_Requirements!Q7:T7)/1000</f>
        <v>0.6</v>
      </c>
      <c r="D41" s="41">
        <f>SUM(PGL_Requirements!Q7:T7)/1000</f>
        <v>0.6</v>
      </c>
      <c r="E41" s="41">
        <f>SUM(PGL_Requirements!Q7:T7)/1000</f>
        <v>0.6</v>
      </c>
      <c r="F41" s="41">
        <f>SUM(PGL_Requirements!Q7:T7)/1000</f>
        <v>0.6</v>
      </c>
      <c r="G41" s="41">
        <f>SUM(PGL_Requirements!Q7:T7)/1000</f>
        <v>0.6</v>
      </c>
      <c r="H41" s="14"/>
      <c r="I41" s="15"/>
    </row>
    <row r="42" spans="1:9" ht="15">
      <c r="A42" s="15" t="s">
        <v>127</v>
      </c>
      <c r="B42" s="41">
        <f>PGL_Supplies!U7/1000</f>
        <v>122.53</v>
      </c>
      <c r="C42" s="41">
        <f>PGL_Supplies!U8/1000</f>
        <v>120.05500000000001</v>
      </c>
      <c r="D42" s="41">
        <f>PGL_Supplies!U9/1000</f>
        <v>120.05500000000001</v>
      </c>
      <c r="E42" s="41">
        <f>PGL_Supplies!U10/1000</f>
        <v>120.05500000000001</v>
      </c>
      <c r="F42" s="41">
        <f>PGL_Supplies!U11/1000</f>
        <v>120.05500000000001</v>
      </c>
      <c r="G42" s="41">
        <f>PGL_Supplies!U12/1000</f>
        <v>120.05500000000001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37061</v>
      </c>
      <c r="C44" s="89">
        <f t="shared" si="0"/>
        <v>37062</v>
      </c>
      <c r="D44" s="89">
        <f t="shared" si="0"/>
        <v>37063</v>
      </c>
      <c r="E44" s="89">
        <f t="shared" si="0"/>
        <v>37064</v>
      </c>
      <c r="F44" s="89">
        <f t="shared" si="0"/>
        <v>37065</v>
      </c>
      <c r="G44" s="89">
        <f t="shared" si="0"/>
        <v>37066</v>
      </c>
      <c r="H44" s="14"/>
      <c r="I44" s="15"/>
    </row>
    <row r="45" spans="1:9" ht="15">
      <c r="A45" s="15" t="s">
        <v>54</v>
      </c>
      <c r="B45" s="41">
        <f ca="1">NSG_6_Day_Report!D6</f>
        <v>36</v>
      </c>
      <c r="C45" s="41">
        <f ca="1">NSG_6_Day_Report!E6</f>
        <v>37</v>
      </c>
      <c r="D45" s="41">
        <f ca="1">NSG_6_Day_Report!F6</f>
        <v>38</v>
      </c>
      <c r="E45" s="41">
        <f ca="1">NSG_6_Day_Report!G6</f>
        <v>36</v>
      </c>
      <c r="F45" s="41">
        <f ca="1">NSG_6_Day_Report!H6</f>
        <v>33</v>
      </c>
      <c r="G45" s="41">
        <f ca="1">NSG_6_Day_Report!I6</f>
        <v>36</v>
      </c>
      <c r="H45" s="14"/>
      <c r="I45" s="15"/>
    </row>
    <row r="46" spans="1:9" ht="15">
      <c r="A46" s="42" t="s">
        <v>286</v>
      </c>
      <c r="B46" s="41">
        <f ca="1">NSG_6_Day_Report!D11</f>
        <v>43.674999999999997</v>
      </c>
      <c r="C46" s="41">
        <f ca="1">NSG_6_Day_Report!E11</f>
        <v>43.76</v>
      </c>
      <c r="D46" s="41">
        <f ca="1">NSG_6_Day_Report!F11</f>
        <v>40</v>
      </c>
      <c r="E46" s="41">
        <f ca="1">NSG_6_Day_Report!G11</f>
        <v>38</v>
      </c>
      <c r="F46" s="41">
        <f ca="1">NSG_6_Day_Report!H11</f>
        <v>35</v>
      </c>
      <c r="G46" s="41">
        <f ca="1">NSG_6_Day_Report!I11</f>
        <v>38</v>
      </c>
      <c r="H46" s="14"/>
      <c r="I46" s="15"/>
    </row>
    <row r="47" spans="1:9" ht="15">
      <c r="A47" s="42" t="s">
        <v>104</v>
      </c>
      <c r="B47" s="41">
        <f>SUM(NSG_Supplies!O7:Q7)/1000</f>
        <v>43.113999999999997</v>
      </c>
      <c r="C47" s="41">
        <f>SUM(NSG_Supplies!O8:Q8)/1000</f>
        <v>43.764000000000003</v>
      </c>
      <c r="D47" s="41">
        <f>SUM(NSG_Supplies!O9:Q9)/1000</f>
        <v>43.764000000000003</v>
      </c>
      <c r="E47" s="41">
        <f>SUM(NSG_Supplies!O10:Q10)/1000</f>
        <v>43.764000000000003</v>
      </c>
      <c r="F47" s="41">
        <f>SUM(NSG_Supplies!O11:Q11)/1000</f>
        <v>43.764000000000003</v>
      </c>
      <c r="G47" s="41">
        <f>SUM(NSG_Supplies!O12:Q12)/1000</f>
        <v>43.764000000000003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16.024999999999999</v>
      </c>
      <c r="C50" s="41">
        <f>NSG_Supplies!R8/1000</f>
        <v>16.675000000000001</v>
      </c>
      <c r="D50" s="41">
        <f>NSG_Supplies!R9/1000</f>
        <v>16.675000000000001</v>
      </c>
      <c r="E50" s="41">
        <f>NSG_Supplies!R10/1000</f>
        <v>16.675000000000001</v>
      </c>
      <c r="F50" s="41">
        <f>NSG_Supplies!R11/1000</f>
        <v>16.675000000000001</v>
      </c>
      <c r="G50" s="41">
        <f>NSG_Supplies!R12/1000</f>
        <v>16.675000000000001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37061</v>
      </c>
      <c r="C52" s="89">
        <f t="shared" si="1"/>
        <v>37062</v>
      </c>
      <c r="D52" s="89">
        <f t="shared" si="1"/>
        <v>37063</v>
      </c>
      <c r="E52" s="89">
        <f t="shared" si="1"/>
        <v>37064</v>
      </c>
      <c r="F52" s="89">
        <f t="shared" si="1"/>
        <v>37065</v>
      </c>
      <c r="G52" s="89">
        <f t="shared" si="1"/>
        <v>37066</v>
      </c>
      <c r="H52" s="14"/>
      <c r="I52" s="15"/>
    </row>
    <row r="53" spans="1:9" ht="15">
      <c r="A53" s="92" t="s">
        <v>290</v>
      </c>
      <c r="B53" s="41">
        <f>PGL_Requirements!O7/1000</f>
        <v>131.31</v>
      </c>
      <c r="C53" s="41">
        <f>PGL_Requirements!O8/1000</f>
        <v>135</v>
      </c>
      <c r="D53" s="41">
        <f>PGL_Requirements!O9/1000</f>
        <v>135</v>
      </c>
      <c r="E53" s="41">
        <f>PGL_Requirements!O10/1000</f>
        <v>135</v>
      </c>
      <c r="F53" s="41">
        <f>PGL_Requirements!O11/1000</f>
        <v>135</v>
      </c>
      <c r="G53" s="41">
        <f>PGL_Requirements!O12/1000</f>
        <v>135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43" t="s">
        <v>699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70"/>
    </row>
    <row r="3" spans="1:8" ht="15.75" thickBot="1">
      <c r="A3" s="96" t="s">
        <v>296</v>
      </c>
    </row>
    <row r="4" spans="1:8">
      <c r="A4" s="97"/>
      <c r="B4" s="1071" t="str">
        <f>Six_Day_Summary!A10</f>
        <v>Wednesday</v>
      </c>
      <c r="C4" s="1072" t="str">
        <f>Six_Day_Summary!A15</f>
        <v>Thursday</v>
      </c>
      <c r="D4" s="1072" t="str">
        <f>Six_Day_Summary!A20</f>
        <v>Friday</v>
      </c>
      <c r="E4" s="1072" t="str">
        <f>Six_Day_Summary!A25</f>
        <v>Saturday</v>
      </c>
      <c r="F4" s="1073" t="str">
        <f>Six_Day_Summary!A30</f>
        <v>Sunday</v>
      </c>
      <c r="G4" s="98"/>
    </row>
    <row r="5" spans="1:8">
      <c r="A5" s="101" t="s">
        <v>297</v>
      </c>
      <c r="B5" s="1074">
        <f>Weather_Input!A6</f>
        <v>37062</v>
      </c>
      <c r="C5" s="1075">
        <f>Weather_Input!A7</f>
        <v>37063</v>
      </c>
      <c r="D5" s="1075">
        <f>Weather_Input!A8</f>
        <v>37064</v>
      </c>
      <c r="E5" s="1075">
        <f>Weather_Input!A9</f>
        <v>37065</v>
      </c>
      <c r="F5" s="1076">
        <f>Weather_Input!A10</f>
        <v>37066</v>
      </c>
      <c r="G5" s="98"/>
    </row>
    <row r="6" spans="1:8">
      <c r="A6" s="98" t="s">
        <v>298</v>
      </c>
      <c r="B6" s="1077">
        <f>PGL_Supplies!AB8/1000+PGL_Supplies!K8/1000-PGL_Requirements!N8/1000-PGL_Requirements!S8/1000+B8</f>
        <v>66.372</v>
      </c>
      <c r="C6" s="1077">
        <f>PGL_Supplies!AB9/1000+PGL_Supplies!K9/1000-PGL_Requirements!N9/1000+C15-PGL_Requirements!S9/1000</f>
        <v>41.341999999999999</v>
      </c>
      <c r="D6" s="1077">
        <f>PGL_Supplies!AB10/1000+PGL_Supplies!K10/1000-PGL_Requirements!N10/1000+D15-PGL_Requirements!S10/1000</f>
        <v>41.341999999999999</v>
      </c>
      <c r="E6" s="1077">
        <f>PGL_Supplies!AB11/1000+PGL_Supplies!K11/1000-PGL_Requirements!N11/1000+E15-PGL_Requirements!S11/1000</f>
        <v>41.341999999999999</v>
      </c>
      <c r="F6" s="1078">
        <f>PGL_Supplies!AB12/1000+PGL_Supplies!K12/1000-PGL_Requirements!N12/1000+F15-PGL_Requirements!S12/1000</f>
        <v>41.341999999999999</v>
      </c>
      <c r="G6" s="98"/>
      <c r="H6" t="s">
        <v>9</v>
      </c>
    </row>
    <row r="7" spans="1:8">
      <c r="A7" s="98" t="s">
        <v>299</v>
      </c>
      <c r="B7" s="1077">
        <f>PGL_Supplies!M8/1000</f>
        <v>0</v>
      </c>
      <c r="C7" s="1077">
        <f>PGL_Supplies!M9/1000</f>
        <v>0</v>
      </c>
      <c r="D7" s="1077">
        <f>PGL_Supplies!M10/1000</f>
        <v>0</v>
      </c>
      <c r="E7" s="1077">
        <f>PGL_Supplies!M11/1000</f>
        <v>0</v>
      </c>
      <c r="F7" s="1079">
        <f>PGL_Supplies!M12/1000</f>
        <v>0</v>
      </c>
      <c r="G7" s="98"/>
    </row>
    <row r="8" spans="1:8">
      <c r="A8" s="98" t="s">
        <v>300</v>
      </c>
      <c r="B8" s="1077">
        <f>PGL_Supplies!N8/1000</f>
        <v>0</v>
      </c>
      <c r="C8" s="1077">
        <f>PGL_Supplies!N9/1000</f>
        <v>0</v>
      </c>
      <c r="D8" s="1077">
        <f>PGL_Supplies!N10/1000</f>
        <v>0</v>
      </c>
      <c r="E8" s="1077">
        <f>PGL_Supplies!N11/1000</f>
        <v>0</v>
      </c>
      <c r="F8" s="1079">
        <f>PGL_Supplies!N12/1000</f>
        <v>0</v>
      </c>
      <c r="G8" s="98"/>
    </row>
    <row r="9" spans="1:8">
      <c r="A9" s="98" t="s">
        <v>301</v>
      </c>
      <c r="B9" s="1077">
        <v>0</v>
      </c>
      <c r="C9" s="1077">
        <v>0</v>
      </c>
      <c r="D9" s="1077">
        <v>0</v>
      </c>
      <c r="E9" s="1077">
        <v>0</v>
      </c>
      <c r="F9" s="1079">
        <v>0</v>
      </c>
      <c r="G9" s="98"/>
    </row>
    <row r="10" spans="1:8">
      <c r="A10" s="99"/>
      <c r="B10" s="1080"/>
      <c r="C10" s="1080"/>
      <c r="D10" s="1080"/>
      <c r="E10" s="1080"/>
      <c r="F10" s="1081"/>
      <c r="G10" s="98"/>
    </row>
    <row r="11" spans="1:8">
      <c r="A11" s="98" t="s">
        <v>302</v>
      </c>
      <c r="B11" s="1077">
        <v>0</v>
      </c>
      <c r="C11" s="1077">
        <v>0</v>
      </c>
      <c r="D11" s="1077">
        <v>0</v>
      </c>
      <c r="E11" s="1077">
        <v>0</v>
      </c>
      <c r="F11" s="1079">
        <v>0</v>
      </c>
      <c r="G11" s="98"/>
      <c r="H11" s="119" t="s">
        <v>9</v>
      </c>
    </row>
    <row r="12" spans="1:8">
      <c r="A12" s="98" t="s">
        <v>303</v>
      </c>
      <c r="B12" s="1077">
        <f>PGL_Requirements!R8/1000</f>
        <v>0</v>
      </c>
      <c r="C12" s="1077">
        <f>PGL_Requirements!R9/1000</f>
        <v>0</v>
      </c>
      <c r="D12" s="1077">
        <f>PGL_Requirements!R10/1000</f>
        <v>0</v>
      </c>
      <c r="E12" s="1077">
        <f>PGL_Requirements!R11/1000</f>
        <v>0</v>
      </c>
      <c r="F12" s="1079">
        <f>PGL_Requirements!R12/1000</f>
        <v>0</v>
      </c>
      <c r="G12" s="98"/>
    </row>
    <row r="13" spans="1:8">
      <c r="A13" s="98" t="s">
        <v>304</v>
      </c>
      <c r="B13" s="1077">
        <v>0</v>
      </c>
      <c r="C13" s="1077">
        <v>0</v>
      </c>
      <c r="D13" s="1077">
        <v>0</v>
      </c>
      <c r="E13" s="1077">
        <v>0</v>
      </c>
      <c r="F13" s="1079">
        <v>0</v>
      </c>
      <c r="G13" s="98"/>
    </row>
    <row r="14" spans="1:8">
      <c r="A14" s="98" t="s">
        <v>175</v>
      </c>
      <c r="B14" s="1077">
        <v>0</v>
      </c>
      <c r="C14" s="1083"/>
      <c r="D14" s="1083"/>
      <c r="E14" s="1083"/>
      <c r="F14" s="1079"/>
      <c r="G14" s="98"/>
    </row>
    <row r="15" spans="1:8">
      <c r="A15" s="98" t="s">
        <v>685</v>
      </c>
      <c r="B15" s="1082">
        <v>0</v>
      </c>
      <c r="C15" s="1082">
        <v>0</v>
      </c>
      <c r="D15" s="1082">
        <v>0</v>
      </c>
      <c r="E15" s="1082">
        <v>0</v>
      </c>
      <c r="F15" s="1113">
        <v>0</v>
      </c>
      <c r="G15" s="119"/>
    </row>
    <row r="16" spans="1:8">
      <c r="A16" s="98" t="s">
        <v>305</v>
      </c>
      <c r="B16" s="1082">
        <v>0</v>
      </c>
      <c r="C16" s="1083"/>
      <c r="D16" s="1083"/>
      <c r="E16" s="1083"/>
      <c r="F16" s="1079"/>
      <c r="G16" s="98"/>
    </row>
    <row r="17" spans="1:7" ht="15.75" thickBot="1">
      <c r="A17" s="100" t="s">
        <v>742</v>
      </c>
      <c r="B17" s="1084">
        <v>0</v>
      </c>
      <c r="C17" s="1085"/>
      <c r="D17" s="1085"/>
      <c r="E17" s="1085"/>
      <c r="F17" s="1086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7" t="str">
        <f t="shared" ref="B21:F22" si="0">B4</f>
        <v>Wednesday</v>
      </c>
      <c r="C21" s="1087" t="str">
        <f t="shared" si="0"/>
        <v>Thursday</v>
      </c>
      <c r="D21" s="1087" t="str">
        <f t="shared" si="0"/>
        <v>Friday</v>
      </c>
      <c r="E21" s="1087" t="str">
        <f t="shared" si="0"/>
        <v>Saturday</v>
      </c>
      <c r="F21" s="1088" t="str">
        <f t="shared" si="0"/>
        <v>Sunday</v>
      </c>
      <c r="G21" s="98"/>
    </row>
    <row r="22" spans="1:7">
      <c r="A22" s="105" t="s">
        <v>297</v>
      </c>
      <c r="B22" s="1089">
        <f t="shared" si="0"/>
        <v>37062</v>
      </c>
      <c r="C22" s="1089">
        <f t="shared" si="0"/>
        <v>37063</v>
      </c>
      <c r="D22" s="1089">
        <f t="shared" si="0"/>
        <v>37064</v>
      </c>
      <c r="E22" s="1089">
        <f t="shared" si="0"/>
        <v>37065</v>
      </c>
      <c r="F22" s="1090">
        <f t="shared" si="0"/>
        <v>37066</v>
      </c>
      <c r="G22" s="98"/>
    </row>
    <row r="23" spans="1:7">
      <c r="A23" s="98" t="s">
        <v>298</v>
      </c>
      <c r="B23" s="1083">
        <f>NSG_Supplies!Q8/1000+NSG_Supplies!F8/1000-NSG_Requirements!H8/1000</f>
        <v>26.548999999999999</v>
      </c>
      <c r="C23" s="1083">
        <f>NSG_Supplies!Q9/1000+NSG_Supplies!F9/1000-NSG_Requirements!H9/1000</f>
        <v>26.548999999999999</v>
      </c>
      <c r="D23" s="1083">
        <f>NSG_Supplies!Q10/1000+NSG_Supplies!F10/1000-NSG_Requirements!H10/1000</f>
        <v>26.548999999999999</v>
      </c>
      <c r="E23" s="1083">
        <f>NSG_Supplies!Q12/1000+NSG_Supplies!F11/1000-NSG_Requirements!H11/1000</f>
        <v>26.548999999999999</v>
      </c>
      <c r="F23" s="1078">
        <f>NSG_Supplies!Q12/1000+NSG_Supplies!F12/1000-NSG_Requirements!H12/1000</f>
        <v>26.548999999999999</v>
      </c>
      <c r="G23" s="98"/>
    </row>
    <row r="24" spans="1:7">
      <c r="A24" s="98" t="s">
        <v>307</v>
      </c>
      <c r="B24" s="1083">
        <f>NSG_Supplies!G8/1000</f>
        <v>0</v>
      </c>
      <c r="C24" s="1083">
        <f>NSG_Supplies!G9/1000</f>
        <v>0</v>
      </c>
      <c r="D24" s="1083">
        <f>NSG_Supplies!G10/1000</f>
        <v>0</v>
      </c>
      <c r="E24" s="1083">
        <f>NSG_Supplies!G11/1000</f>
        <v>0</v>
      </c>
      <c r="F24" s="1079">
        <f>NSG_Supplies!G12/1000</f>
        <v>0</v>
      </c>
      <c r="G24" s="98"/>
    </row>
    <row r="25" spans="1:7">
      <c r="A25" s="98" t="s">
        <v>299</v>
      </c>
      <c r="B25" s="1083">
        <f>NSG_Supplies!H8/1000</f>
        <v>0</v>
      </c>
      <c r="C25" s="1083">
        <f>NSG_Supplies!H9/1000</f>
        <v>0</v>
      </c>
      <c r="D25" s="1083">
        <f>NSG_Supplies!H10/1000</f>
        <v>0</v>
      </c>
      <c r="E25" s="1083">
        <f>NSG_Supplies!H11/1000</f>
        <v>0</v>
      </c>
      <c r="F25" s="1079">
        <f>NSG_Supplies!H12/1000</f>
        <v>0</v>
      </c>
      <c r="G25" s="98"/>
    </row>
    <row r="26" spans="1:7">
      <c r="A26" s="102" t="s">
        <v>300</v>
      </c>
      <c r="B26" s="1083">
        <f>NSG_Supplies!I8/1000</f>
        <v>0</v>
      </c>
      <c r="C26" s="1083">
        <f>NSG_Supplies!I9/1000</f>
        <v>0</v>
      </c>
      <c r="D26" s="1083">
        <f>NSG_Supplies!I10/1000</f>
        <v>0</v>
      </c>
      <c r="E26" s="1083">
        <f>NSG_Supplies!I11/1000</f>
        <v>0</v>
      </c>
      <c r="F26" s="1079">
        <f>NSG_Supplies!I12/1000</f>
        <v>0</v>
      </c>
      <c r="G26" s="98"/>
    </row>
    <row r="27" spans="1:7">
      <c r="A27" s="98" t="s">
        <v>301</v>
      </c>
      <c r="B27" s="1083">
        <f>NSG_Supplies!J8/1000</f>
        <v>0</v>
      </c>
      <c r="C27" s="1083">
        <f>NSG_Supplies!J9/1000</f>
        <v>0</v>
      </c>
      <c r="D27" s="1083">
        <f>NSG_Supplies!J10/1000</f>
        <v>0</v>
      </c>
      <c r="E27" s="1083">
        <f>NSG_Supplies!J11/1000</f>
        <v>0</v>
      </c>
      <c r="F27" s="1079">
        <f>NSG_Supplies!J12/1000</f>
        <v>0</v>
      </c>
      <c r="G27" s="98"/>
    </row>
    <row r="28" spans="1:7">
      <c r="A28" s="98" t="s">
        <v>308</v>
      </c>
      <c r="B28" s="1083" t="s">
        <v>9</v>
      </c>
      <c r="C28" s="1083"/>
      <c r="D28" s="1083"/>
      <c r="E28" s="1083"/>
      <c r="F28" s="1079"/>
      <c r="G28" s="98"/>
    </row>
    <row r="29" spans="1:7">
      <c r="A29" s="99"/>
      <c r="B29" s="1080"/>
      <c r="C29" s="1080"/>
      <c r="D29" s="1080"/>
      <c r="E29" s="1080"/>
      <c r="F29" s="1081"/>
      <c r="G29" s="98"/>
    </row>
    <row r="30" spans="1:7">
      <c r="A30" s="98" t="s">
        <v>302</v>
      </c>
      <c r="B30" s="1083">
        <f>NSG_Requirements!P8/1000</f>
        <v>0</v>
      </c>
      <c r="C30" s="1083">
        <f>NSG_Requirements!P9/1000</f>
        <v>0</v>
      </c>
      <c r="D30" s="1083">
        <f>NSG_Requirements!P10/1000</f>
        <v>0</v>
      </c>
      <c r="E30" s="1083">
        <f>NSG_Requirements!P11/1000</f>
        <v>0</v>
      </c>
      <c r="F30" s="1079">
        <f>NSG_Supplies!J12/1000</f>
        <v>0</v>
      </c>
      <c r="G30" s="98"/>
    </row>
    <row r="31" spans="1:7">
      <c r="A31" s="98" t="s">
        <v>303</v>
      </c>
      <c r="B31" s="1083">
        <f>NSG_Requirements!R8/1000</f>
        <v>0</v>
      </c>
      <c r="C31" s="1083">
        <f>NSG_Requirements!R9/1000</f>
        <v>0</v>
      </c>
      <c r="D31" s="1083">
        <f>NSG_Requirements!R10/1000</f>
        <v>0</v>
      </c>
      <c r="E31" s="1083">
        <f>NSG_Requirements!R11/1000</f>
        <v>0</v>
      </c>
      <c r="F31" s="1079">
        <f>NSG_Supplies!L12/1000</f>
        <v>0</v>
      </c>
      <c r="G31" s="98"/>
    </row>
    <row r="32" spans="1:7">
      <c r="A32" s="98" t="s">
        <v>304</v>
      </c>
      <c r="B32" s="1083">
        <f>NSG_Requirements!Q8/1000</f>
        <v>0</v>
      </c>
      <c r="C32" s="1083">
        <f>NSG_Requirements!Q9/1000</f>
        <v>0</v>
      </c>
      <c r="D32" s="1083">
        <f>NSG_Requirements!Q10/1000</f>
        <v>0</v>
      </c>
      <c r="E32" s="1083">
        <f>NSG_Requirements!Q11/1000</f>
        <v>0</v>
      </c>
      <c r="F32" s="1079">
        <f>NSG_Requirements!Q12/1000</f>
        <v>0</v>
      </c>
      <c r="G32" s="98"/>
    </row>
    <row r="33" spans="1:7" ht="15.75" thickBot="1">
      <c r="A33" s="100" t="s">
        <v>309</v>
      </c>
      <c r="B33" s="1085">
        <f>NSG_Requirements!L8/1000</f>
        <v>0</v>
      </c>
      <c r="C33" s="1085">
        <f>NSG_Requirements!L9/1000</f>
        <v>0</v>
      </c>
      <c r="D33" s="1085">
        <f>NSG_Requirements!L10/1000</f>
        <v>0</v>
      </c>
      <c r="E33" s="1085">
        <f>NSG_Requirements!L11/1000</f>
        <v>0</v>
      </c>
      <c r="F33" s="1086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367</v>
      </c>
      <c r="C1" s="892">
        <f>Weather_Input!A6</f>
        <v>37062</v>
      </c>
      <c r="D1" s="893" t="s">
        <v>358</v>
      </c>
      <c r="E1" s="797"/>
      <c r="F1" s="1020"/>
      <c r="G1" s="425"/>
      <c r="H1" s="425"/>
      <c r="I1" s="1021"/>
    </row>
    <row r="2" spans="1:11" ht="15.75" customHeight="1" thickBot="1">
      <c r="A2" s="428"/>
      <c r="B2" s="1018" t="s">
        <v>617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15.215</v>
      </c>
      <c r="E3" s="158"/>
      <c r="F3" s="779" t="s">
        <v>155</v>
      </c>
      <c r="G3" s="778"/>
      <c r="H3" s="791" t="s">
        <v>551</v>
      </c>
      <c r="I3" s="790" t="s">
        <v>550</v>
      </c>
    </row>
    <row r="4" spans="1:11" ht="15.75" customHeight="1" thickBot="1">
      <c r="A4" t="s">
        <v>9</v>
      </c>
      <c r="B4" s="98" t="s">
        <v>618</v>
      </c>
      <c r="C4" s="1068">
        <f>NSG_Supplies!E8/1000</f>
        <v>0</v>
      </c>
      <c r="D4" s="132">
        <f>NSG_Requirements!J8/1000</f>
        <v>4.76</v>
      </c>
      <c r="E4" s="789"/>
      <c r="F4" s="169" t="s">
        <v>530</v>
      </c>
      <c r="G4" s="60"/>
      <c r="H4" s="151">
        <f>PGL_Requirements!O8/1000</f>
        <v>135</v>
      </c>
      <c r="I4" s="173">
        <f>AVERAGE(H4/1.025)</f>
        <v>131.70731707317074</v>
      </c>
      <c r="J4" t="s">
        <v>9</v>
      </c>
    </row>
    <row r="5" spans="1:11" ht="15.75" customHeight="1" thickTop="1" thickBot="1">
      <c r="B5" s="432" t="s">
        <v>619</v>
      </c>
      <c r="C5" s="443">
        <f>C3+C4-D4</f>
        <v>10.455</v>
      </c>
      <c r="D5" s="433"/>
      <c r="E5" s="435">
        <f>AVERAGE(C5/24)</f>
        <v>0.43562499999999998</v>
      </c>
      <c r="F5" s="167" t="s">
        <v>434</v>
      </c>
      <c r="G5" s="207">
        <f>PGL_Supplies!L8/1000</f>
        <v>0</v>
      </c>
      <c r="H5" s="165"/>
      <c r="I5" s="979">
        <f>AVERAGE(G5/1.025)</f>
        <v>0</v>
      </c>
      <c r="K5" t="s">
        <v>9</v>
      </c>
    </row>
    <row r="6" spans="1:11" ht="15.75" customHeight="1" thickTop="1" thickBot="1">
      <c r="B6" s="890" t="s">
        <v>378</v>
      </c>
      <c r="C6" s="891"/>
      <c r="D6" s="119"/>
      <c r="E6" s="788"/>
      <c r="F6" t="s">
        <v>737</v>
      </c>
      <c r="G6" s="891">
        <f>AVERAGE(H4/24)</f>
        <v>5.625</v>
      </c>
      <c r="H6" s="425"/>
      <c r="I6" s="1021"/>
    </row>
    <row r="7" spans="1:11" ht="15.75" customHeight="1">
      <c r="B7" s="169" t="s">
        <v>359</v>
      </c>
      <c r="C7" s="151">
        <f>NSG_Supplies!K8/1000</f>
        <v>0</v>
      </c>
      <c r="D7" s="60"/>
      <c r="E7" s="445"/>
      <c r="F7" s="1018" t="s">
        <v>599</v>
      </c>
      <c r="G7" s="1019"/>
      <c r="H7" s="60"/>
      <c r="I7" s="158"/>
    </row>
    <row r="8" spans="1:11" ht="15.75" customHeight="1">
      <c r="B8" s="169" t="s">
        <v>511</v>
      </c>
      <c r="C8" s="151">
        <f>PGL_Requirements!V8/1000</f>
        <v>0</v>
      </c>
      <c r="D8" s="60"/>
      <c r="E8" s="445"/>
      <c r="F8" s="169" t="s">
        <v>598</v>
      </c>
      <c r="G8" s="151">
        <f>PGL_Supplies!S8/1000</f>
        <v>2</v>
      </c>
      <c r="H8" s="60"/>
      <c r="I8" s="158"/>
    </row>
    <row r="9" spans="1:11" ht="15.75" customHeight="1" thickBot="1">
      <c r="B9" s="169" t="s">
        <v>728</v>
      </c>
      <c r="C9" s="151">
        <f>NSG_Requirements!B8/1000</f>
        <v>0</v>
      </c>
      <c r="D9" s="60"/>
      <c r="E9" s="445"/>
      <c r="F9" s="1" t="s">
        <v>682</v>
      </c>
      <c r="G9" s="151">
        <f>PGL_Supplies!T8/1000</f>
        <v>0</v>
      </c>
      <c r="I9" s="158"/>
    </row>
    <row r="10" spans="1:11" ht="15.75" customHeight="1" thickTop="1" thickBot="1">
      <c r="B10" s="432" t="s">
        <v>535</v>
      </c>
      <c r="C10" s="443">
        <f>C7+C8-C9</f>
        <v>0</v>
      </c>
      <c r="D10" s="433"/>
      <c r="E10" s="435">
        <f>AVERAGE(C10/24)</f>
        <v>0</v>
      </c>
      <c r="F10" s="169" t="s">
        <v>431</v>
      </c>
      <c r="G10" s="151">
        <f>PGL_Supplies!AA8/1000</f>
        <v>150.892</v>
      </c>
      <c r="H10" s="151" t="s">
        <v>9</v>
      </c>
      <c r="I10" s="158"/>
    </row>
    <row r="11" spans="1:11" ht="15.75" customHeight="1" thickTop="1">
      <c r="A11" t="s">
        <v>9</v>
      </c>
      <c r="B11" s="1060" t="s">
        <v>712</v>
      </c>
      <c r="C11" s="151">
        <f>PGL_Supplies!X8/1000</f>
        <v>99.063000000000002</v>
      </c>
      <c r="D11" s="778"/>
      <c r="E11" s="1061"/>
      <c r="F11" s="430" t="s">
        <v>364</v>
      </c>
      <c r="G11" s="442">
        <f>G8+G10</f>
        <v>152.892</v>
      </c>
      <c r="H11" s="429"/>
      <c r="I11" s="431"/>
    </row>
    <row r="12" spans="1:11" ht="15.75" customHeight="1">
      <c r="B12" s="244" t="s">
        <v>741</v>
      </c>
      <c r="C12" s="151">
        <v>0</v>
      </c>
      <c r="D12" s="119"/>
      <c r="E12" s="158"/>
      <c r="F12" s="170" t="s">
        <v>514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713</v>
      </c>
      <c r="C13" s="119"/>
      <c r="D13" s="151">
        <f>PGL_Requirements!I8/1000</f>
        <v>0</v>
      </c>
      <c r="E13" s="158"/>
      <c r="F13" s="170" t="s">
        <v>515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62" t="s">
        <v>720</v>
      </c>
      <c r="C14" s="443">
        <f>C11-C12</f>
        <v>99.063000000000002</v>
      </c>
      <c r="D14" s="433"/>
      <c r="E14" s="435">
        <f>AVERAGE(C14/24)</f>
        <v>4.1276250000000001</v>
      </c>
      <c r="F14" s="772" t="s">
        <v>533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718</v>
      </c>
      <c r="C15" s="151">
        <f>PGL_Supplies!Y8/1000</f>
        <v>0.2</v>
      </c>
      <c r="D15" s="60"/>
      <c r="E15" s="158"/>
      <c r="F15" s="772" t="s">
        <v>542</v>
      </c>
      <c r="G15" s="442">
        <f>SUM(G11)-G16-G17</f>
        <v>152.892</v>
      </c>
      <c r="H15" s="433" t="s">
        <v>9</v>
      </c>
      <c r="I15" s="435">
        <f>AVERAGE(G15/24)</f>
        <v>6.3704999999999998</v>
      </c>
    </row>
    <row r="16" spans="1:11" ht="15.75" customHeight="1" thickTop="1" thickBot="1">
      <c r="B16" s="169" t="s">
        <v>678</v>
      </c>
      <c r="C16" s="151">
        <f>PGL_Supplies!Q8/1000</f>
        <v>0</v>
      </c>
      <c r="D16" s="151">
        <f>PGL_Requirements!T8/1000</f>
        <v>0</v>
      </c>
      <c r="E16" s="158"/>
      <c r="F16" s="772" t="s">
        <v>547</v>
      </c>
      <c r="G16" s="443">
        <f>PGL_Requirements!G8/1000</f>
        <v>0</v>
      </c>
      <c r="H16" s="443" t="s">
        <v>9</v>
      </c>
      <c r="I16" s="435">
        <f>AVERAGE(G16/24)</f>
        <v>0</v>
      </c>
    </row>
    <row r="17" spans="1:9" ht="15.75" customHeight="1" thickTop="1" thickBot="1">
      <c r="B17" s="430" t="s">
        <v>364</v>
      </c>
      <c r="C17" s="442">
        <f>SUM(C15:C16)-SUM(D15:D16)</f>
        <v>0.2</v>
      </c>
      <c r="D17" s="429"/>
      <c r="E17" s="431"/>
      <c r="F17" s="1030" t="s">
        <v>683</v>
      </c>
      <c r="G17" s="1110">
        <v>0</v>
      </c>
      <c r="H17" s="1029"/>
      <c r="I17" s="1111">
        <f>AVERAGE(G17/24)</f>
        <v>0</v>
      </c>
    </row>
    <row r="18" spans="1:9" ht="15.75" customHeight="1">
      <c r="B18" s="169" t="s">
        <v>360</v>
      </c>
      <c r="C18" s="151" t="e">
        <f>PGL_Supplies!#REF!/1000</f>
        <v>#REF!</v>
      </c>
      <c r="D18" s="60"/>
      <c r="E18" s="158"/>
      <c r="F18" s="1028" t="s">
        <v>531</v>
      </c>
      <c r="G18" s="60" t="s">
        <v>9</v>
      </c>
      <c r="H18" s="60"/>
      <c r="I18" s="158"/>
    </row>
    <row r="19" spans="1:9" ht="15.75" customHeight="1" thickBot="1">
      <c r="B19" s="169" t="s">
        <v>361</v>
      </c>
      <c r="C19" s="60"/>
      <c r="D19" s="151" t="e">
        <f>PGL_Requirements!#REF!/1000</f>
        <v>#REF!</v>
      </c>
      <c r="E19" s="158"/>
      <c r="F19" s="167" t="s">
        <v>532</v>
      </c>
      <c r="G19" s="165"/>
      <c r="H19" s="207">
        <v>0</v>
      </c>
      <c r="I19" s="438"/>
    </row>
    <row r="20" spans="1:9" ht="15.75" customHeight="1" thickTop="1" thickBot="1">
      <c r="B20" s="432" t="s">
        <v>537</v>
      </c>
      <c r="C20" s="443" t="e">
        <f>C17+C18-D19</f>
        <v>#REF!</v>
      </c>
      <c r="D20" s="436" t="s">
        <v>9</v>
      </c>
      <c r="E20" s="435" t="e">
        <f>AVERAGE(C20/24)</f>
        <v>#REF!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719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24</v>
      </c>
      <c r="H21" s="151" t="s">
        <v>9</v>
      </c>
      <c r="I21" s="158"/>
    </row>
    <row r="22" spans="1:9" ht="15.75" customHeight="1">
      <c r="B22" s="430" t="s">
        <v>364</v>
      </c>
      <c r="C22" s="442">
        <f>SUM(C21:C21)-SUM(D21)</f>
        <v>0</v>
      </c>
      <c r="D22" s="429"/>
      <c r="E22" s="431"/>
      <c r="F22" s="430" t="s">
        <v>364</v>
      </c>
      <c r="G22" s="442">
        <f>G21</f>
        <v>24</v>
      </c>
      <c r="H22" s="429"/>
      <c r="I22" s="431"/>
    </row>
    <row r="23" spans="1:9" ht="15.75" customHeight="1">
      <c r="B23" s="169" t="s">
        <v>362</v>
      </c>
      <c r="C23" s="151">
        <f>PGL_Supplies!C8/1000</f>
        <v>0</v>
      </c>
      <c r="D23" s="60"/>
      <c r="E23" s="158"/>
      <c r="F23" s="169" t="s">
        <v>365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363</v>
      </c>
      <c r="C24" s="60">
        <v>0</v>
      </c>
      <c r="D24" s="151">
        <f>PGL_Requirements!C8/1000</f>
        <v>0</v>
      </c>
      <c r="E24" s="158"/>
      <c r="F24" s="169" t="s">
        <v>366</v>
      </c>
      <c r="G24" s="60"/>
      <c r="H24" s="151">
        <f>PGL_Requirements!E8/1000</f>
        <v>0</v>
      </c>
      <c r="I24" s="158"/>
    </row>
    <row r="25" spans="1:9" ht="15.75" customHeight="1" thickTop="1" thickBot="1">
      <c r="B25" s="432" t="s">
        <v>536</v>
      </c>
      <c r="C25" s="443">
        <f>C22+C23-D24</f>
        <v>0</v>
      </c>
      <c r="D25" s="433"/>
      <c r="E25" s="435">
        <f>AVERAGE(C25/24)</f>
        <v>0</v>
      </c>
      <c r="F25" s="546" t="s">
        <v>534</v>
      </c>
      <c r="G25" s="888">
        <f>G22+G23-H24+G20</f>
        <v>24</v>
      </c>
      <c r="H25" s="425"/>
      <c r="I25" s="889">
        <f>AVERAGE(G25/24)</f>
        <v>1</v>
      </c>
    </row>
    <row r="26" spans="1:9" ht="15.75" customHeight="1" thickTop="1">
      <c r="B26" t="s">
        <v>680</v>
      </c>
    </row>
    <row r="27" spans="1:9" ht="15.75" customHeight="1">
      <c r="B27" t="s">
        <v>679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620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6" customWidth="1"/>
    <col min="2" max="2" width="8.109375" style="986" customWidth="1"/>
    <col min="3" max="3" width="7.88671875" style="986" customWidth="1"/>
    <col min="4" max="4" width="5.88671875" style="986" customWidth="1"/>
    <col min="5" max="5" width="4.44140625" style="986" customWidth="1"/>
    <col min="6" max="6" width="5.21875" style="986" customWidth="1"/>
    <col min="7" max="7" width="9" style="986" customWidth="1"/>
    <col min="8" max="11" width="8.88671875" style="986"/>
    <col min="12" max="12" width="14.88671875" style="986" customWidth="1"/>
    <col min="13" max="13" width="5.6640625" style="986" customWidth="1"/>
    <col min="14" max="16384" width="8.88671875" style="986"/>
  </cols>
  <sheetData>
    <row r="1" spans="1:22" ht="22.5">
      <c r="A1" s="921"/>
      <c r="B1" s="917"/>
      <c r="C1" s="928" t="s">
        <v>624</v>
      </c>
      <c r="D1" s="925"/>
      <c r="E1" s="925" t="s">
        <v>625</v>
      </c>
      <c r="F1" s="925"/>
      <c r="G1" s="984" t="s">
        <v>310</v>
      </c>
      <c r="H1" s="985">
        <f>Weather_Input!A6</f>
        <v>37062</v>
      </c>
      <c r="I1" s="914"/>
      <c r="J1" s="916"/>
      <c r="K1" s="916"/>
    </row>
    <row r="2" spans="1:22" ht="16.5" customHeight="1">
      <c r="A2" s="934" t="s">
        <v>652</v>
      </c>
      <c r="C2" s="987">
        <v>385</v>
      </c>
      <c r="F2" s="988">
        <v>386</v>
      </c>
      <c r="H2" s="916"/>
      <c r="I2" s="914" t="s">
        <v>654</v>
      </c>
      <c r="J2" s="936">
        <f>NSG_Supplies!P8/1000</f>
        <v>15.215</v>
      </c>
    </row>
    <row r="3" spans="1:22" ht="16.5" customHeight="1">
      <c r="A3" s="989">
        <f>PGL_Supplies!I8/1000</f>
        <v>0</v>
      </c>
      <c r="C3" s="986" t="s">
        <v>9</v>
      </c>
      <c r="G3" s="914"/>
      <c r="H3" s="916"/>
    </row>
    <row r="4" spans="1:22" ht="16.5" customHeight="1">
      <c r="A4" s="924" t="s">
        <v>626</v>
      </c>
      <c r="G4" s="942"/>
      <c r="H4" s="916"/>
      <c r="I4" s="914"/>
      <c r="J4" s="914" t="s">
        <v>650</v>
      </c>
      <c r="K4" s="936">
        <f>Billy_Sheet!C5</f>
        <v>10.455</v>
      </c>
      <c r="N4" s="936"/>
    </row>
    <row r="5" spans="1:22" ht="16.5" customHeight="1">
      <c r="A5" s="990">
        <f>PGL_Supplies!J7/1000</f>
        <v>0</v>
      </c>
      <c r="B5" s="991"/>
      <c r="G5" s="917"/>
      <c r="H5" s="936"/>
      <c r="U5" s="916"/>
      <c r="V5" s="916"/>
    </row>
    <row r="6" spans="1:22" ht="16.5" customHeight="1">
      <c r="A6" s="923" t="s">
        <v>622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v>0</v>
      </c>
      <c r="I9" s="992"/>
      <c r="K9" s="914" t="s">
        <v>656</v>
      </c>
      <c r="L9" s="936">
        <f>NSG_Deliveries!C6/1000</f>
        <v>37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655</v>
      </c>
      <c r="U10" s="916"/>
      <c r="V10" s="936"/>
    </row>
    <row r="11" spans="1:22" ht="14.45" customHeight="1">
      <c r="A11" s="936" t="e">
        <f>Billy_Sheet!C20</f>
        <v>#REF!</v>
      </c>
      <c r="B11" s="992"/>
      <c r="H11" s="936">
        <f>NSG_Supplies!T8/1000</f>
        <v>0</v>
      </c>
      <c r="K11" s="917" t="s">
        <v>657</v>
      </c>
      <c r="L11" s="942">
        <f>SUM(K4+K17+K19+H11+H9-L9)</f>
        <v>3.9999999999977831E-3</v>
      </c>
      <c r="N11" s="917"/>
      <c r="O11" s="942"/>
      <c r="U11" s="916"/>
      <c r="V11" s="930"/>
    </row>
    <row r="12" spans="1:22" ht="14.45" customHeight="1">
      <c r="A12" s="914" t="s">
        <v>709</v>
      </c>
      <c r="H12" s="936"/>
      <c r="U12" s="916"/>
      <c r="V12" s="936"/>
    </row>
    <row r="13" spans="1:22" ht="14.45" customHeight="1">
      <c r="A13" s="990">
        <f>PGL_Supplies!X8/1000</f>
        <v>99.063000000000002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6" t="s">
        <v>9</v>
      </c>
      <c r="C15" s="993">
        <v>370</v>
      </c>
      <c r="F15" s="993">
        <v>370</v>
      </c>
      <c r="H15" s="942"/>
      <c r="U15" s="926"/>
      <c r="V15" s="942"/>
    </row>
    <row r="16" spans="1:22" ht="42.75" customHeight="1">
      <c r="A16" s="927"/>
      <c r="B16" s="942"/>
      <c r="C16" s="994"/>
      <c r="D16" s="995"/>
      <c r="E16" s="995"/>
      <c r="F16" s="994"/>
    </row>
    <row r="17" spans="1:17" ht="38.25" customHeight="1">
      <c r="B17" s="995"/>
      <c r="C17" s="995"/>
      <c r="D17" s="996"/>
      <c r="E17" s="995"/>
      <c r="F17" s="995"/>
      <c r="G17" s="995"/>
      <c r="J17" s="914" t="s">
        <v>312</v>
      </c>
      <c r="K17" s="936">
        <f>NSG_Supplies!K8/1000</f>
        <v>0</v>
      </c>
      <c r="N17" s="936"/>
    </row>
    <row r="18" spans="1:17" ht="15" customHeight="1">
      <c r="A18" s="922"/>
      <c r="C18" s="993">
        <v>668</v>
      </c>
      <c r="D18" s="995"/>
      <c r="E18" s="995"/>
      <c r="F18" s="988">
        <v>806</v>
      </c>
    </row>
    <row r="19" spans="1:17">
      <c r="A19" s="923" t="s">
        <v>623</v>
      </c>
      <c r="C19" s="986" t="s">
        <v>9</v>
      </c>
      <c r="J19" s="914" t="s">
        <v>651</v>
      </c>
      <c r="K19" s="936">
        <f>NSG_Supplies!Q8/1000+NSG_Supplies!F8/1000-NSG_Requirements!H8/1000</f>
        <v>26.548999999999999</v>
      </c>
      <c r="N19" s="998"/>
    </row>
    <row r="20" spans="1:17" ht="17.25" customHeight="1">
      <c r="A20" s="936">
        <f>Billy_Sheet!G15</f>
        <v>152.892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721</v>
      </c>
      <c r="H23" s="916"/>
      <c r="I23" s="917"/>
      <c r="J23" s="942"/>
      <c r="M23" s="914"/>
      <c r="N23" s="942"/>
      <c r="Q23" s="999"/>
    </row>
    <row r="24" spans="1:17" ht="9" customHeight="1">
      <c r="G24" s="936">
        <f>PGL_Requirements!J7/1000</f>
        <v>6.444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659</v>
      </c>
      <c r="H25" s="917"/>
      <c r="I25" s="917"/>
      <c r="J25" s="917"/>
    </row>
    <row r="26" spans="1:17" ht="14.25" customHeight="1">
      <c r="A26" s="936">
        <f>Billy_Sheet!G25</f>
        <v>24</v>
      </c>
      <c r="B26" s="916"/>
      <c r="C26" s="917"/>
      <c r="D26" s="917"/>
      <c r="F26" s="917"/>
      <c r="G26" s="997">
        <v>7.4</v>
      </c>
      <c r="H26" s="917"/>
      <c r="I26" s="917"/>
      <c r="J26" s="917" t="s">
        <v>552</v>
      </c>
      <c r="K26" s="1000">
        <f>PGL_Deliveries!C6/1000</f>
        <v>220</v>
      </c>
      <c r="L26" s="914" t="s">
        <v>656</v>
      </c>
      <c r="M26" s="936">
        <f>NSG_Deliveries!C6/1000</f>
        <v>37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627</v>
      </c>
      <c r="B28" s="936"/>
      <c r="C28" s="916"/>
      <c r="D28" s="917"/>
      <c r="F28" s="914"/>
      <c r="G28" s="926" t="s">
        <v>632</v>
      </c>
      <c r="H28" s="428"/>
      <c r="J28" s="917" t="s">
        <v>658</v>
      </c>
      <c r="K28" s="942" t="e">
        <f>SUM(A42)</f>
        <v>#REF!</v>
      </c>
      <c r="L28" s="917" t="s">
        <v>701</v>
      </c>
      <c r="M28" s="942">
        <f>SUM(J2+K17+K19+H11+H9-M26)</f>
        <v>4.7639999999999958</v>
      </c>
      <c r="N28" s="942"/>
    </row>
    <row r="29" spans="1:17">
      <c r="A29" s="936">
        <f>PGL_Supplies!L8/1000</f>
        <v>0</v>
      </c>
      <c r="B29" s="936"/>
      <c r="C29" s="917"/>
      <c r="D29" s="1001"/>
      <c r="F29" s="1046">
        <f>PGL_Requirements!A7</f>
        <v>37061</v>
      </c>
      <c r="G29" s="936">
        <f>PGL_Requirements!G7/1000</f>
        <v>17.045000000000002</v>
      </c>
      <c r="H29" s="915"/>
      <c r="J29" s="917" t="s">
        <v>660</v>
      </c>
      <c r="K29" s="936">
        <f>PGL_Supplies!AB8/1000+PGL_Supplies!K8/1000-PGL_Requirements!N8/1000</f>
        <v>66.372</v>
      </c>
    </row>
    <row r="30" spans="1:17" ht="10.5" customHeight="1">
      <c r="A30" s="919"/>
      <c r="B30" s="936"/>
      <c r="C30" s="917"/>
      <c r="D30" s="936"/>
      <c r="F30" s="1046">
        <f>PGL_Requirements!A8</f>
        <v>37062</v>
      </c>
      <c r="G30" s="936">
        <f>PGL_Requirements!G8/1000</f>
        <v>0</v>
      </c>
    </row>
    <row r="31" spans="1:17" ht="17.25" customHeight="1">
      <c r="A31" s="925" t="s">
        <v>629</v>
      </c>
      <c r="B31" s="1002"/>
      <c r="C31" s="920"/>
      <c r="D31" s="942"/>
      <c r="G31" s="926" t="s">
        <v>630</v>
      </c>
      <c r="H31" s="942"/>
      <c r="J31" s="917" t="s">
        <v>657</v>
      </c>
      <c r="K31" s="942" t="e">
        <f>SUM(K28+K29-K26)</f>
        <v>#REF!</v>
      </c>
    </row>
    <row r="32" spans="1:17">
      <c r="A32" s="936">
        <f>PGL_Supplies!G8/1000</f>
        <v>1</v>
      </c>
      <c r="G32" s="936">
        <f>PGL_Requirements!O8/1000</f>
        <v>135</v>
      </c>
    </row>
    <row r="33" spans="1:11" ht="6.75" customHeight="1"/>
    <row r="34" spans="1:11">
      <c r="A34" s="914" t="s">
        <v>628</v>
      </c>
      <c r="G34" s="917" t="s">
        <v>631</v>
      </c>
    </row>
    <row r="35" spans="1:11">
      <c r="A35" s="997">
        <v>0</v>
      </c>
      <c r="G35" s="936">
        <f>PGL_Requirements!B8/1000</f>
        <v>0</v>
      </c>
    </row>
    <row r="36" spans="1:11">
      <c r="G36" s="936"/>
    </row>
    <row r="37" spans="1:11">
      <c r="C37" s="914" t="s">
        <v>634</v>
      </c>
      <c r="F37" s="914" t="s">
        <v>635</v>
      </c>
      <c r="G37" s="936"/>
    </row>
    <row r="38" spans="1:11">
      <c r="C38" s="993">
        <v>668</v>
      </c>
      <c r="F38" s="993">
        <v>754</v>
      </c>
    </row>
    <row r="39" spans="1:11">
      <c r="A39" s="934" t="s">
        <v>700</v>
      </c>
      <c r="E39" s="916" t="s">
        <v>633</v>
      </c>
      <c r="F39" s="916"/>
    </row>
    <row r="40" spans="1:11">
      <c r="A40" s="942" t="e">
        <f>SUM(A3:A35)</f>
        <v>#REF!</v>
      </c>
      <c r="B40" s="930"/>
      <c r="C40" s="929"/>
      <c r="D40" s="930"/>
      <c r="E40" s="930"/>
      <c r="F40" s="1003"/>
      <c r="G40" s="1003">
        <f>SUM(G30:G35)</f>
        <v>135</v>
      </c>
      <c r="H40" s="932"/>
      <c r="I40" s="931"/>
    </row>
    <row r="41" spans="1:11">
      <c r="A41" s="933" t="s">
        <v>649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 t="e">
        <f>SUM(A40-G40)</f>
        <v>#REF!</v>
      </c>
      <c r="B42" s="936"/>
      <c r="C42" s="930"/>
      <c r="D42" s="930"/>
      <c r="E42" s="930"/>
      <c r="F42" s="939"/>
      <c r="G42" s="941" t="s">
        <v>653</v>
      </c>
      <c r="H42" s="1004"/>
      <c r="I42" s="1005"/>
      <c r="J42" s="1004"/>
      <c r="K42" s="995"/>
    </row>
    <row r="43" spans="1:11" ht="14.25" customHeight="1">
      <c r="A43" s="936"/>
      <c r="B43" s="936"/>
      <c r="C43" s="936"/>
      <c r="D43" s="936"/>
      <c r="E43" s="939"/>
      <c r="F43" s="938" t="s">
        <v>648</v>
      </c>
      <c r="G43" s="939" t="s">
        <v>647</v>
      </c>
      <c r="I43" s="936"/>
    </row>
    <row r="44" spans="1:11" ht="12.75" customHeight="1">
      <c r="A44" s="933" t="s">
        <v>636</v>
      </c>
      <c r="B44" s="936" t="s">
        <v>641</v>
      </c>
      <c r="C44" s="936" t="s">
        <v>642</v>
      </c>
      <c r="D44" s="936" t="s">
        <v>643</v>
      </c>
      <c r="E44" s="937"/>
      <c r="F44" s="937" t="s">
        <v>644</v>
      </c>
      <c r="G44" s="930" t="s">
        <v>646</v>
      </c>
      <c r="H44" s="916" t="s">
        <v>645</v>
      </c>
      <c r="I44" s="936"/>
      <c r="K44" s="916"/>
    </row>
    <row r="45" spans="1:11">
      <c r="A45" s="933" t="s">
        <v>640</v>
      </c>
      <c r="B45" s="1006">
        <v>250</v>
      </c>
      <c r="C45" s="1006">
        <v>410</v>
      </c>
      <c r="D45" s="1007">
        <f>SUM(F2+F15)/2</f>
        <v>378</v>
      </c>
      <c r="E45" s="1008"/>
      <c r="F45" s="1009">
        <v>6.7000000000000004E-2</v>
      </c>
      <c r="G45" s="1010">
        <f>(C45-D45)*F45</f>
        <v>2.1440000000000001</v>
      </c>
      <c r="H45" s="1010">
        <f>(D45-B45)*F45</f>
        <v>8.5760000000000005</v>
      </c>
      <c r="I45" s="936"/>
      <c r="J45" s="1011"/>
    </row>
    <row r="46" spans="1:11">
      <c r="A46" s="916" t="s">
        <v>637</v>
      </c>
      <c r="B46" s="1012">
        <v>797</v>
      </c>
      <c r="C46" s="1006">
        <v>797</v>
      </c>
      <c r="D46" s="1007">
        <v>797</v>
      </c>
      <c r="E46" s="1008"/>
      <c r="F46" s="1009">
        <v>0.13900000000000001</v>
      </c>
      <c r="G46" s="1010">
        <f>(C46-D46)*F46</f>
        <v>0</v>
      </c>
      <c r="H46" s="1010">
        <f>(D46-B46)*F46</f>
        <v>0</v>
      </c>
      <c r="I46" s="936"/>
    </row>
    <row r="47" spans="1:11">
      <c r="A47" s="916" t="s">
        <v>638</v>
      </c>
      <c r="B47" s="1012">
        <v>250</v>
      </c>
      <c r="C47" s="1006">
        <v>410</v>
      </c>
      <c r="D47" s="1007">
        <f>SUM(C2+C15)/2</f>
        <v>377.5</v>
      </c>
      <c r="E47" s="1008"/>
      <c r="F47" s="1009">
        <v>0.14099999999999999</v>
      </c>
      <c r="G47" s="1010">
        <f>(C47-D47)*F47</f>
        <v>4.5824999999999996</v>
      </c>
      <c r="H47" s="1010">
        <f>(D47-B47)*F47</f>
        <v>17.977499999999999</v>
      </c>
      <c r="I47" s="936"/>
    </row>
    <row r="48" spans="1:11">
      <c r="A48" s="916" t="s">
        <v>639</v>
      </c>
      <c r="B48" s="1012">
        <v>285</v>
      </c>
      <c r="C48" s="1006">
        <v>750</v>
      </c>
      <c r="D48" s="1007">
        <f>SUM(C18+C38)/2</f>
        <v>668</v>
      </c>
      <c r="E48" s="1008"/>
      <c r="F48" s="1009">
        <v>0.161</v>
      </c>
      <c r="G48" s="1010">
        <f>(C48-D48)*F48</f>
        <v>13.202</v>
      </c>
      <c r="H48" s="1010">
        <f>(D48-B48)*F48</f>
        <v>61.663000000000004</v>
      </c>
    </row>
    <row r="49" spans="1:8">
      <c r="B49" s="992"/>
      <c r="C49" s="992"/>
      <c r="D49" s="992"/>
      <c r="E49" s="992"/>
      <c r="F49" s="940" t="s">
        <v>345</v>
      </c>
      <c r="G49" s="1010">
        <f>SUM(G45:G48)</f>
        <v>19.9285</v>
      </c>
      <c r="H49" s="1010">
        <f>SUM(H45:H48)</f>
        <v>88.216499999999996</v>
      </c>
    </row>
    <row r="55" spans="1:8">
      <c r="A55" s="1013"/>
      <c r="G55" s="101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A17" sqref="A17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37061</v>
      </c>
      <c r="B5" s="11">
        <v>83</v>
      </c>
      <c r="C5" s="49">
        <v>65</v>
      </c>
      <c r="D5" s="49">
        <v>7.2</v>
      </c>
      <c r="E5" s="11">
        <v>71.2</v>
      </c>
      <c r="F5" s="11">
        <v>77</v>
      </c>
      <c r="G5" s="11">
        <v>6689</v>
      </c>
      <c r="H5" s="11">
        <v>0</v>
      </c>
      <c r="I5" s="894" t="s">
        <v>819</v>
      </c>
      <c r="J5" s="894"/>
      <c r="K5" s="11">
        <v>2</v>
      </c>
      <c r="L5" s="11">
        <v>1</v>
      </c>
      <c r="N5" s="15" t="str">
        <f>I5&amp;" "&amp;I5</f>
        <v xml:space="preserve"> OVERNIGHT…MOSTLY CLOUDY. A 40% CHANCE OF RAIN.  OVERNIGHT…MOSTLY CLOUDY. A 40% CHANCE OF RAIN.</v>
      </c>
      <c r="AE5" s="15">
        <v>1</v>
      </c>
      <c r="AH5" s="15" t="s">
        <v>32</v>
      </c>
    </row>
    <row r="6" spans="1:34" ht="16.5" customHeight="1">
      <c r="A6" s="86">
        <f>A5+1</f>
        <v>37062</v>
      </c>
      <c r="B6" s="11">
        <v>78</v>
      </c>
      <c r="C6" s="49">
        <v>59</v>
      </c>
      <c r="D6" s="49">
        <v>7</v>
      </c>
      <c r="E6" s="11" t="s">
        <v>9</v>
      </c>
      <c r="F6" s="11" t="s">
        <v>9</v>
      </c>
      <c r="G6" s="11"/>
      <c r="H6" s="11" t="s">
        <v>9</v>
      </c>
      <c r="I6" s="894" t="s">
        <v>820</v>
      </c>
      <c r="J6" s="894" t="s">
        <v>821</v>
      </c>
      <c r="K6" s="11">
        <v>2</v>
      </c>
      <c r="L6" s="11" t="s">
        <v>600</v>
      </c>
      <c r="N6" s="15" t="str">
        <f>I6&amp;" "&amp;J6</f>
        <v>MOSTLY CLOUDY THIS A.M…BECOMING PARTLY SUNNY BY P.M. N.E. WINDS 5/10 MPH OVERNIGHT…PARTLY CLOUDY. LIGHT NORTH WINDS.</v>
      </c>
      <c r="AE6" s="15">
        <v>1</v>
      </c>
      <c r="AH6" s="15" t="s">
        <v>33</v>
      </c>
    </row>
    <row r="7" spans="1:34" ht="16.5" customHeight="1">
      <c r="A7" s="86">
        <f>A6+1</f>
        <v>37063</v>
      </c>
      <c r="B7" s="11">
        <v>72</v>
      </c>
      <c r="C7" s="49">
        <v>53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94" t="s">
        <v>822</v>
      </c>
      <c r="J7" s="894" t="s">
        <v>823</v>
      </c>
      <c r="K7" s="11">
        <v>3</v>
      </c>
      <c r="L7" s="11" t="s">
        <v>20</v>
      </c>
      <c r="N7" s="15" t="str">
        <f>I7&amp;" "&amp;J7</f>
        <v>PARTLY CLOUDY WITH A 30% CHANCE OF P.M. SHOWERS…COOLER NEAR LAKE. OVE RNIGHT…BECOMING FAIR.</v>
      </c>
    </row>
    <row r="8" spans="1:34" ht="16.5" customHeight="1">
      <c r="A8" s="86">
        <f>A7+1</f>
        <v>37064</v>
      </c>
      <c r="B8" s="11">
        <v>74</v>
      </c>
      <c r="C8" s="49">
        <v>51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824</v>
      </c>
      <c r="J8" s="894" t="s">
        <v>9</v>
      </c>
      <c r="K8" s="11">
        <v>1</v>
      </c>
      <c r="L8" s="11"/>
      <c r="N8" s="15" t="str">
        <f>I8&amp;" "&amp;J8</f>
        <v xml:space="preserve">SUNNY…BUT COOLER NEAR THE LAKE.  </v>
      </c>
    </row>
    <row r="9" spans="1:34" ht="16.5" customHeight="1">
      <c r="A9" s="86">
        <f>A8+1</f>
        <v>37065</v>
      </c>
      <c r="B9" s="11">
        <v>80</v>
      </c>
      <c r="C9" s="49">
        <v>58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94" t="s">
        <v>825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PARTLY CLOUDY…BUT COOLER NEAR THE LAKE.  </v>
      </c>
    </row>
    <row r="10" spans="1:34" ht="16.5" customHeight="1">
      <c r="A10" s="86">
        <f>A9+1</f>
        <v>37066</v>
      </c>
      <c r="B10" s="11">
        <v>85</v>
      </c>
      <c r="C10" s="49">
        <v>62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803</v>
      </c>
      <c r="J10" s="894" t="s">
        <v>9</v>
      </c>
      <c r="K10" s="11">
        <v>1</v>
      </c>
      <c r="L10" s="11" t="s">
        <v>400</v>
      </c>
      <c r="N10" s="15" t="str">
        <f>I10&amp;" "&amp;J10</f>
        <v xml:space="preserve">SUNNY.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activeCell="G1" sqref="G1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552</v>
      </c>
      <c r="B2" s="183">
        <f>PGL_Deliveries!U5/1000</f>
        <v>215.62</v>
      </c>
      <c r="C2" s="60"/>
      <c r="D2" s="118" t="s">
        <v>310</v>
      </c>
      <c r="E2" s="421">
        <f>Weather_Input!A5</f>
        <v>37061</v>
      </c>
      <c r="F2" s="60"/>
      <c r="H2"/>
      <c r="I2"/>
      <c r="J2"/>
      <c r="K2"/>
      <c r="L2"/>
      <c r="M2"/>
    </row>
    <row r="3" spans="1:13" ht="15">
      <c r="A3" s="97" t="s">
        <v>553</v>
      </c>
      <c r="B3" s="627">
        <f>PGL_Supplies!I7/1000</f>
        <v>0</v>
      </c>
      <c r="C3" s="182"/>
      <c r="D3" s="1059" t="s">
        <v>729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556</v>
      </c>
      <c r="B5" s="151">
        <f>PGL_Deliveries!D5/1000</f>
        <v>0</v>
      </c>
      <c r="C5" s="63"/>
      <c r="D5" s="59" t="s">
        <v>554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167.89</v>
      </c>
      <c r="C6" s="166"/>
      <c r="D6" s="59" t="s">
        <v>555</v>
      </c>
      <c r="E6" s="151">
        <f>PGL_Deliveries!P5/1000</f>
        <v>0.79900000000000004</v>
      </c>
      <c r="F6" s="168"/>
      <c r="H6"/>
      <c r="I6"/>
      <c r="J6"/>
      <c r="K6"/>
      <c r="L6"/>
      <c r="M6"/>
    </row>
    <row r="7" spans="1:13" ht="16.5" thickBot="1">
      <c r="A7" s="178" t="s">
        <v>558</v>
      </c>
      <c r="B7" s="224">
        <f>SUM(B5:B6)</f>
        <v>167.89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709</v>
      </c>
      <c r="B8" s="151">
        <f>PGL_Deliveries!V5/1000</f>
        <v>89.585999999999999</v>
      </c>
      <c r="C8" s="626"/>
      <c r="D8" s="115" t="s">
        <v>557</v>
      </c>
      <c r="E8" s="151">
        <f>PGL_Deliveries!N5/1000</f>
        <v>0.28699999999999998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0.245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4.5940000000000003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24.85</v>
      </c>
      <c r="C11" s="63"/>
      <c r="D11" s="115" t="s">
        <v>559</v>
      </c>
      <c r="E11" s="151">
        <f>PGL_Deliveries!R5/1000</f>
        <v>1.0640000000000001</v>
      </c>
      <c r="F11" s="168"/>
      <c r="H11"/>
      <c r="I11"/>
      <c r="J11"/>
      <c r="K11"/>
      <c r="L11"/>
      <c r="M11"/>
    </row>
    <row r="12" spans="1:13" ht="15">
      <c r="A12" s="169" t="s">
        <v>560</v>
      </c>
      <c r="B12" s="151">
        <f>PGL_Supplies!J7/1000</f>
        <v>0</v>
      </c>
      <c r="C12" s="63"/>
      <c r="D12" s="115" t="s">
        <v>203</v>
      </c>
      <c r="E12" s="151">
        <f>PGL_Deliveries!G5/1000</f>
        <v>2.2469999999999999</v>
      </c>
      <c r="F12" s="168"/>
      <c r="H12"/>
      <c r="I12"/>
      <c r="J12"/>
      <c r="K12"/>
      <c r="L12"/>
      <c r="M12"/>
    </row>
    <row r="13" spans="1:13" ht="15">
      <c r="A13" s="169" t="s">
        <v>561</v>
      </c>
      <c r="B13" s="151">
        <f>PGL_Deliveries!Y5/1000+PGL_Deliveries!Z5/1000+PGL_Deliveries!AA5/1000-PGL_Deliveries!BE5/1000-PGL_Deliveries!BF5/1000</f>
        <v>158.179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36.795000000000002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-120.447</v>
      </c>
      <c r="C15" s="63"/>
      <c r="D15" s="59" t="s">
        <v>388</v>
      </c>
      <c r="E15" s="151">
        <f>PGL_Deliveries!K5/1000</f>
        <v>1.9E-2</v>
      </c>
      <c r="F15" s="168"/>
      <c r="H15"/>
      <c r="I15"/>
      <c r="J15"/>
      <c r="K15"/>
      <c r="L15"/>
      <c r="M15"/>
    </row>
    <row r="16" spans="1:13" ht="15">
      <c r="A16" s="169" t="s">
        <v>562</v>
      </c>
      <c r="B16" s="60"/>
      <c r="C16" s="222">
        <f>PGL_Deliveries!AO5/1000</f>
        <v>0</v>
      </c>
      <c r="D16" s="115" t="s">
        <v>209</v>
      </c>
      <c r="E16" s="151">
        <f>PGL_Deliveries!L5/1000</f>
        <v>3.0000000000000001E-3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15.722</v>
      </c>
      <c r="C17" s="166" t="s">
        <v>9</v>
      </c>
      <c r="D17" s="1092" t="s">
        <v>208</v>
      </c>
      <c r="E17" s="207">
        <f>PGL_Deliveries!M5/1000</f>
        <v>1.6759999999999999</v>
      </c>
      <c r="F17" s="164"/>
      <c r="H17"/>
      <c r="I17"/>
      <c r="J17"/>
      <c r="K17"/>
      <c r="L17"/>
      <c r="M17"/>
    </row>
    <row r="18" spans="1:13" ht="16.5" thickBot="1">
      <c r="A18" s="177" t="s">
        <v>563</v>
      </c>
      <c r="B18" s="888">
        <f>SUM(B8:B17)-C16</f>
        <v>167.89000000000001</v>
      </c>
      <c r="C18" s="166"/>
      <c r="D18" s="176" t="s">
        <v>564</v>
      </c>
      <c r="E18" s="175">
        <f>SUM(E5:E17)</f>
        <v>47.730000000000004</v>
      </c>
      <c r="F18" s="164"/>
      <c r="H18"/>
      <c r="I18"/>
      <c r="J18"/>
      <c r="K18"/>
      <c r="L18"/>
      <c r="M18"/>
    </row>
    <row r="19" spans="1:13" ht="15">
      <c r="A19" s="439" t="s">
        <v>712</v>
      </c>
      <c r="B19" s="151">
        <f>PGL_Supplies!X7/1000</f>
        <v>89.602999999999994</v>
      </c>
      <c r="C19" s="626"/>
      <c r="D19" s="115" t="s">
        <v>305</v>
      </c>
      <c r="E19" s="151">
        <f>PGL_Deliveries!AI5/1000</f>
        <v>6.0000000000000001E-3</v>
      </c>
      <c r="F19" s="168"/>
      <c r="H19"/>
      <c r="I19"/>
      <c r="J19"/>
      <c r="K19"/>
      <c r="L19"/>
      <c r="M19"/>
    </row>
    <row r="20" spans="1:13" ht="15">
      <c r="A20" s="169" t="s">
        <v>710</v>
      </c>
      <c r="B20" s="151">
        <f>PGL_Supplies!W7/1000</f>
        <v>0</v>
      </c>
      <c r="C20" s="63"/>
      <c r="D20" s="115" t="s">
        <v>175</v>
      </c>
      <c r="E20" s="151">
        <f>PGL_Deliveries!AW5/1000+B40</f>
        <v>1.8196499999999998</v>
      </c>
      <c r="F20" s="168"/>
      <c r="H20"/>
      <c r="I20"/>
      <c r="J20"/>
      <c r="K20"/>
      <c r="L20"/>
      <c r="M20"/>
    </row>
    <row r="21" spans="1:13" ht="16.5" thickBot="1">
      <c r="A21" s="169" t="s">
        <v>713</v>
      </c>
      <c r="C21" s="173">
        <f>PGL_Requirements!I7/1000</f>
        <v>0</v>
      </c>
      <c r="D21" s="625" t="s">
        <v>565</v>
      </c>
      <c r="E21" s="208">
        <f>SUM(E18:E20)</f>
        <v>49.555650000000007</v>
      </c>
      <c r="F21" s="174"/>
      <c r="H21"/>
      <c r="I21"/>
      <c r="J21"/>
      <c r="K21"/>
      <c r="L21"/>
      <c r="M21"/>
    </row>
    <row r="22" spans="1:13" ht="15">
      <c r="A22" s="172" t="s">
        <v>345</v>
      </c>
      <c r="B22" s="1065">
        <f>+B19+B20-C21</f>
        <v>89.602999999999994</v>
      </c>
      <c r="C22" s="1058"/>
      <c r="D22" s="246" t="s">
        <v>566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567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723</v>
      </c>
      <c r="B24" s="628"/>
      <c r="C24" s="222">
        <f>PGL_Requirements!T7/1000</f>
        <v>0</v>
      </c>
      <c r="D24" s="60" t="s">
        <v>568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722</v>
      </c>
      <c r="B25" s="151">
        <f>PGL_Supplies!Q7/1000</f>
        <v>0</v>
      </c>
      <c r="C25" s="63"/>
      <c r="D25" s="246" t="s">
        <v>570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572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569</v>
      </c>
      <c r="B27" s="151">
        <f>PGL_Supplies!Z7/1000</f>
        <v>0</v>
      </c>
      <c r="C27" s="63"/>
      <c r="D27" s="246" t="s">
        <v>575</v>
      </c>
      <c r="E27" s="60" t="s">
        <v>9</v>
      </c>
      <c r="F27" s="173">
        <f>PGL_Requirements!N7/1000</f>
        <v>0</v>
      </c>
      <c r="H27"/>
      <c r="I27"/>
      <c r="J27"/>
      <c r="K27"/>
      <c r="L27"/>
      <c r="M27"/>
    </row>
    <row r="28" spans="1:13" ht="15">
      <c r="A28" s="169" t="s">
        <v>571</v>
      </c>
      <c r="B28" s="151">
        <v>0</v>
      </c>
      <c r="C28" s="63"/>
      <c r="D28" s="171" t="s">
        <v>576</v>
      </c>
      <c r="E28" s="151">
        <f>PGL_Deliveries!AR5/1000</f>
        <v>18</v>
      </c>
      <c r="F28" s="168"/>
      <c r="H28"/>
      <c r="I28"/>
      <c r="J28"/>
      <c r="K28"/>
      <c r="L28"/>
      <c r="M28"/>
    </row>
    <row r="29" spans="1:13" ht="15">
      <c r="A29" s="169" t="s">
        <v>573</v>
      </c>
      <c r="B29" s="1022">
        <f>PGL_Supplies!AC7/1000</f>
        <v>4</v>
      </c>
      <c r="C29" s="63"/>
      <c r="D29" s="246" t="s">
        <v>697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574</v>
      </c>
      <c r="B30" s="151">
        <f>PGL_Supplies!AD7/1000</f>
        <v>0</v>
      </c>
      <c r="C30" s="63"/>
      <c r="D30" s="60" t="s">
        <v>183</v>
      </c>
      <c r="E30" s="151">
        <f>PGL_Supplies!AB7/1000</f>
        <v>31.556000000000001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579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581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577</v>
      </c>
      <c r="B33" s="629">
        <f>(PGL_Deliveries!AB5+PGL_Deliveries!AC5+PGL_Deliveries!AD5)/1000</f>
        <v>0</v>
      </c>
      <c r="C33" s="63"/>
      <c r="D33" s="246" t="s">
        <v>583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578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580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582</v>
      </c>
      <c r="B36" s="151" t="s">
        <v>9</v>
      </c>
      <c r="C36" s="222">
        <f>PGL_Requirements!O7/1000</f>
        <v>131.31</v>
      </c>
      <c r="F36" s="168"/>
      <c r="H36"/>
      <c r="I36"/>
      <c r="J36"/>
      <c r="K36"/>
      <c r="L36"/>
      <c r="M36"/>
    </row>
    <row r="37" spans="1:13" ht="15">
      <c r="A37" s="170" t="s">
        <v>584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585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1.4630000000000001</v>
      </c>
      <c r="C39" s="63"/>
      <c r="D39" s="209" t="s">
        <v>210</v>
      </c>
      <c r="E39" s="208">
        <f>SUM(E22:E33)-SUM(F23:F38)-E29</f>
        <v>49.555999999999997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586</v>
      </c>
      <c r="E40" s="794"/>
      <c r="F40" s="173">
        <f>PGL_Requirements!J7/1000</f>
        <v>6.444</v>
      </c>
      <c r="H40"/>
      <c r="I40"/>
      <c r="J40"/>
      <c r="K40"/>
      <c r="L40"/>
      <c r="M40"/>
    </row>
    <row r="41" spans="1:13" ht="15">
      <c r="A41" s="170" t="s">
        <v>587</v>
      </c>
      <c r="B41" s="151">
        <f>PGL_Deliveries!AF5/1000</f>
        <v>0</v>
      </c>
      <c r="C41" s="63"/>
      <c r="D41" s="246" t="s">
        <v>508</v>
      </c>
      <c r="E41" s="795">
        <f>PGL_Supplies!AA7/1000</f>
        <v>167.27099999999999</v>
      </c>
      <c r="F41" s="168"/>
      <c r="H41"/>
      <c r="I41"/>
      <c r="J41"/>
      <c r="K41"/>
      <c r="L41"/>
      <c r="M41"/>
    </row>
    <row r="42" spans="1:13" ht="15">
      <c r="A42" s="1" t="s">
        <v>806</v>
      </c>
      <c r="B42" s="151">
        <f>PGL_Deliveries!BI5/1000</f>
        <v>0</v>
      </c>
      <c r="C42" s="222">
        <f>PGL_Deliveries!BH5/1000</f>
        <v>0</v>
      </c>
      <c r="D42" s="60" t="s">
        <v>379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588</v>
      </c>
      <c r="B43" s="151">
        <f>PGL_Deliveries!AW5/1000</f>
        <v>1.8196499999999998</v>
      </c>
      <c r="C43" s="63"/>
      <c r="D43" s="60" t="s">
        <v>511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706</v>
      </c>
      <c r="B44" s="165"/>
      <c r="C44" s="222">
        <f>PGL_Requirements!Q7/1000</f>
        <v>0.6</v>
      </c>
      <c r="D44" s="60" t="s">
        <v>512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589</v>
      </c>
      <c r="B45" s="60">
        <f>Weather_Input!B5</f>
        <v>83</v>
      </c>
      <c r="C45" s="182"/>
      <c r="D45" s="60" t="s">
        <v>597</v>
      </c>
      <c r="E45" s="795">
        <f>PGL_Supplies!S7/1000</f>
        <v>34.334000000000003</v>
      </c>
      <c r="F45" s="168"/>
    </row>
    <row r="46" spans="1:13" ht="15">
      <c r="A46" s="169" t="s">
        <v>590</v>
      </c>
      <c r="B46" s="234">
        <f>Weather_Input!C5</f>
        <v>65</v>
      </c>
      <c r="C46" s="159"/>
      <c r="D46" s="72" t="s">
        <v>804</v>
      </c>
      <c r="E46" s="60"/>
      <c r="F46" s="173">
        <f>PGL_Deliveries!BE5/1000</f>
        <v>17.527000000000001</v>
      </c>
    </row>
    <row r="47" spans="1:13" ht="15">
      <c r="A47" s="170" t="s">
        <v>591</v>
      </c>
      <c r="B47" s="60">
        <f>Weather_Input!E5</f>
        <v>71.2</v>
      </c>
      <c r="C47" s="159"/>
      <c r="D47" s="769" t="s">
        <v>805</v>
      </c>
      <c r="E47" s="67"/>
      <c r="F47" s="1256">
        <f>PGL_Deliveries!BF5/1000</f>
        <v>6.4669999999999996</v>
      </c>
    </row>
    <row r="48" spans="1:13" ht="15">
      <c r="A48" s="169" t="s">
        <v>592</v>
      </c>
      <c r="B48" s="223">
        <f>Weather_Input!D5</f>
        <v>7.2</v>
      </c>
      <c r="C48" s="159"/>
      <c r="D48" s="246" t="s">
        <v>231</v>
      </c>
      <c r="E48" s="151">
        <f>PGL_Deliveries!AI5/1000</f>
        <v>6.0000000000000001E-3</v>
      </c>
      <c r="F48" s="158"/>
    </row>
    <row r="49" spans="1:6" ht="15">
      <c r="A49" s="169" t="s">
        <v>593</v>
      </c>
      <c r="B49" s="151">
        <f>PGL_Deliveries!AM5/1000</f>
        <v>1.016</v>
      </c>
      <c r="C49" s="159"/>
      <c r="D49" s="60" t="s">
        <v>739</v>
      </c>
      <c r="E49" s="151">
        <f>PGL_Deliveries!AJ5/1000</f>
        <v>7.0860000000000003</v>
      </c>
      <c r="F49" s="158"/>
    </row>
    <row r="50" spans="1:6" ht="15.75" outlineLevel="2" thickBot="1">
      <c r="A50" s="100" t="s">
        <v>594</v>
      </c>
      <c r="B50" s="160"/>
      <c r="C50" s="157"/>
      <c r="D50" s="165" t="s">
        <v>595</v>
      </c>
      <c r="E50" s="207">
        <f>PGL_Deliveries!AK5/1000</f>
        <v>17.763999999999999</v>
      </c>
      <c r="F50" s="438"/>
    </row>
    <row r="51" spans="1:6" ht="15" outlineLevel="2">
      <c r="A51" s="416" t="s">
        <v>596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6" t="s">
        <v>4</v>
      </c>
      <c r="B3" s="239">
        <f>NSG_Deliveries!H5/1000</f>
        <v>35.429000000000002</v>
      </c>
      <c r="C3" s="117"/>
      <c r="D3" s="226" t="s">
        <v>310</v>
      </c>
      <c r="E3" s="424">
        <f>Weather_Input!A5</f>
        <v>37061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23.805</v>
      </c>
      <c r="C5" s="143"/>
      <c r="D5" s="218" t="s">
        <v>312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313</v>
      </c>
      <c r="B7" s="213">
        <f>NSG_Deliveries!G5/1000</f>
        <v>1.0529999999999999</v>
      </c>
      <c r="C7" s="805"/>
      <c r="D7" s="218" t="s">
        <v>314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24.858000000000001</v>
      </c>
      <c r="C8" s="158"/>
      <c r="D8" s="806" t="s">
        <v>613</v>
      </c>
      <c r="E8" s="800">
        <f>NSG_Deliveries!F5/1000</f>
        <v>10.571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604</v>
      </c>
      <c r="E9" s="801" t="s">
        <v>9</v>
      </c>
      <c r="F9" s="981">
        <f>NSG_Deliveries!M5/1000</f>
        <v>4.6440000000000001</v>
      </c>
      <c r="G9" s="119"/>
    </row>
    <row r="10" spans="1:11" ht="15" customHeight="1">
      <c r="A10" s="125" t="s">
        <v>316</v>
      </c>
      <c r="B10" s="215">
        <f>NSG_Supplies!G7/1000</f>
        <v>0</v>
      </c>
      <c r="C10" s="130"/>
      <c r="D10" s="983" t="s">
        <v>605</v>
      </c>
      <c r="E10" s="441">
        <f>NSG_Deliveries!N5/1000</f>
        <v>0</v>
      </c>
      <c r="F10" s="802"/>
      <c r="G10"/>
    </row>
    <row r="11" spans="1:11" ht="15" customHeight="1" thickBot="1">
      <c r="A11" s="128" t="s">
        <v>317</v>
      </c>
      <c r="B11" s="422" t="s">
        <v>9</v>
      </c>
      <c r="C11" s="423"/>
      <c r="D11" s="167" t="s">
        <v>614</v>
      </c>
      <c r="E11" s="803">
        <f>NSG_Supplies!P7/1000</f>
        <v>15.215</v>
      </c>
      <c r="F11" s="804"/>
      <c r="G11"/>
    </row>
    <row r="12" spans="1:11" ht="15" customHeight="1">
      <c r="A12" s="125" t="s">
        <v>380</v>
      </c>
      <c r="B12" s="215">
        <v>0</v>
      </c>
      <c r="C12" s="129"/>
      <c r="D12" t="s">
        <v>315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320</v>
      </c>
      <c r="B13" s="215">
        <f>NSG_Supplies!Q7/1000</f>
        <v>27.899000000000001</v>
      </c>
      <c r="C13" s="129"/>
      <c r="D13" s="242" t="s">
        <v>318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319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322</v>
      </c>
      <c r="B15" s="211"/>
      <c r="C15" s="131">
        <f>NSG_Deliveries!K5/1000</f>
        <v>3.0310000000000001</v>
      </c>
      <c r="D15" s="233" t="s">
        <v>321</v>
      </c>
      <c r="E15" s="762">
        <f>+NSG_Supplies!N7/1000</f>
        <v>0</v>
      </c>
      <c r="F15" s="212"/>
    </row>
    <row r="16" spans="1:11" ht="15" customHeight="1" thickBot="1">
      <c r="A16" s="127" t="s">
        <v>323</v>
      </c>
      <c r="B16" s="441">
        <f>NSG_Deliveries!L5/1000</f>
        <v>0</v>
      </c>
      <c r="C16" s="982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324</v>
      </c>
      <c r="B17" s="211"/>
      <c r="C17" s="131">
        <f>NSG_Requirements!P7/1000</f>
        <v>0</v>
      </c>
      <c r="D17" s="426" t="s">
        <v>325</v>
      </c>
      <c r="E17" s="425"/>
      <c r="F17" s="427"/>
    </row>
    <row r="18" spans="1:8" ht="15" customHeight="1">
      <c r="A18" s="125" t="s">
        <v>326</v>
      </c>
      <c r="B18" s="215">
        <f>NSG_Supplies!H7/1000</f>
        <v>0</v>
      </c>
      <c r="C18" s="129"/>
      <c r="D18" s="63" t="s">
        <v>327</v>
      </c>
      <c r="E18" s="159"/>
      <c r="F18" s="126">
        <f>NSG_Requirements!N7/1000</f>
        <v>0</v>
      </c>
    </row>
    <row r="19" spans="1:8" ht="15" customHeight="1">
      <c r="A19" s="127" t="s">
        <v>477</v>
      </c>
      <c r="B19" s="441" t="e">
        <f>PGL_Requirements!#REF!/1000+PGL_Requirements!AA7/1000</f>
        <v>#REF!</v>
      </c>
      <c r="C19" s="440"/>
      <c r="D19" s="228" t="s">
        <v>328</v>
      </c>
      <c r="E19" s="159"/>
      <c r="F19" s="126">
        <f>NSG_Requirements!S7/1000</f>
        <v>0</v>
      </c>
    </row>
    <row r="20" spans="1:8" ht="15" customHeight="1">
      <c r="A20" s="127" t="s">
        <v>329</v>
      </c>
      <c r="B20" s="441">
        <f>PGL_Requirements!Y7/1000</f>
        <v>0</v>
      </c>
      <c r="C20" s="440" t="s">
        <v>9</v>
      </c>
      <c r="D20" s="211" t="s">
        <v>330</v>
      </c>
      <c r="E20" s="159"/>
      <c r="F20" s="126">
        <f>NSG_Requirements!O7/1000</f>
        <v>0</v>
      </c>
    </row>
    <row r="21" spans="1:8" ht="15" customHeight="1">
      <c r="A21" s="127" t="s">
        <v>504</v>
      </c>
      <c r="B21" s="441">
        <f>PGL_Requirements!Z7/1000</f>
        <v>0</v>
      </c>
      <c r="C21" s="440"/>
      <c r="D21" s="219" t="s">
        <v>331</v>
      </c>
      <c r="E21" s="215">
        <f>NSG_Supplies!K7/1000</f>
        <v>0</v>
      </c>
      <c r="F21" s="141"/>
    </row>
    <row r="22" spans="1:8" ht="15" customHeight="1">
      <c r="A22" s="125" t="s">
        <v>311</v>
      </c>
      <c r="B22" s="211"/>
      <c r="C22" s="131">
        <f>NSG_Requirements!C7/1000</f>
        <v>0</v>
      </c>
      <c r="D22" s="219" t="s">
        <v>355</v>
      </c>
      <c r="E22" s="215">
        <f>NSG_Supplies!L7/1000</f>
        <v>0</v>
      </c>
      <c r="F22" s="141"/>
    </row>
    <row r="23" spans="1:8" ht="15" customHeight="1">
      <c r="A23" s="125" t="s">
        <v>332</v>
      </c>
      <c r="B23" s="211"/>
      <c r="C23" s="131">
        <f>NSG_Requirements!R7/1000</f>
        <v>0</v>
      </c>
      <c r="D23" s="219" t="s">
        <v>333</v>
      </c>
      <c r="E23" s="215">
        <f>PGL_Supplies!R7/1000</f>
        <v>0</v>
      </c>
      <c r="F23" s="126" t="s">
        <v>9</v>
      </c>
    </row>
    <row r="24" spans="1:8" ht="15" customHeight="1">
      <c r="A24" s="125" t="s">
        <v>334</v>
      </c>
      <c r="B24" s="215">
        <f>NSG_Supplies!J7/1000</f>
        <v>0</v>
      </c>
      <c r="C24" s="129"/>
      <c r="D24" s="227" t="s">
        <v>335</v>
      </c>
      <c r="E24" s="220">
        <f>NSG_Supplies!O7/1000</f>
        <v>0</v>
      </c>
      <c r="F24" s="124"/>
    </row>
    <row r="25" spans="1:8" ht="15" customHeight="1">
      <c r="A25" s="127" t="s">
        <v>336</v>
      </c>
      <c r="B25" s="211"/>
      <c r="C25" s="131">
        <f>NSG_Requirements!Q7/1000</f>
        <v>0</v>
      </c>
      <c r="D25" s="227" t="s">
        <v>337</v>
      </c>
      <c r="E25" s="215">
        <f>PGL_Requirements!V71/1000</f>
        <v>0</v>
      </c>
      <c r="F25" s="116"/>
    </row>
    <row r="26" spans="1:8" ht="15" customHeight="1">
      <c r="A26" s="142" t="s">
        <v>338</v>
      </c>
      <c r="B26" s="216">
        <f>NSG_Supplies!I7/1000</f>
        <v>0</v>
      </c>
      <c r="C26" s="143"/>
      <c r="D26" s="763" t="s">
        <v>339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 t="e">
        <f>SUM(B9:B26)-SUM(C9:C26)</f>
        <v>#REF!</v>
      </c>
      <c r="C27" s="145"/>
      <c r="D27" s="236" t="s">
        <v>340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381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341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342</v>
      </c>
      <c r="B1" s="51">
        <f>Weather_Input!A5</f>
        <v>37061</v>
      </c>
      <c r="C1" s="4"/>
    </row>
    <row r="2" spans="1:19">
      <c r="A2" s="109" t="s">
        <v>343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344</v>
      </c>
      <c r="C4" s="199"/>
      <c r="D4" s="195" t="s">
        <v>345</v>
      </c>
      <c r="E4" s="195" t="s">
        <v>345</v>
      </c>
      <c r="F4" s="6" t="s">
        <v>346</v>
      </c>
      <c r="G4" s="196"/>
      <c r="H4" s="6" t="s">
        <v>344</v>
      </c>
      <c r="I4" s="6"/>
      <c r="J4" s="195" t="s">
        <v>345</v>
      </c>
      <c r="K4" s="195" t="s">
        <v>345</v>
      </c>
      <c r="L4" s="6" t="s">
        <v>346</v>
      </c>
      <c r="M4" s="196"/>
      <c r="N4" s="6" t="s">
        <v>344</v>
      </c>
      <c r="O4" s="6"/>
      <c r="P4" s="195" t="s">
        <v>345</v>
      </c>
      <c r="Q4" s="195" t="s">
        <v>345</v>
      </c>
      <c r="R4" s="6" t="s">
        <v>346</v>
      </c>
      <c r="S4" s="6"/>
    </row>
    <row r="5" spans="1:19">
      <c r="A5" s="103"/>
      <c r="B5" s="205" t="s">
        <v>347</v>
      </c>
      <c r="C5" s="200" t="s">
        <v>348</v>
      </c>
      <c r="D5" s="197" t="s">
        <v>349</v>
      </c>
      <c r="E5" s="197" t="s">
        <v>350</v>
      </c>
      <c r="F5" s="197" t="s">
        <v>347</v>
      </c>
      <c r="G5" s="198" t="s">
        <v>348</v>
      </c>
      <c r="H5" s="197" t="s">
        <v>347</v>
      </c>
      <c r="I5" s="197" t="s">
        <v>348</v>
      </c>
      <c r="J5" s="197" t="s">
        <v>349</v>
      </c>
      <c r="K5" s="197" t="s">
        <v>350</v>
      </c>
      <c r="L5" s="197" t="s">
        <v>347</v>
      </c>
      <c r="M5" s="198" t="s">
        <v>348</v>
      </c>
      <c r="N5" s="197" t="s">
        <v>347</v>
      </c>
      <c r="O5" s="197" t="s">
        <v>348</v>
      </c>
      <c r="P5" s="197" t="s">
        <v>349</v>
      </c>
      <c r="Q5" s="197" t="s">
        <v>350</v>
      </c>
      <c r="R5" s="197" t="s">
        <v>347</v>
      </c>
      <c r="S5" s="197" t="s">
        <v>348</v>
      </c>
    </row>
    <row r="6" spans="1:19">
      <c r="A6" s="4">
        <f>B1-1</f>
        <v>37060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107400</v>
      </c>
      <c r="O6" s="201">
        <v>0</v>
      </c>
      <c r="P6" s="201">
        <v>51891486</v>
      </c>
      <c r="Q6" s="201">
        <v>15045098</v>
      </c>
      <c r="R6" s="201">
        <v>36846388</v>
      </c>
      <c r="S6" s="201">
        <v>0</v>
      </c>
    </row>
    <row r="7" spans="1:19">
      <c r="A7" s="4">
        <f>B1</f>
        <v>37061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93603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51985089</v>
      </c>
      <c r="Q7">
        <f>IF(O7&gt;0,Q6+O7,Q6)</f>
        <v>15045098</v>
      </c>
      <c r="R7">
        <f>IF(P7&gt;Q7,P7-Q7,0)</f>
        <v>36939991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351</v>
      </c>
      <c r="C1" s="3" t="s">
        <v>352</v>
      </c>
      <c r="D1" s="9" t="s">
        <v>353</v>
      </c>
    </row>
    <row r="2" spans="1:4">
      <c r="B2" s="3" t="s">
        <v>354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Z1" zoomScale="75" workbookViewId="0">
      <selection activeCell="Z6" sqref="Z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695</v>
      </c>
      <c r="BE1" t="s">
        <v>696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692</v>
      </c>
      <c r="BC2" t="s">
        <v>693</v>
      </c>
      <c r="BE2" s="1034">
        <v>1</v>
      </c>
      <c r="BF2" s="195" t="s">
        <v>693</v>
      </c>
      <c r="BH2" t="s">
        <v>808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389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389</v>
      </c>
      <c r="U3" s="3" t="s">
        <v>13</v>
      </c>
      <c r="V3" s="3"/>
      <c r="W3" s="109"/>
      <c r="X3" s="1"/>
      <c r="Y3" s="1" t="s">
        <v>509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675</v>
      </c>
      <c r="AP3" s="1015"/>
      <c r="AQ3" s="782" t="s">
        <v>676</v>
      </c>
      <c r="AR3" s="1015"/>
      <c r="AS3" s="782" t="s">
        <v>677</v>
      </c>
      <c r="AT3" s="1015"/>
      <c r="AU3" s="428" t="s">
        <v>170</v>
      </c>
      <c r="AV3" s="428" t="s">
        <v>170</v>
      </c>
      <c r="AW3" s="428"/>
      <c r="AX3" s="428" t="s">
        <v>170</v>
      </c>
      <c r="AZ3" s="119" t="s">
        <v>690</v>
      </c>
      <c r="BA3" s="119"/>
      <c r="BB3" s="159"/>
      <c r="BC3" s="119" t="s">
        <v>41</v>
      </c>
      <c r="BE3" s="1034" t="s">
        <v>510</v>
      </c>
      <c r="BH3" t="s">
        <v>807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390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386</v>
      </c>
      <c r="U4" s="3" t="s">
        <v>54</v>
      </c>
      <c r="V4" s="3" t="s">
        <v>707</v>
      </c>
      <c r="W4" s="3" t="s">
        <v>66</v>
      </c>
      <c r="X4" s="3" t="s">
        <v>67</v>
      </c>
      <c r="Y4" s="3" t="s">
        <v>548</v>
      </c>
      <c r="Z4" s="3" t="s">
        <v>549</v>
      </c>
      <c r="AA4" s="3" t="s">
        <v>736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14" t="s">
        <v>673</v>
      </c>
      <c r="AP4" s="3" t="s">
        <v>674</v>
      </c>
      <c r="AQ4" s="3" t="s">
        <v>673</v>
      </c>
      <c r="AR4" s="3" t="s">
        <v>674</v>
      </c>
      <c r="AS4" s="3" t="s">
        <v>673</v>
      </c>
      <c r="AT4" s="3" t="s">
        <v>674</v>
      </c>
      <c r="AU4" s="428" t="s">
        <v>189</v>
      </c>
      <c r="AV4" s="428" t="s">
        <v>705</v>
      </c>
      <c r="AW4" s="428" t="s">
        <v>198</v>
      </c>
      <c r="AX4" s="428" t="s">
        <v>672</v>
      </c>
      <c r="AY4" s="1"/>
      <c r="AZ4" s="1035" t="s">
        <v>40</v>
      </c>
      <c r="BA4" s="1036" t="s">
        <v>41</v>
      </c>
      <c r="BB4" s="1037" t="s">
        <v>689</v>
      </c>
      <c r="BC4" s="1037" t="s">
        <v>694</v>
      </c>
      <c r="BE4" s="195" t="s">
        <v>386</v>
      </c>
      <c r="BF4" s="195" t="s">
        <v>691</v>
      </c>
      <c r="BG4" s="1"/>
      <c r="BH4" s="1" t="s">
        <v>809</v>
      </c>
      <c r="BI4" s="1" t="s">
        <v>810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37061</v>
      </c>
      <c r="B5" s="1">
        <f>(Weather_Input!B5+Weather_Input!C5)/2</f>
        <v>74</v>
      </c>
      <c r="C5" s="895">
        <v>215000</v>
      </c>
      <c r="D5" s="896">
        <v>0</v>
      </c>
      <c r="E5" s="896">
        <v>0</v>
      </c>
      <c r="F5" s="896">
        <v>0</v>
      </c>
      <c r="G5" s="896">
        <v>2247</v>
      </c>
      <c r="H5" s="896">
        <v>36795</v>
      </c>
      <c r="I5" s="896">
        <v>167890</v>
      </c>
      <c r="J5" s="896">
        <v>0</v>
      </c>
      <c r="K5" s="896">
        <v>19</v>
      </c>
      <c r="L5" s="896">
        <v>3</v>
      </c>
      <c r="M5" s="896">
        <v>1676</v>
      </c>
      <c r="N5" s="896">
        <v>287</v>
      </c>
      <c r="O5" s="896">
        <v>1</v>
      </c>
      <c r="P5" s="896">
        <v>799</v>
      </c>
      <c r="Q5" s="896">
        <v>245</v>
      </c>
      <c r="R5" s="896">
        <v>1064</v>
      </c>
      <c r="S5" s="901">
        <v>4594</v>
      </c>
      <c r="T5" s="1091">
        <v>0</v>
      </c>
      <c r="U5" s="895">
        <f>SUM(D5:S5)-T5</f>
        <v>215620</v>
      </c>
      <c r="V5" s="895">
        <v>89586</v>
      </c>
      <c r="W5" s="11">
        <v>0</v>
      </c>
      <c r="X5" s="11">
        <v>0</v>
      </c>
      <c r="Y5" s="11">
        <v>0</v>
      </c>
      <c r="Z5" s="11">
        <v>165128</v>
      </c>
      <c r="AA5" s="11">
        <v>17045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6</v>
      </c>
      <c r="AJ5" s="11">
        <v>7086</v>
      </c>
      <c r="AK5" s="11">
        <v>17764</v>
      </c>
      <c r="AL5" s="11">
        <v>0</v>
      </c>
      <c r="AM5" s="1">
        <v>1016</v>
      </c>
      <c r="AN5" s="1"/>
      <c r="AO5" s="1">
        <v>0</v>
      </c>
      <c r="AP5" s="1">
        <v>15722</v>
      </c>
      <c r="AQ5" s="1">
        <v>0</v>
      </c>
      <c r="AR5" s="1">
        <v>18000</v>
      </c>
      <c r="AS5" s="1">
        <v>0</v>
      </c>
      <c r="AT5" s="1">
        <v>1463</v>
      </c>
      <c r="AU5" s="1">
        <v>121310</v>
      </c>
      <c r="AV5" s="1">
        <v>600</v>
      </c>
      <c r="AW5" s="622">
        <f>AU5*0.015</f>
        <v>1819.6499999999999</v>
      </c>
      <c r="AX5" s="1">
        <v>0</v>
      </c>
      <c r="AY5" s="1"/>
      <c r="AZ5" s="1">
        <v>2254</v>
      </c>
      <c r="BA5" s="1">
        <v>4685</v>
      </c>
      <c r="BB5" s="1">
        <v>0</v>
      </c>
      <c r="BC5" s="1">
        <v>0</v>
      </c>
      <c r="BD5" s="1"/>
      <c r="BE5" s="1">
        <v>17527</v>
      </c>
      <c r="BF5" s="1">
        <v>6467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37062</v>
      </c>
      <c r="B6" s="913">
        <f>(Weather_Input!B6+Weather_Input!C6)/2</f>
        <v>68.5</v>
      </c>
      <c r="C6" s="895">
        <v>220000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671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37063</v>
      </c>
      <c r="B7" s="913">
        <f>(Weather_Input!B7+Weather_Input!C7)/2</f>
        <v>62.5</v>
      </c>
      <c r="C7" s="895">
        <v>225000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521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37064</v>
      </c>
      <c r="B8" s="913">
        <f>(Weather_Input!B8+Weather_Input!C8)/2</f>
        <v>62.5</v>
      </c>
      <c r="C8" s="895">
        <v>205000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522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37065</v>
      </c>
      <c r="B9" s="913">
        <f>(Weather_Input!B9+Weather_Input!C9)/2</f>
        <v>69</v>
      </c>
      <c r="C9" s="895">
        <v>185000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523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37066</v>
      </c>
      <c r="B10" s="913">
        <f>(Weather_Input!B10+Weather_Input!C10)/2</f>
        <v>73.5</v>
      </c>
      <c r="C10" s="895">
        <v>200000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526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524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525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527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528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529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B5" sqref="B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669</v>
      </c>
      <c r="L2" t="s">
        <v>669</v>
      </c>
      <c r="M2" t="s">
        <v>669</v>
      </c>
      <c r="N2" t="s">
        <v>669</v>
      </c>
    </row>
    <row r="3" spans="1:14" ht="15">
      <c r="B3" s="11" t="s">
        <v>37</v>
      </c>
      <c r="C3" s="1" t="s">
        <v>54</v>
      </c>
      <c r="D3" s="3" t="s">
        <v>79</v>
      </c>
      <c r="F3" s="3" t="s">
        <v>608</v>
      </c>
      <c r="G3" s="153" t="s">
        <v>80</v>
      </c>
      <c r="H3" s="3" t="s">
        <v>13</v>
      </c>
      <c r="I3" s="153" t="s">
        <v>81</v>
      </c>
      <c r="K3" t="s">
        <v>670</v>
      </c>
      <c r="L3" t="s">
        <v>670</v>
      </c>
      <c r="M3" t="s">
        <v>670</v>
      </c>
      <c r="N3" t="s">
        <v>670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667</v>
      </c>
      <c r="L4" s="1" t="s">
        <v>668</v>
      </c>
      <c r="M4" s="1" t="s">
        <v>667</v>
      </c>
      <c r="N4" s="1" t="s">
        <v>668</v>
      </c>
    </row>
    <row r="5" spans="1:14">
      <c r="A5" s="12">
        <f>Weather_Input!A5</f>
        <v>37061</v>
      </c>
      <c r="B5" s="1">
        <f>(Weather_Input!B5+Weather_Input!C5)/2</f>
        <v>74</v>
      </c>
      <c r="C5" s="895">
        <v>36000</v>
      </c>
      <c r="D5" s="895">
        <v>0</v>
      </c>
      <c r="E5" s="895">
        <v>23805</v>
      </c>
      <c r="F5" s="895">
        <v>10571</v>
      </c>
      <c r="G5" s="895">
        <v>1053</v>
      </c>
      <c r="H5" s="903">
        <f>SUM(D5:G5)</f>
        <v>35429</v>
      </c>
      <c r="I5" s="1">
        <v>1003</v>
      </c>
      <c r="J5" s="1" t="s">
        <v>9</v>
      </c>
      <c r="K5" s="1">
        <v>3031</v>
      </c>
      <c r="L5" s="1">
        <v>0</v>
      </c>
      <c r="M5" s="1">
        <v>4644</v>
      </c>
      <c r="N5" s="1">
        <v>0</v>
      </c>
    </row>
    <row r="6" spans="1:14">
      <c r="A6" s="12">
        <f>A5+1</f>
        <v>37062</v>
      </c>
      <c r="B6" s="913">
        <f>(Weather_Input!B6+Weather_Input!C6)/2</f>
        <v>68.5</v>
      </c>
      <c r="C6" s="895">
        <v>37000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37063</v>
      </c>
      <c r="B7" s="913">
        <f>(Weather_Input!B7+Weather_Input!C7)/2</f>
        <v>62.5</v>
      </c>
      <c r="C7" s="895">
        <v>38000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37064</v>
      </c>
      <c r="B8" s="913">
        <f>(Weather_Input!B8+Weather_Input!C8)/2</f>
        <v>62.5</v>
      </c>
      <c r="C8" s="895">
        <v>36000</v>
      </c>
      <c r="D8" s="898" t="s">
        <v>9</v>
      </c>
      <c r="E8" s="898"/>
      <c r="F8" s="898"/>
      <c r="G8" s="898"/>
      <c r="H8" s="15"/>
    </row>
    <row r="9" spans="1:14">
      <c r="A9" s="12">
        <f>A8+1</f>
        <v>37065</v>
      </c>
      <c r="B9" s="913">
        <f>(Weather_Input!B9+Weather_Input!C9)/2</f>
        <v>69</v>
      </c>
      <c r="C9" s="895">
        <v>33000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37066</v>
      </c>
      <c r="B10" s="913">
        <f>(Weather_Input!B10+Weather_Input!C10)/2</f>
        <v>73.5</v>
      </c>
      <c r="C10" s="895">
        <v>36000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15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topLeftCell="T1" zoomScale="75" workbookViewId="0">
      <selection activeCell="AE7" sqref="AE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14">
        <v>1</v>
      </c>
      <c r="H4" s="3" t="s">
        <v>1</v>
      </c>
      <c r="I4" s="3" t="s">
        <v>715</v>
      </c>
      <c r="J4" s="3" t="s">
        <v>691</v>
      </c>
      <c r="L4" s="3" t="s">
        <v>797</v>
      </c>
      <c r="M4" s="3" t="s">
        <v>817</v>
      </c>
      <c r="N4" s="58"/>
      <c r="O4" s="65"/>
      <c r="P4" s="65"/>
      <c r="T4" s="1248" t="s">
        <v>811</v>
      </c>
      <c r="U4" s="1058"/>
      <c r="V4" s="1210" t="s">
        <v>774</v>
      </c>
      <c r="W4" s="1211"/>
      <c r="X4" s="1212"/>
      <c r="Y4" s="53"/>
      <c r="Z4" s="53"/>
      <c r="AA4" s="53"/>
      <c r="AB4" s="55" t="s">
        <v>89</v>
      </c>
      <c r="AC4" s="53"/>
      <c r="AD4" s="53"/>
      <c r="AE4" s="72"/>
      <c r="AF4" s="3" t="s">
        <v>402</v>
      </c>
    </row>
    <row r="5" spans="1:88" s="1" customFormat="1" ht="12.75">
      <c r="B5" s="66" t="s">
        <v>90</v>
      </c>
      <c r="E5" s="247"/>
      <c r="F5" s="66" t="s">
        <v>9</v>
      </c>
      <c r="G5" s="792" t="s">
        <v>795</v>
      </c>
      <c r="H5" s="107" t="s">
        <v>687</v>
      </c>
      <c r="I5" s="54" t="s">
        <v>707</v>
      </c>
      <c r="J5" s="3" t="s">
        <v>744</v>
      </c>
      <c r="L5" s="3" t="s">
        <v>798</v>
      </c>
      <c r="M5" s="56" t="s">
        <v>818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775</v>
      </c>
      <c r="W5" s="56" t="s">
        <v>778</v>
      </c>
      <c r="X5" s="3" t="s">
        <v>779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402</v>
      </c>
      <c r="E6" s="248" t="s">
        <v>92</v>
      </c>
      <c r="F6" s="54" t="s">
        <v>95</v>
      </c>
      <c r="G6" s="793" t="s">
        <v>796</v>
      </c>
      <c r="H6" s="1016" t="s">
        <v>688</v>
      </c>
      <c r="I6" s="54" t="s">
        <v>714</v>
      </c>
      <c r="J6" s="54" t="s">
        <v>743</v>
      </c>
      <c r="K6" s="54" t="s">
        <v>790</v>
      </c>
      <c r="L6" s="54" t="s">
        <v>67</v>
      </c>
      <c r="M6" s="54" t="s">
        <v>816</v>
      </c>
      <c r="N6" s="81" t="s">
        <v>87</v>
      </c>
      <c r="O6" s="54" t="s">
        <v>58</v>
      </c>
      <c r="P6" s="54" t="s">
        <v>97</v>
      </c>
      <c r="Q6" s="54" t="s">
        <v>702</v>
      </c>
      <c r="R6" s="54" t="s">
        <v>99</v>
      </c>
      <c r="S6" s="54" t="s">
        <v>684</v>
      </c>
      <c r="T6" s="54" t="s">
        <v>792</v>
      </c>
      <c r="U6" s="68" t="s">
        <v>812</v>
      </c>
      <c r="V6" s="1213" t="s">
        <v>776</v>
      </c>
      <c r="W6" s="1213" t="s">
        <v>777</v>
      </c>
      <c r="X6" s="54">
        <v>9</v>
      </c>
      <c r="Y6" s="54" t="s">
        <v>66</v>
      </c>
      <c r="Z6" s="54" t="s">
        <v>89</v>
      </c>
      <c r="AA6" s="54" t="s">
        <v>402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402</v>
      </c>
    </row>
    <row r="7" spans="1:88" s="1" customFormat="1" ht="12.75">
      <c r="A7" s="819">
        <f>Weather_Input!A5</f>
        <v>37061</v>
      </c>
      <c r="B7" s="904">
        <v>0</v>
      </c>
      <c r="C7" s="620">
        <v>0</v>
      </c>
      <c r="D7" s="620">
        <v>0</v>
      </c>
      <c r="E7" s="904">
        <v>4000</v>
      </c>
      <c r="F7" s="904">
        <v>0</v>
      </c>
      <c r="G7" s="906">
        <v>17045</v>
      </c>
      <c r="H7" s="619">
        <v>0</v>
      </c>
      <c r="I7" s="619">
        <v>0</v>
      </c>
      <c r="J7" s="620">
        <v>6444</v>
      </c>
      <c r="K7" s="619">
        <v>0</v>
      </c>
      <c r="L7" s="620">
        <v>0</v>
      </c>
      <c r="M7" s="620">
        <v>0</v>
      </c>
      <c r="N7" s="621">
        <v>0</v>
      </c>
      <c r="O7" s="620">
        <v>131310</v>
      </c>
      <c r="P7" s="622">
        <f t="shared" ref="P7:P12" si="0">O7*0.015</f>
        <v>1969.6499999999999</v>
      </c>
      <c r="Q7" s="620">
        <v>600</v>
      </c>
      <c r="R7" s="620">
        <v>0</v>
      </c>
      <c r="S7" s="620">
        <v>0</v>
      </c>
      <c r="T7" s="619">
        <v>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37062</v>
      </c>
      <c r="B8" s="904">
        <v>0</v>
      </c>
      <c r="C8" s="620">
        <v>0</v>
      </c>
      <c r="D8" s="620">
        <v>0</v>
      </c>
      <c r="E8" s="904">
        <v>0</v>
      </c>
      <c r="F8" s="904">
        <v>0</v>
      </c>
      <c r="G8" s="906">
        <v>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135000</v>
      </c>
      <c r="P8" s="622">
        <f t="shared" si="0"/>
        <v>2025</v>
      </c>
      <c r="Q8" s="620">
        <v>500</v>
      </c>
      <c r="R8" s="620">
        <v>0</v>
      </c>
      <c r="S8" s="620">
        <v>0</v>
      </c>
      <c r="T8" s="619">
        <v>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37063</v>
      </c>
      <c r="B9" s="904">
        <v>0</v>
      </c>
      <c r="C9" s="620">
        <v>0</v>
      </c>
      <c r="D9" s="620">
        <v>0</v>
      </c>
      <c r="E9" s="904">
        <v>4000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135000</v>
      </c>
      <c r="P9" s="622">
        <f t="shared" si="0"/>
        <v>2025</v>
      </c>
      <c r="Q9" s="620">
        <v>500</v>
      </c>
      <c r="R9" s="620">
        <v>0</v>
      </c>
      <c r="S9" s="620">
        <v>0</v>
      </c>
      <c r="T9" s="619">
        <v>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37064</v>
      </c>
      <c r="B10" s="904">
        <v>0</v>
      </c>
      <c r="C10" s="620">
        <v>0</v>
      </c>
      <c r="D10" s="620">
        <v>0</v>
      </c>
      <c r="E10" s="904">
        <v>4000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135000</v>
      </c>
      <c r="P10" s="622">
        <f t="shared" si="0"/>
        <v>2025</v>
      </c>
      <c r="Q10" s="620">
        <v>500</v>
      </c>
      <c r="R10" s="620">
        <v>0</v>
      </c>
      <c r="S10" s="620">
        <v>0</v>
      </c>
      <c r="T10" s="619">
        <v>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37065</v>
      </c>
      <c r="B11" s="904">
        <v>0</v>
      </c>
      <c r="C11" s="620">
        <v>0</v>
      </c>
      <c r="D11" s="620">
        <v>0</v>
      </c>
      <c r="E11" s="904">
        <v>4000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135000</v>
      </c>
      <c r="P11" s="622">
        <f t="shared" si="0"/>
        <v>2025</v>
      </c>
      <c r="Q11" s="620">
        <v>500</v>
      </c>
      <c r="R11" s="620">
        <v>0</v>
      </c>
      <c r="S11" s="620">
        <v>0</v>
      </c>
      <c r="T11" s="619">
        <v>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37066</v>
      </c>
      <c r="B12" s="904">
        <v>0</v>
      </c>
      <c r="C12" s="620">
        <v>0</v>
      </c>
      <c r="D12" s="620">
        <v>0</v>
      </c>
      <c r="E12" s="904">
        <v>4000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135000</v>
      </c>
      <c r="P12" s="622">
        <f t="shared" si="0"/>
        <v>2025</v>
      </c>
      <c r="Q12" s="620">
        <v>500</v>
      </c>
      <c r="R12" s="620">
        <v>0</v>
      </c>
      <c r="S12" s="620">
        <v>0</v>
      </c>
      <c r="T12" s="619">
        <v>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662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E1" zoomScale="75" workbookViewId="0">
      <selection activeCell="P7" sqref="P7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817</v>
      </c>
      <c r="Q4" s="1248" t="s">
        <v>794</v>
      </c>
      <c r="R4" s="1058"/>
      <c r="S4" s="792" t="s">
        <v>607</v>
      </c>
      <c r="U4" s="3" t="s">
        <v>726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815</v>
      </c>
      <c r="N5" s="3" t="s">
        <v>9</v>
      </c>
      <c r="O5" s="3" t="s">
        <v>9</v>
      </c>
      <c r="P5" s="3" t="s">
        <v>6</v>
      </c>
      <c r="Q5" s="107" t="s">
        <v>792</v>
      </c>
      <c r="R5" s="1249" t="s">
        <v>793</v>
      </c>
      <c r="S5" s="792" t="s">
        <v>386</v>
      </c>
      <c r="T5" s="107" t="s">
        <v>687</v>
      </c>
      <c r="U5" s="3" t="s">
        <v>724</v>
      </c>
      <c r="V5" s="3"/>
      <c r="W5" s="59" t="s">
        <v>707</v>
      </c>
      <c r="X5" s="63"/>
      <c r="Y5" s="3"/>
      <c r="Z5" s="3"/>
      <c r="AA5" s="3"/>
      <c r="AD5" s="66" t="s">
        <v>479</v>
      </c>
    </row>
    <row r="6" spans="1:36">
      <c r="B6" s="54" t="s">
        <v>105</v>
      </c>
      <c r="C6" s="54" t="s">
        <v>89</v>
      </c>
      <c r="D6" s="54" t="s">
        <v>402</v>
      </c>
      <c r="E6" s="54" t="s">
        <v>386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663</v>
      </c>
      <c r="L6" s="57" t="s">
        <v>58</v>
      </c>
      <c r="M6" s="54" t="s">
        <v>816</v>
      </c>
      <c r="N6" s="54" t="s">
        <v>9</v>
      </c>
      <c r="O6" s="54" t="s">
        <v>9</v>
      </c>
      <c r="P6" s="1069" t="s">
        <v>5</v>
      </c>
      <c r="Q6" s="1017" t="s">
        <v>87</v>
      </c>
      <c r="R6" s="1017" t="s">
        <v>87</v>
      </c>
      <c r="S6" s="793" t="s">
        <v>745</v>
      </c>
      <c r="T6" s="1017" t="s">
        <v>688</v>
      </c>
      <c r="U6" s="54" t="s">
        <v>725</v>
      </c>
      <c r="V6" s="54" t="s">
        <v>9</v>
      </c>
      <c r="W6" s="1057" t="s">
        <v>711</v>
      </c>
      <c r="X6" s="68" t="s">
        <v>707</v>
      </c>
      <c r="Y6" s="54" t="s">
        <v>66</v>
      </c>
      <c r="Z6" s="54" t="s">
        <v>89</v>
      </c>
      <c r="AA6" s="54" t="s">
        <v>402</v>
      </c>
      <c r="AB6" s="54" t="s">
        <v>36</v>
      </c>
      <c r="AC6" s="54" t="s">
        <v>92</v>
      </c>
      <c r="AD6" s="68" t="s">
        <v>478</v>
      </c>
    </row>
    <row r="7" spans="1:36">
      <c r="A7" s="819">
        <f>Weather_Input!A5</f>
        <v>37061</v>
      </c>
      <c r="B7" s="622">
        <v>15722</v>
      </c>
      <c r="C7" s="622">
        <v>0</v>
      </c>
      <c r="D7" s="622">
        <v>0</v>
      </c>
      <c r="E7" s="622">
        <v>0</v>
      </c>
      <c r="F7" s="904">
        <v>0</v>
      </c>
      <c r="G7" s="620">
        <v>1463</v>
      </c>
      <c r="H7" s="620">
        <v>24850</v>
      </c>
      <c r="I7" s="620">
        <v>0</v>
      </c>
      <c r="J7" s="907">
        <v>0</v>
      </c>
      <c r="K7" s="621">
        <v>18000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51">
        <v>34334</v>
      </c>
      <c r="T7" s="620">
        <v>0</v>
      </c>
      <c r="U7" s="621">
        <v>122530</v>
      </c>
      <c r="V7" s="621">
        <v>0</v>
      </c>
      <c r="W7" s="619">
        <v>0</v>
      </c>
      <c r="X7" s="907">
        <v>89603</v>
      </c>
      <c r="Y7" s="621">
        <v>200</v>
      </c>
      <c r="Z7" s="1">
        <v>0</v>
      </c>
      <c r="AA7" s="619">
        <v>167271</v>
      </c>
      <c r="AB7" s="619">
        <v>31556</v>
      </c>
      <c r="AC7" s="619">
        <v>4000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37062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25030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51">
        <v>2000</v>
      </c>
      <c r="T8" s="620">
        <v>0</v>
      </c>
      <c r="U8" s="621">
        <v>120055</v>
      </c>
      <c r="V8" s="621">
        <v>0</v>
      </c>
      <c r="W8" s="619">
        <v>0</v>
      </c>
      <c r="X8" s="907">
        <v>99063</v>
      </c>
      <c r="Y8" s="621">
        <v>200</v>
      </c>
      <c r="Z8" s="1">
        <v>0</v>
      </c>
      <c r="AA8" s="619">
        <v>150892</v>
      </c>
      <c r="AB8" s="619">
        <v>41342</v>
      </c>
      <c r="AC8" s="619">
        <v>24000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37063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51">
        <v>0</v>
      </c>
      <c r="T9" s="620">
        <v>0</v>
      </c>
      <c r="U9" s="621">
        <v>120055</v>
      </c>
      <c r="V9" s="621">
        <v>0</v>
      </c>
      <c r="W9" s="619">
        <v>0</v>
      </c>
      <c r="X9" s="907">
        <v>99063</v>
      </c>
      <c r="Y9" s="621">
        <v>200</v>
      </c>
      <c r="Z9" s="1">
        <v>0</v>
      </c>
      <c r="AA9" s="619">
        <v>150892</v>
      </c>
      <c r="AB9" s="619">
        <v>41342</v>
      </c>
      <c r="AC9" s="619">
        <v>4000</v>
      </c>
      <c r="AD9" s="907">
        <v>0</v>
      </c>
      <c r="AE9" s="819">
        <f t="shared" si="0"/>
        <v>3</v>
      </c>
    </row>
    <row r="10" spans="1:36">
      <c r="A10" s="819">
        <f>A9+1</f>
        <v>37064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51">
        <v>0</v>
      </c>
      <c r="T10" s="620">
        <v>0</v>
      </c>
      <c r="U10" s="621">
        <v>120055</v>
      </c>
      <c r="V10" s="621">
        <v>0</v>
      </c>
      <c r="W10" s="619">
        <v>0</v>
      </c>
      <c r="X10" s="907">
        <v>99063</v>
      </c>
      <c r="Y10" s="621">
        <v>200</v>
      </c>
      <c r="Z10" s="1">
        <v>0</v>
      </c>
      <c r="AA10" s="619">
        <v>150892</v>
      </c>
      <c r="AB10" s="619">
        <v>41342</v>
      </c>
      <c r="AC10" s="619">
        <v>4000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37065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51">
        <v>0</v>
      </c>
      <c r="T11" s="620">
        <v>0</v>
      </c>
      <c r="U11" s="621">
        <v>120055</v>
      </c>
      <c r="V11" s="621">
        <v>0</v>
      </c>
      <c r="W11" s="619">
        <v>0</v>
      </c>
      <c r="X11" s="907">
        <v>99063</v>
      </c>
      <c r="Y11" s="621">
        <v>200</v>
      </c>
      <c r="Z11" s="1">
        <v>0</v>
      </c>
      <c r="AA11" s="619">
        <v>150892</v>
      </c>
      <c r="AB11" s="619">
        <v>41342</v>
      </c>
      <c r="AC11" s="619">
        <v>4000</v>
      </c>
      <c r="AD11" s="907">
        <v>0</v>
      </c>
      <c r="AE11" s="819">
        <f t="shared" si="0"/>
        <v>5</v>
      </c>
    </row>
    <row r="12" spans="1:36">
      <c r="A12" s="819">
        <f>A11+1</f>
        <v>37066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51">
        <v>0</v>
      </c>
      <c r="T12" s="620">
        <v>0</v>
      </c>
      <c r="U12" s="621">
        <v>120055</v>
      </c>
      <c r="V12" s="621">
        <v>0</v>
      </c>
      <c r="W12" s="619">
        <v>0</v>
      </c>
      <c r="X12" s="907">
        <v>99063</v>
      </c>
      <c r="Y12" s="621">
        <v>200</v>
      </c>
      <c r="Z12" s="1">
        <v>0</v>
      </c>
      <c r="AA12" s="619">
        <v>150892</v>
      </c>
      <c r="AB12" s="619">
        <v>41342</v>
      </c>
      <c r="AC12" s="619">
        <v>4000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5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506</v>
      </c>
      <c r="AE5" s="53" t="s">
        <v>9</v>
      </c>
    </row>
    <row r="6" spans="1:128" s="1" customFormat="1" ht="12.75">
      <c r="A6" s="67"/>
      <c r="B6" s="68" t="s">
        <v>386</v>
      </c>
      <c r="C6" s="54" t="s">
        <v>36</v>
      </c>
      <c r="D6" s="54" t="s">
        <v>66</v>
      </c>
      <c r="E6" s="54" t="s">
        <v>89</v>
      </c>
      <c r="F6" s="54" t="s">
        <v>402</v>
      </c>
      <c r="G6" s="57" t="s">
        <v>117</v>
      </c>
      <c r="H6" s="54" t="s">
        <v>663</v>
      </c>
      <c r="I6" s="54" t="s">
        <v>96</v>
      </c>
      <c r="J6" s="54" t="s">
        <v>87</v>
      </c>
      <c r="K6" s="54" t="s">
        <v>538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505</v>
      </c>
    </row>
    <row r="7" spans="1:128" s="1" customFormat="1" ht="12.75">
      <c r="A7" s="820">
        <f>Weather_Input!A5</f>
        <v>37061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3031</v>
      </c>
      <c r="I7" s="905">
        <v>7197</v>
      </c>
      <c r="J7" s="905">
        <v>4644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37061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37062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2000</v>
      </c>
      <c r="I8" s="905">
        <v>7197</v>
      </c>
      <c r="J8" s="905">
        <v>4760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37062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37063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2000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37063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37064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2000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37064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37065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2000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37065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37066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2000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37066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D1" sqref="D1"/>
    </sheetView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606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402</v>
      </c>
      <c r="N5" s="3"/>
      <c r="O5" s="3" t="s">
        <v>126</v>
      </c>
      <c r="P5" s="3" t="s">
        <v>126</v>
      </c>
      <c r="Q5" s="3" t="s">
        <v>36</v>
      </c>
      <c r="R5" s="1" t="s">
        <v>507</v>
      </c>
      <c r="T5" s="66"/>
    </row>
    <row r="6" spans="1:23">
      <c r="B6" s="54" t="s">
        <v>386</v>
      </c>
      <c r="C6" s="57" t="s">
        <v>106</v>
      </c>
      <c r="D6" s="54" t="s">
        <v>107</v>
      </c>
      <c r="E6" s="81" t="s">
        <v>87</v>
      </c>
      <c r="F6" s="54" t="s">
        <v>663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513</v>
      </c>
      <c r="N6" s="54" t="s">
        <v>89</v>
      </c>
      <c r="O6" s="81" t="s">
        <v>128</v>
      </c>
      <c r="P6" s="81" t="s">
        <v>609</v>
      </c>
      <c r="Q6" s="54" t="s">
        <v>126</v>
      </c>
      <c r="R6" s="1017" t="s">
        <v>36</v>
      </c>
      <c r="S6" s="54" t="s">
        <v>402</v>
      </c>
      <c r="T6" s="68" t="s">
        <v>59</v>
      </c>
    </row>
    <row r="7" spans="1:23">
      <c r="A7" s="819">
        <f>Weather_Input!A5</f>
        <v>37061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15215</v>
      </c>
      <c r="Q7" s="622">
        <v>27899</v>
      </c>
      <c r="R7" s="622">
        <v>16025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37062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15215</v>
      </c>
      <c r="Q8" s="622">
        <v>28549</v>
      </c>
      <c r="R8" s="622">
        <v>16675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37063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15215</v>
      </c>
      <c r="Q9" s="622">
        <v>28549</v>
      </c>
      <c r="R9" s="622">
        <v>16675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37064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15215</v>
      </c>
      <c r="Q10" s="622">
        <v>28549</v>
      </c>
      <c r="R10" s="622">
        <v>16675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37065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15215</v>
      </c>
      <c r="Q11" s="622">
        <v>28549</v>
      </c>
      <c r="R11" s="622">
        <v>16675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37066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15215</v>
      </c>
      <c r="Q12" s="622">
        <v>28549</v>
      </c>
      <c r="R12" s="622">
        <v>16675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TUE</v>
      </c>
      <c r="I1" s="824">
        <f>D4</f>
        <v>37061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</row>
    <row r="4" spans="1:256" ht="18.95" customHeight="1" thickBot="1">
      <c r="A4" s="831"/>
      <c r="B4" s="832"/>
      <c r="C4" s="832"/>
      <c r="D4" s="461">
        <f>Weather_Input!A5</f>
        <v>37061</v>
      </c>
      <c r="E4" s="461">
        <f>Weather_Input!A6</f>
        <v>37062</v>
      </c>
      <c r="F4" s="461">
        <f>Weather_Input!A7</f>
        <v>37063</v>
      </c>
      <c r="G4" s="461">
        <f>Weather_Input!A8</f>
        <v>37064</v>
      </c>
      <c r="H4" s="461">
        <f>Weather_Input!A9</f>
        <v>37065</v>
      </c>
      <c r="I4" s="462">
        <f>Weather_Input!A10</f>
        <v>37066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83/65/74</v>
      </c>
      <c r="E5" s="463" t="str">
        <f>TEXT(Weather_Input!B6,"0")&amp;"/"&amp;TEXT(Weather_Input!C6,"0") &amp; "/" &amp; TEXT((Weather_Input!B6+Weather_Input!C6)/2,"0")</f>
        <v>78/59/69</v>
      </c>
      <c r="F5" s="463" t="str">
        <f>TEXT(Weather_Input!B7,"0")&amp;"/"&amp;TEXT(Weather_Input!C7,"0") &amp; "/" &amp; TEXT((Weather_Input!B7+Weather_Input!C7)/2,"0")</f>
        <v>72/53/63</v>
      </c>
      <c r="G5" s="463" t="str">
        <f>TEXT(Weather_Input!B8,"0")&amp;"/"&amp;TEXT(Weather_Input!C8,"0") &amp; "/" &amp; TEXT((Weather_Input!B8+Weather_Input!C8)/2,"0")</f>
        <v>74/51/63</v>
      </c>
      <c r="H5" s="463" t="str">
        <f>TEXT(Weather_Input!B9,"0")&amp;"/"&amp;TEXT(Weather_Input!C9,"0") &amp; "/" &amp; TEXT((Weather_Input!B9+Weather_Input!C9)/2,"0")</f>
        <v>80/58/69</v>
      </c>
      <c r="I5" s="464" t="str">
        <f>TEXT(Weather_Input!B10,"0")&amp;"/"&amp;TEXT(Weather_Input!C10,"0") &amp; "/" &amp; TEXT((Weather_Input!B10+Weather_Input!C10)/2,"0")</f>
        <v>85/62/74</v>
      </c>
    </row>
    <row r="6" spans="1:256" ht="18.95" customHeight="1">
      <c r="A6" s="838" t="s">
        <v>134</v>
      </c>
      <c r="B6" s="826"/>
      <c r="C6" s="826"/>
      <c r="D6" s="463">
        <f>PGL_Deliveries!C5/1000</f>
        <v>215</v>
      </c>
      <c r="E6" s="463">
        <f>PGL_Deliveries!C6/1000</f>
        <v>220</v>
      </c>
      <c r="F6" s="463">
        <f>PGL_Deliveries!C7/1000</f>
        <v>225</v>
      </c>
      <c r="G6" s="463">
        <f>PGL_Deliveries!C8/1000</f>
        <v>205</v>
      </c>
      <c r="H6" s="463">
        <f>PGL_Deliveries!C9/1000</f>
        <v>185</v>
      </c>
      <c r="I6" s="464">
        <f>PGL_Deliveries!C10/1000</f>
        <v>200</v>
      </c>
    </row>
    <row r="7" spans="1:256" ht="18.95" customHeight="1">
      <c r="A7" s="838" t="s">
        <v>546</v>
      </c>
      <c r="B7" s="826" t="s">
        <v>9</v>
      </c>
      <c r="C7" s="826"/>
      <c r="D7" s="463">
        <f>PGL_Requirements!G7/1000*0.5</f>
        <v>8.5225000000000009</v>
      </c>
      <c r="E7" s="463">
        <f>PGL_Requirements!G8/1000*0.5</f>
        <v>0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786</v>
      </c>
      <c r="B8" s="826"/>
      <c r="C8" s="826"/>
      <c r="D8" s="463">
        <f>PGL_Requirements!J7/1000</f>
        <v>6.444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787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802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131.31</v>
      </c>
      <c r="E11" s="463">
        <f>PGL_Requirements!O8/1000</f>
        <v>135</v>
      </c>
      <c r="F11" s="463">
        <f>PGL_Requirements!O9/1000</f>
        <v>135</v>
      </c>
      <c r="G11" s="463">
        <f>PGL_Requirements!O10/1000</f>
        <v>135</v>
      </c>
      <c r="H11" s="463">
        <f>PGL_Requirements!O11/1000</f>
        <v>135</v>
      </c>
      <c r="I11" s="464">
        <f>PGL_Requirements!O12/1000</f>
        <v>135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1.9696499999999999</v>
      </c>
      <c r="E12" s="463">
        <f>PGL_Requirements!P8/1000</f>
        <v>2.0249999999999999</v>
      </c>
      <c r="F12" s="463">
        <f>PGL_Requirements!P9/1000</f>
        <v>2.0249999999999999</v>
      </c>
      <c r="G12" s="463">
        <f>PGL_Requirements!P10/1000</f>
        <v>2.0249999999999999</v>
      </c>
      <c r="H12" s="463">
        <f>PGL_Requirements!P11/1000</f>
        <v>2.0249999999999999</v>
      </c>
      <c r="I12" s="464">
        <f>PGL_Requirements!P12/1000</f>
        <v>2.0249999999999999</v>
      </c>
    </row>
    <row r="13" spans="1:256" ht="18.95" customHeight="1">
      <c r="A13" s="835"/>
      <c r="C13" s="826" t="s">
        <v>702</v>
      </c>
      <c r="D13" s="463">
        <f>PGL_Requirements!Q7/1000</f>
        <v>0.6</v>
      </c>
      <c r="E13" s="463">
        <f>PGL_Requirements!Q8/1000</f>
        <v>0.5</v>
      </c>
      <c r="F13" s="463">
        <f>PGL_Requirements!Q9/1000</f>
        <v>0.5</v>
      </c>
      <c r="G13" s="463">
        <f>PGL_Requirements!Q10/1000</f>
        <v>0.5</v>
      </c>
      <c r="H13" s="463">
        <f>PGL_Requirements!Q11/1000</f>
        <v>0.5</v>
      </c>
      <c r="I13" s="464">
        <f>PGL_Requirements!Q12/1000</f>
        <v>0.5</v>
      </c>
    </row>
    <row r="14" spans="1:256" ht="18.95" customHeight="1">
      <c r="A14" s="835"/>
      <c r="C14" s="826" t="s">
        <v>731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789</v>
      </c>
      <c r="D15" s="463">
        <f>PGL_Requirements!T7/1000</f>
        <v>0</v>
      </c>
      <c r="E15" s="463">
        <f>PGL_Requirements!T8/1000</f>
        <v>0</v>
      </c>
      <c r="F15" s="463">
        <f>PGL_Requirements!T9/1000</f>
        <v>0</v>
      </c>
      <c r="G15" s="463">
        <f>PGL_Requirements!T10/1000</f>
        <v>0</v>
      </c>
      <c r="H15" s="463">
        <f>PGL_Requirements!T11/1000</f>
        <v>0</v>
      </c>
      <c r="I15" s="464">
        <f>PGL_Requirements!T12/1000</f>
        <v>0</v>
      </c>
    </row>
    <row r="16" spans="1:256" ht="18.95" customHeight="1">
      <c r="A16" s="835"/>
      <c r="B16" s="826"/>
      <c r="C16" s="826" t="s">
        <v>791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813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799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717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402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4</v>
      </c>
      <c r="E24" s="465">
        <f>PGL_Requirements!E8/1000</f>
        <v>0</v>
      </c>
      <c r="F24" s="465">
        <f>PGL_Requirements!E9/1000</f>
        <v>4</v>
      </c>
      <c r="G24" s="465">
        <f>PGL_Requirements!E10/1000</f>
        <v>4</v>
      </c>
      <c r="H24" s="465">
        <f>PGL_Requirements!E11/1000</f>
        <v>4</v>
      </c>
      <c r="I24" s="466">
        <f>PGL_Requirements!E12/1000</f>
        <v>4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367.84615000000002</v>
      </c>
      <c r="E25" s="467">
        <f t="shared" si="1"/>
        <v>357.52499999999998</v>
      </c>
      <c r="F25" s="467">
        <f t="shared" si="1"/>
        <v>366.52499999999998</v>
      </c>
      <c r="G25" s="467">
        <f t="shared" si="1"/>
        <v>346.52499999999998</v>
      </c>
      <c r="H25" s="467">
        <f t="shared" si="1"/>
        <v>326.52499999999998</v>
      </c>
      <c r="I25" s="1105">
        <f t="shared" si="1"/>
        <v>341.52499999999998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6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1.4630000000000001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789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791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18</v>
      </c>
      <c r="E33" s="463">
        <f>PGL_Supplies!K8/1000</f>
        <v>25.03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814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686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788</v>
      </c>
      <c r="B36" s="826" t="s">
        <v>402</v>
      </c>
      <c r="C36" s="826"/>
      <c r="D36" s="463">
        <f>PGL_Supplies!S7/1000*0.5</f>
        <v>17.167000000000002</v>
      </c>
      <c r="E36" s="463">
        <f>PGL_Supplies!S8/1000*0.5</f>
        <v>1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727</v>
      </c>
      <c r="B37" s="826" t="s">
        <v>708</v>
      </c>
      <c r="C37" s="826"/>
      <c r="D37" s="463">
        <f>PGL_Supplies!X7/1000</f>
        <v>89.602999999999994</v>
      </c>
      <c r="E37" s="463">
        <f>PGL_Supplies!X8/1000</f>
        <v>99.063000000000002</v>
      </c>
      <c r="F37" s="463">
        <f>PGL_Supplies!X9/1000</f>
        <v>99.063000000000002</v>
      </c>
      <c r="G37" s="463">
        <f>PGL_Supplies!X10/1000</f>
        <v>99.063000000000002</v>
      </c>
      <c r="H37" s="463">
        <f>PGL_Supplies!X11/1000</f>
        <v>99.063000000000002</v>
      </c>
      <c r="I37" s="464">
        <f>PGL_Supplies!X12/1000</f>
        <v>99.063000000000002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402</v>
      </c>
      <c r="C40" s="839"/>
      <c r="D40" s="463">
        <f>PGL_Supplies!AA7/1000</f>
        <v>167.27099999999999</v>
      </c>
      <c r="E40" s="463">
        <f>PGL_Supplies!AA8/1000</f>
        <v>150.892</v>
      </c>
      <c r="F40" s="463">
        <f>PGL_Supplies!AA9/1000</f>
        <v>150.892</v>
      </c>
      <c r="G40" s="463">
        <f>PGL_Supplies!AA10/1000</f>
        <v>150.892</v>
      </c>
      <c r="H40" s="463">
        <f>PGL_Supplies!AA11/1000</f>
        <v>150.892</v>
      </c>
      <c r="I40" s="464">
        <f>PGL_Supplies!AA12/1000</f>
        <v>150.892</v>
      </c>
    </row>
    <row r="41" spans="1:10" ht="18.95" customHeight="1">
      <c r="A41" s="838"/>
      <c r="B41" s="826" t="s">
        <v>135</v>
      </c>
      <c r="C41" s="826"/>
      <c r="D41" s="463">
        <f>PGL_Supplies!AB7/1000</f>
        <v>31.556000000000001</v>
      </c>
      <c r="E41" s="463">
        <f>PGL_Supplies!AB8/1000</f>
        <v>41.341999999999999</v>
      </c>
      <c r="F41" s="463">
        <f>PGL_Supplies!AB9/1000</f>
        <v>41.341999999999999</v>
      </c>
      <c r="G41" s="463">
        <f>PGL_Supplies!AB10/1000</f>
        <v>41.341999999999999</v>
      </c>
      <c r="H41" s="463">
        <f>PGL_Supplies!AB11/1000</f>
        <v>41.341999999999999</v>
      </c>
      <c r="I41" s="464">
        <f>PGL_Supplies!AB12/1000</f>
        <v>41.341999999999999</v>
      </c>
    </row>
    <row r="42" spans="1:10" ht="18.95" customHeight="1">
      <c r="A42" s="838"/>
      <c r="B42" s="826" t="s">
        <v>136</v>
      </c>
      <c r="C42" s="826"/>
      <c r="D42" s="463">
        <f>PGL_Supplies!AC7/1000</f>
        <v>4</v>
      </c>
      <c r="E42" s="463">
        <f>PGL_Supplies!AC8/1000</f>
        <v>24</v>
      </c>
      <c r="F42" s="463">
        <f>PGL_Supplies!AC9/1000</f>
        <v>4</v>
      </c>
      <c r="G42" s="463">
        <f>PGL_Supplies!AC10/1000</f>
        <v>4</v>
      </c>
      <c r="H42" s="463">
        <f>PGL_Supplies!AC11/1000</f>
        <v>4</v>
      </c>
      <c r="I42" s="464">
        <f>PGL_Supplies!AC12/1000</f>
        <v>4</v>
      </c>
    </row>
    <row r="43" spans="1:10" ht="18.95" customHeight="1">
      <c r="A43" s="852"/>
      <c r="B43" s="826" t="s">
        <v>147</v>
      </c>
      <c r="C43" s="826"/>
      <c r="D43" s="463">
        <f>PGL_Supplies!H7/1000</f>
        <v>24.85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740</v>
      </c>
      <c r="B45" s="826"/>
      <c r="C45" s="826"/>
      <c r="D45" s="463">
        <f>PGL_Supplies!B7/1000</f>
        <v>15.722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716</v>
      </c>
      <c r="B46" s="826" t="s">
        <v>708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402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369.83199999999999</v>
      </c>
      <c r="E50" s="473">
        <f t="shared" si="2"/>
        <v>357.52699999999999</v>
      </c>
      <c r="F50" s="473">
        <f t="shared" si="2"/>
        <v>311.49700000000001</v>
      </c>
      <c r="G50" s="473">
        <f t="shared" si="2"/>
        <v>311.49700000000001</v>
      </c>
      <c r="H50" s="473">
        <f t="shared" si="2"/>
        <v>311.49700000000001</v>
      </c>
      <c r="I50" s="1107">
        <f t="shared" si="2"/>
        <v>311.49700000000001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1.9858499999999708</v>
      </c>
      <c r="E51" s="474">
        <f t="shared" si="3"/>
        <v>2.0000000000095497E-3</v>
      </c>
      <c r="F51" s="474">
        <f t="shared" si="3"/>
        <v>0</v>
      </c>
      <c r="G51" s="474">
        <f t="shared" si="3"/>
        <v>0</v>
      </c>
      <c r="H51" s="474">
        <f t="shared" si="3"/>
        <v>0</v>
      </c>
      <c r="I51" s="1108">
        <f t="shared" si="3"/>
        <v>0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55.027999999999963</v>
      </c>
      <c r="G52" s="475">
        <f t="shared" si="4"/>
        <v>35.027999999999963</v>
      </c>
      <c r="H52" s="475">
        <f t="shared" si="4"/>
        <v>15.027999999999963</v>
      </c>
      <c r="I52" s="1109">
        <f t="shared" si="4"/>
        <v>30.027999999999963</v>
      </c>
    </row>
    <row r="53" spans="1:9" ht="18.95" customHeight="1" thickTop="1" thickBot="1">
      <c r="A53" s="1096" t="s">
        <v>730</v>
      </c>
      <c r="B53" s="1097"/>
      <c r="C53" s="1097"/>
      <c r="D53" s="1098">
        <f>PGL_Supplies!U7/1000</f>
        <v>122.53</v>
      </c>
      <c r="E53" s="1098">
        <f>PGL_Supplies!U8/1000</f>
        <v>120.05500000000001</v>
      </c>
      <c r="F53" s="1098">
        <f>PGL_Supplies!U9/1000</f>
        <v>120.05500000000001</v>
      </c>
      <c r="G53" s="1098">
        <f>PGL_Supplies!U10/1000</f>
        <v>120.05500000000001</v>
      </c>
      <c r="H53" s="1098">
        <f>PGL_Supplies!U11/1000</f>
        <v>120.05500000000001</v>
      </c>
      <c r="I53" s="1099">
        <f>PGL_Supplies!U12/1000</f>
        <v>120.05500000000001</v>
      </c>
    </row>
    <row r="54" spans="1:9" ht="18.95" customHeight="1" thickTop="1"/>
    <row r="56" spans="1:9">
      <c r="C56" s="111" t="s">
        <v>749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2001-06-20T14:48:45Z</cp:lastPrinted>
  <dcterms:created xsi:type="dcterms:W3CDTF">1997-07-16T16:14:22Z</dcterms:created>
  <dcterms:modified xsi:type="dcterms:W3CDTF">2023-09-10T17:05:21Z</dcterms:modified>
</cp:coreProperties>
</file>