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2B393C-640F-45B5-B7FE-7643DE818599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<sst xmlns="http://schemas.openxmlformats.org/spreadsheetml/2006/main" count="2099" uniqueCount="817">
  <si>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</si>
  <si>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</si>
  <si>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</si>
  <si>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</si>
  <si>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</si>
  <si>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</si>
  <si>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</si>
  <si>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</si>
  <si>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</si>
  <si>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</si>
  <si>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</si>
  <si>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</si>
  <si>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</si>
  <si>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</si>
  <si>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</si>
  <si>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</si>
  <si>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</si>
  <si>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</si>
  <si>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</si>
  <si>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</si>
  <si>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</si>
  <si>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</si>
  <si>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</si>
  <si>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</si>
  <si>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</si>
  <si>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</si>
  <si>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</si>
  <si>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</si>
  <si>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</si>
  <si>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</si>
  <si>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</si>
  <si>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</si>
  <si>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</si>
  <si>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</si>
  <si>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</si>
  <si>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</si>
  <si>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</si>
  <si>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</si>
  <si>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</si>
  <si>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</si>
  <si>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</si>
  <si>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</si>
  <si>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</si>
  <si>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</si>
  <si>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</si>
  <si>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</si>
  <si>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</si>
  <si>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</si>
  <si>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</si>
  <si>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</si>
  <si>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</si>
  <si>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</si>
  <si>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</si>
  <si>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</si>
  <si>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</si>
  <si>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</si>
  <si>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</si>
  <si>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</si>
  <si>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</si>
  <si>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</si>
  <si>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</si>
  <si>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</si>
  <si>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</si>
  <si>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</si>
  <si>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</si>
  <si>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</si>
  <si>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</si>
  <si>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</si>
  <si>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</si>
  <si>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</si>
  <si>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</si>
  <si>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</si>
  <si>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</si>
  <si>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</si>
  <si>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</si>
  <si>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</si>
  <si>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</si>
  <si>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</si>
  <si>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</si>
  <si>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</si>
  <si>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</si>
  <si>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</si>
  <si>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</si>
  <si>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</si>
  <si>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</si>
  <si>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</si>
  <si>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</si>
  <si>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</si>
  <si>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</si>
  <si>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</si>
  <si>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</si>
  <si>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</si>
  <si>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</si>
  <si>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</si>
  <si>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</si>
  <si>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</si>
  <si>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</si>
  <si>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</si>
  <si>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</si>
  <si>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</si>
  <si>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</si>
  <si>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</si>
  <si>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</si>
  <si>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</si>
  <si>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</si>
  <si>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</si>
  <si>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</si>
  <si>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</si>
  <si>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</si>
  <si>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</si>
  <si>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</si>
  <si>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</si>
  <si>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</si>
  <si>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</si>
  <si>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</si>
  <si>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</si>
  <si>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</si>
  <si>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</si>
  <si>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</si>
  <si>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</si>
  <si>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</si>
  <si>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</si>
  <si>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</si>
  <si>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</si>
  <si>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</si>
  <si>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</si>
  <si>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</si>
  <si>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</si>
  <si>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</si>
  <si>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</si>
  <si>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</si>
  <si>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</si>
  <si>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</si>
  <si>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</si>
  <si>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</si>
  <si>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</si>
  <si>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</si>
  <si>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</si>
  <si>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</si>
  <si>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</si>
  <si>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</si>
  <si>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</si>
  <si>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</si>
  <si>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</si>
  <si>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</si>
  <si>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</si>
  <si>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</si>
  <si>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</si>
  <si>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</si>
  <si>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</si>
  <si>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</si>
  <si>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</si>
  <si>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</si>
  <si>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</si>
  <si>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</si>
  <si>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</si>
  <si>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</si>
  <si>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</si>
  <si>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</si>
  <si>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</si>
  <si>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</si>
  <si>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</si>
  <si>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</si>
  <si>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</si>
  <si>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</si>
  <si>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</si>
  <si>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</si>
  <si>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</si>
  <si>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</si>
  <si>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</si>
  <si>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</si>
  <si>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</si>
  <si>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</si>
  <si>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</si>
  <si>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</si>
  <si>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</si>
  <si>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</si>
  <si>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</si>
  <si>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</si>
  <si>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</si>
  <si>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</si>
  <si>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</si>
  <si>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</si>
  <si>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</si>
  <si>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</si>
  <si>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</si>
  <si>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</si>
  <si>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</si>
  <si>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</si>
  <si>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</si>
  <si>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</si>
  <si>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</si>
  <si>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</si>
  <si>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</si>
  <si>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</si>
  <si>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</si>
  <si>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</si>
  <si>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</si>
  <si>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</si>
  <si>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</si>
  <si>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</si>
  <si>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</si>
  <si>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</si>
  <si>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</si>
  <si>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</si>
  <si>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</si>
  <si>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</si>
  <si>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</si>
  <si>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</si>
  <si>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</si>
  <si>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</si>
  <si>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</si>
  <si>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</si>
  <si>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</si>
  <si>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</si>
  <si>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</si>
  <si>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</si>
  <si>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</si>
  <si>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</si>
  <si>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</si>
  <si>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</si>
  <si>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</si>
  <si>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</si>
  <si>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</si>
  <si>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</si>
  <si>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</si>
  <si>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</si>
  <si>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</si>
  <si>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</si>
  <si>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</si>
  <si>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</si>
  <si>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</si>
  <si>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</si>
  <si>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</si>
  <si>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</si>
  <si>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</si>
  <si>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</si>
  <si>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</si>
  <si>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</si>
  <si>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</si>
  <si>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</si>
  <si>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</si>
  <si>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</si>
  <si>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</si>
  <si>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</si>
  <si>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</si>
  <si>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</si>
  <si>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</si>
  <si>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</si>
  <si>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</si>
  <si>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</si>
  <si>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</si>
  <si>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</si>
  <si>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</si>
  <si>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</si>
  <si>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</si>
  <si>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</si>
  <si>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</si>
  <si>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</si>
  <si>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</si>
  <si>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</si>
  <si>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</si>
  <si>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</si>
  <si>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</si>
  <si>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</si>
  <si>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</si>
  <si>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</si>
  <si>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</si>
  <si>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</si>
  <si>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</si>
  <si>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</si>
  <si>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</si>
  <si>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</si>
  <si>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</si>
  <si>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</si>
  <si>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</si>
  <si>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</si>
  <si>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</si>
  <si>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</si>
  <si>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</si>
  <si>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</si>
  <si>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</si>
  <si>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</si>
  <si>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</si>
  <si>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</si>
  <si>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</si>
  <si>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</si>
  <si>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</si>
  <si>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</si>
  <si>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</si>
  <si>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</si>
  <si>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</si>
  <si>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</si>
  <si>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</si>
  <si>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</si>
  <si>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</si>
  <si>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</si>
  <si>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</si>
  <si>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</si>
  <si>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</si>
  <si>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</si>
  <si>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</si>
  <si>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</si>
  <si>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</si>
  <si>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</si>
  <si>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</si>
  <si>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</si>
  <si>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</si>
  <si>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</si>
  <si>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</si>
  <si>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</si>
  <si>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</si>
  <si>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</si>
  <si>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</si>
  <si>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</si>
  <si>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</si>
  <si>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</si>
  <si>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</si>
  <si>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</si>
  <si>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</si>
  <si>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</si>
  <si>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</si>
  <si>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</si>
  <si>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</si>
  <si>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</si>
  <si>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</si>
  <si>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</si>
  <si>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</si>
  <si>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</si>
  <si>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</si>
  <si>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</si>
  <si>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</si>
  <si>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</si>
  <si>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</si>
  <si>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</si>
  <si>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</si>
  <si>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</si>
  <si>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</si>
  <si>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</si>
  <si>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</si>
  <si>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</si>
  <si>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</si>
  <si>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</si>
  <si>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</si>
  <si>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</si>
  <si>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</si>
  <si>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</si>
  <si>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</si>
  <si>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</si>
  <si>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</si>
  <si>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</si>
  <si>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</si>
  <si>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</si>
  <si>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</si>
  <si>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</si>
  <si>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</si>
  <si>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</si>
  <si>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</si>
  <si>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</si>
  <si>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</si>
  <si>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</si>
  <si>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</si>
  <si>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</si>
  <si>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</si>
  <si>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</si>
  <si>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</si>
  <si>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</si>
  <si>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</si>
  <si>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</si>
  <si>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</si>
  <si>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</si>
  <si>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</si>
  <si>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</si>
  <si>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</si>
  <si>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</si>
  <si>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</si>
  <si>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</si>
  <si>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</si>
  <si>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</si>
  <si>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</si>
  <si>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</si>
  <si>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</si>
  <si>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</si>
  <si>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</si>
  <si>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</si>
  <si>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</si>
  <si>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</si>
  <si>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</si>
  <si>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</si>
  <si>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</si>
  <si>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</si>
  <si>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</si>
  <si>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</si>
  <si>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</si>
  <si>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</si>
  <si>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</si>
  <si>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</si>
  <si>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</si>
  <si>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</si>
  <si>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</si>
  <si>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</si>
  <si>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</si>
  <si>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</si>
  <si>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</si>
  <si>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</si>
  <si>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</si>
  <si>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</si>
  <si>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</si>
  <si>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</si>
  <si>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</si>
  <si>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</si>
  <si>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</si>
  <si>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</si>
  <si>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</si>
  <si>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</si>
  <si>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</si>
  <si>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</si>
  <si>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</si>
  <si>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</si>
  <si>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</si>
  <si>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</si>
  <si>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</si>
  <si>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</si>
  <si>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</si>
  <si>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</si>
  <si>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</si>
  <si>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</si>
  <si>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</si>
  <si>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</si>
  <si>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</si>
  <si>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</si>
  <si>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</si>
  <si>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</si>
  <si>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</si>
  <si>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</si>
  <si>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</si>
  <si>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</si>
  <si>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</si>
  <si>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</si>
  <si>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</si>
  <si>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</si>
  <si>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</si>
  <si>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</si>
  <si>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</si>
  <si>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</si>
  <si>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</si>
  <si>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</si>
  <si>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</si>
  <si>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</si>
  <si>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</si>
  <si>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</si>
  <si>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</si>
  <si>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</si>
  <si>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</si>
  <si>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</si>
  <si>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</si>
  <si>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</si>
  <si>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</si>
  <si>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</si>
  <si>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</si>
  <si>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</si>
  <si>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</si>
  <si>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</si>
  <si>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</si>
  <si>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</si>
  <si>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</si>
  <si>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</si>
  <si>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</si>
  <si>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</si>
  <si>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</si>
  <si>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</si>
  <si>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</si>
  <si>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</si>
  <si>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</si>
  <si>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</si>
  <si>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</si>
  <si>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</si>
  <si>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</si>
  <si>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</si>
  <si>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</si>
  <si>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</si>
  <si>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</si>
  <si>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</si>
  <si>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</si>
  <si>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</si>
  <si>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</si>
  <si>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</si>
  <si>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</si>
  <si>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</si>
  <si>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</si>
  <si>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</si>
  <si>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</si>
  <si>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</si>
  <si>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</si>
  <si>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</si>
  <si>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</si>
  <si>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</si>
  <si>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</si>
  <si>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</si>
  <si>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</si>
  <si>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</si>
  <si>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</si>
  <si>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</si>
  <si>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</si>
  <si>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</si>
  <si>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</si>
  <si>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</si>
  <si>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</si>
  <si>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</si>
  <si>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</si>
  <si>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</si>
  <si>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</si>
  <si>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</si>
  <si>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</si>
  <si>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</si>
  <si>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</si>
  <si>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</si>
  <si>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</si>
  <si>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</si>
  <si>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</si>
  <si>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</si>
  <si>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</si>
  <si>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</si>
  <si>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</si>
  <si>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</si>
  <si>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</si>
  <si>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</si>
  <si>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</si>
  <si>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</si>
  <si>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</si>
  <si>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</si>
  <si>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</si>
  <si>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</si>
  <si>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</si>
  <si>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</si>
  <si>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</si>
  <si>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</si>
  <si>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</si>
  <si>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</si>
  <si>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</si>
  <si>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</si>
  <si>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</si>
  <si>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</si>
  <si>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</si>
  <si>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</si>
  <si>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</si>
  <si>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</si>
  <si>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</si>
  <si>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</si>
  <si>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</si>
  <si>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</si>
  <si>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</si>
  <si>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</si>
  <si>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</si>
  <si>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</si>
  <si>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</si>
  <si>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</si>
  <si>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</si>
  <si>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</si>
  <si>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</si>
  <si>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</si>
  <si>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</si>
  <si>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</si>
  <si>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</si>
  <si>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</si>
  <si>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</si>
  <si>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</si>
  <si>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</si>
  <si>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</si>
  <si>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</si>
  <si>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</si>
  <si>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</si>
  <si>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</si>
  <si>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</si>
  <si>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</si>
  <si>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</si>
  <si>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</si>
  <si>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</si>
  <si>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</si>
  <si>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</si>
  <si>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</si>
  <si>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</si>
  <si>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</si>
  <si>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</si>
  <si>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</si>
  <si>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</si>
  <si>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</si>
  <si>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</si>
  <si>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</si>
  <si>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</si>
  <si>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</si>
  <si>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</si>
  <si>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</si>
  <si>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</si>
  <si>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</si>
  <si>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</si>
  <si>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</si>
  <si>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</si>
  <si>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</si>
  <si>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</si>
  <si>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</si>
  <si>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</si>
  <si>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</si>
  <si>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</si>
  <si>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</si>
  <si>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</si>
  <si>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</si>
  <si>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</si>
  <si>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</si>
  <si>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</si>
  <si>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</si>
  <si>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</si>
  <si>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</si>
  <si>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</si>
  <si>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</si>
  <si>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</si>
  <si>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</si>
  <si>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</si>
  <si>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</si>
  <si>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</si>
  <si>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</si>
  <si>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</si>
  <si>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</si>
  <si>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</si>
  <si>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</si>
  <si>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</si>
  <si>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</si>
  <si>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</si>
  <si>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</si>
  <si>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</si>
  <si>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</si>
  <si>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</si>
  <si>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</si>
  <si>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</si>
  <si>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</si>
  <si>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</si>
  <si>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</si>
  <si>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</si>
  <si>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</si>
  <si>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</si>
  <si>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</si>
  <si>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</si>
  <si>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</si>
  <si>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</si>
  <si>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</si>
  <si>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</si>
  <si>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</si>
  <si>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</si>
  <si>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</si>
  <si>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</si>
  <si>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</si>
  <si>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</si>
  <si>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</si>
  <si>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</si>
  <si>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</si>
  <si>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</si>
  <si>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</si>
  <si>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</si>
  <si>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</si>
  <si>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</si>
  <si>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</si>
  <si>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</si>
  <si>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</si>
  <si>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</si>
  <si>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</si>
  <si>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</si>
  <si>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</si>
  <si>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</si>
  <si>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</si>
  <si>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</si>
  <si>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</si>
  <si>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</si>
  <si>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</si>
  <si>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</si>
  <si>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</si>
  <si>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</si>
  <si>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</si>
  <si>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</si>
  <si>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</si>
  <si>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</si>
  <si>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</si>
  <si>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</si>
  <si>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</si>
  <si>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</si>
  <si>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</si>
  <si>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</si>
  <si>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</si>
  <si>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</si>
  <si>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</si>
  <si>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</si>
  <si>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</si>
  <si>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</si>
  <si>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</si>
  <si>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</si>
  <si>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</si>
  <si>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</si>
  <si>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</si>
  <si>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</si>
  <si>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</si>
  <si>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</si>
  <si>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</si>
  <si>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</si>
  <si>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</si>
  <si>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</si>
  <si>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</si>
  <si>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</si>
  <si>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</si>
  <si>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</si>
  <si>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</si>
  <si>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</si>
  <si>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</si>
  <si>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</si>
  <si>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</si>
  <si>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</si>
  <si>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</si>
  <si>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</si>
  <si>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</si>
  <si>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</si>
  <si>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</si>
  <si>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</si>
  <si>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</si>
  <si>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</si>
  <si>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</si>
  <si>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</si>
  <si>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</si>
  <si>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</si>
  <si>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</si>
  <si>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</si>
  <si>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</si>
  <si>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</si>
  <si>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</si>
  <si>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</si>
  <si>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</si>
  <si>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</si>
  <si>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</si>
  <si>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</si>
  <si>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</si>
  <si>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</si>
  <si>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</si>
  <si>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</si>
  <si>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</si>
  <si>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</si>
  <si>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</si>
  <si>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</si>
  <si>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</si>
  <si>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</si>
  <si>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</si>
  <si>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</si>
  <si>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</si>
  <si>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</si>
  <si>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</si>
  <si>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</si>
  <si>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</si>
  <si>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</si>
  <si>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</si>
  <si>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</si>
  <si>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</si>
  <si>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</si>
  <si>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</si>
  <si>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</si>
  <si>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</si>
  <si>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</si>
  <si>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</si>
  <si>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</si>
  <si>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</si>
  <si>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</si>
  <si>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</si>
  <si>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</si>
  <si>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</si>
  <si>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</si>
  <si>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</si>
  <si>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</si>
  <si>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</si>
  <si>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</si>
  <si>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</si>
  <si>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</si>
  <si>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</si>
  <si>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</si>
  <si>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</si>
  <si>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</si>
  <si>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</si>
  <si>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</si>
  <si>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</si>
  <si>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</si>
  <si>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</si>
  <si>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</si>
  <si>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</si>
  <si>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</si>
  <si>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</si>
  <si>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</si>
  <si>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</si>
  <si>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</si>
  <si>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</si>
  <si>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</si>
  <si>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</si>
  <si>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</si>
  <si>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</si>
  <si>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</si>
  <si>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</si>
  <si>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</si>
  <si>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</si>
  <si>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</si>
  <si>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</si>
  <si>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</si>
  <si>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</si>
  <si>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</si>
  <si>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</si>
  <si>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</si>
  <si>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PARTLY CLOUDY. HIGH IN THE UPPER 80S. COOLER NEAR THE LAKE.WINDS 5 TO 10</t>
  </si>
  <si>
    <t>MPH. TONIGHT… PARTLY CLOUDY. LOW IN THE UPPER 60S . SW WINDS 10 T0 15 MPH.</t>
  </si>
  <si>
    <t xml:space="preserve">PARTLY CLOUDY. HIGH AROUND 90. PARTLY CLOUDY AT NIGHT WITH LOWS IN THE </t>
  </si>
  <si>
    <t>LOWER 70S.</t>
  </si>
  <si>
    <t xml:space="preserve">PARTLY CLOUDY. HIGH IN THE UPPER 80S. </t>
  </si>
  <si>
    <t>A CHANCE OF T'STORMS. LOW IN THE UPPER 60S. HIGH IN THE LOWER 80S</t>
  </si>
  <si>
    <t xml:space="preserve">PARTLY CLOUDY. CHANCE OF MORNING SHOWERS AND T-STORMS. LOW IN THE </t>
  </si>
  <si>
    <t>LOWER 60S . HIGH NEAR 80.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</si>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</sst>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D8D15FF-272D-1973-2567-FAE745C1C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4BC0B03-6205-B457-5F2E-2ACBEE96FB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0C16DF7-2881-E5CC-E0C1-CAE6CF1A4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48FFB8C-A3B9-6657-A67B-CFBECAAC91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B7D7E64-E1E4-C29F-E281-DE487FB522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975241E-C9B0-E907-87A0-2D82EB3DBE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07FA22D-1071-867E-7335-45E341786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1F9C18D-E338-D2BC-F61C-0414E2C149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5BCD757F-966F-A5A7-9B38-B47C55675A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4A0E14F7-E3FC-FBE3-F1CC-EDC9616F1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EFC00924-90F7-1F55-D6DA-F04D9C52D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31DDCE51-B750-1FFE-F589-40224644C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FA86D8AF-78E7-3036-1CD9-35EAD3119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A485369-7A58-4314-1AEC-6680D7A7F5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1981FB9-FE82-7E08-79C3-8824012FB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F93B9946-9047-6EF9-A602-8CB1425C8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AF433DEA-2EF9-F871-98F7-CD17A323FE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A071B5A6-D947-9F0E-68E8-843598408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2CEF8AD7-66AF-0B5F-1786-BFB9A6306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B7B34AB9-BDA8-0867-B22B-1529CAB62A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8D28215C-4C01-76FF-41D3-7CDA2691B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6732256-2E6E-BF37-B600-73E14C5B6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D58892E5-7E41-014A-3C40-00F34E628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71B92C2F-2F14-BEA7-F760-0BE79A7D6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9F09B15F-0620-5883-4E13-2FC8ED956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594C79C5-1D99-A06D-7DBE-DEA172C37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6B338C8A-61F5-B2D3-6B04-5A4522E51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2AFB973F-44E2-F6C4-AF4D-4FE4B6DD7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3CE85E19-DA05-F0FE-E6F9-89F1941FF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4BCA8005-8E00-8939-FDE1-676E1FB30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744F7169-1B08-5765-40EC-F6F83278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02BB81E0-D4FB-3BC5-4AD5-E23B2D8FE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BEDBA9BC-CACB-9267-C1CC-B7EB7A44E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AE65062B-0EDC-D35E-35FC-2CE57EFFA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CEC16747-7FF5-80B4-7A2D-72562E515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CBEC7D8A-89D7-E5AA-86E9-59DEC6227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10044781-448B-6796-122E-18CD41855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A56EAAC7-9792-3842-FC14-BCBA01458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16022AE4-E48E-5CCD-A9E2-52D5C9B6B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9CDF01E1-2EF9-7041-E45D-EB4E64637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606B105D-2788-E842-5D0C-2308A55E8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56F80FDD-5E53-A1F4-BAD5-CB76B366E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4E76C32B-D078-4EF3-E454-F79CAE673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1E03E259-701A-6C18-A489-98668717E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319" name="Day_1">
          <a:extLst>
            <a:ext uri="{FF2B5EF4-FFF2-40B4-BE49-F238E27FC236}">
              <a16:creationId xmlns:a16="http://schemas.microsoft.com/office/drawing/2014/main" id="{D617AD01-1FE6-B613-448F-4369190A8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320" name="Day_2">
          <a:extLst>
            <a:ext uri="{FF2B5EF4-FFF2-40B4-BE49-F238E27FC236}">
              <a16:creationId xmlns:a16="http://schemas.microsoft.com/office/drawing/2014/main" id="{E2639237-1AEA-A5C2-1EE9-6F5AA86C5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321" name="Day_3">
          <a:extLst>
            <a:ext uri="{FF2B5EF4-FFF2-40B4-BE49-F238E27FC236}">
              <a16:creationId xmlns:a16="http://schemas.microsoft.com/office/drawing/2014/main" id="{EA73EFD1-18C1-FB1E-C8AF-EA538F77A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322" name="Day_4">
          <a:extLst>
            <a:ext uri="{FF2B5EF4-FFF2-40B4-BE49-F238E27FC236}">
              <a16:creationId xmlns:a16="http://schemas.microsoft.com/office/drawing/2014/main" id="{A4591811-BBE6-E080-CBC0-23CBCF61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323" name="Day_5">
          <a:extLst>
            <a:ext uri="{FF2B5EF4-FFF2-40B4-BE49-F238E27FC236}">
              <a16:creationId xmlns:a16="http://schemas.microsoft.com/office/drawing/2014/main" id="{ACB44FC6-CED3-5A06-C904-E3BA29921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324" name="Day_6">
          <a:extLst>
            <a:ext uri="{FF2B5EF4-FFF2-40B4-BE49-F238E27FC236}">
              <a16:creationId xmlns:a16="http://schemas.microsoft.com/office/drawing/2014/main" id="{77578244-3B03-F9AD-F825-8C40C209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22868ED0-E2EF-17B7-DD50-2B7CA39608A6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A6E3B175-E60C-0C68-8D8F-8B49737B3EAD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CE281333-4343-2485-0865-1762DAB7B1FE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0CC7033B-B177-8249-55DB-FC9B6C75DC87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6EF9CD91-9B6E-4ACC-8CA1-52E9DF800458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8B5D1B74-88C4-5E38-A884-450FB57CA63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A2582BE0-425B-D683-4B33-92AE18E73977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08F18EF8-781C-88AE-2634-1743C6B4C410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CF4CABC8-DB76-5290-4121-E92FA9BF29F2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66C6E772-331C-ED76-113F-ECF8D0857451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9B562F91-523E-78EC-0C8F-1C914751ACE8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854994E8-F0A6-1C02-4995-CB83857DC49A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71224097-A87E-36F8-1834-98C61A08E63C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10442809-99B3-8054-1675-818BDFC12A15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AA819FE7-DD29-6670-FCFC-8B84A728C314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09ECCE1F-2038-4727-95C2-882C8C7FBB65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260BD83D-91BF-70C4-27D3-6D93AF04087D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9BFA2859-A0CF-334E-A48B-1787BDFB0B72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99BADEEB-1B56-737C-2DCE-A22F3ECD9220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D6757D12-3973-AB9F-AD63-3C5060A8328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8901961D-B701-0553-CDB1-B8DEAF2A274B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FDCF644A-55B0-557C-080F-284A9E2E6FEB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0A068F0E-2423-1DBD-06A6-7A868691A56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DE51F9ED-B399-B847-4946-5A2E38A36EE4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F5247F9F-D9CA-7B21-A53D-4DE5302D499F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4C7F50FF-CAA9-E9C5-25CF-44F7602BFF9A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0FC9E833-4D0E-0111-DCE9-D6F71CB6AA58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75ECD62A-C648-D6CF-8753-35BAF121A654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9134E4B1-B95D-EE49-A3D4-F4895753F19C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FA29EEB3-37BA-0AD8-651C-BFABBFADE492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5B2F0DE7-C4B7-D909-AB3F-E6D35ED0B2DB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A03F88E9-821A-B09A-A07B-729468FD269D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0C750B22-2CF0-6595-580E-FFB108C003D6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2CF9859C-888C-E706-6615-CE58D86551B5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F15C9DDC-6E83-1D53-E72E-BF295B7E43B2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F8927253-A58D-220B-10EE-40AB528FB9A0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AB2A0A53-60F3-079F-C721-4341B44EC11B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BADD7080-8FFA-69A1-6CAA-C5E5B95B6C19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EA876860-FD54-AF3D-2980-D98862B75B18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30959906-CE18-4911-4A1B-F1DBD984CEC2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5306D6F9-DFE7-DD95-3F25-3CC427D925A1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3AC17BB9-76D7-A0E5-4B0B-4A533A151BF1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5F40AB4B-0E66-2525-3451-C537D9C79190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D688A6DB-1BC6-059B-3C9D-1F8A186A9D7D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96BD0C17-58FE-B2E9-7967-84F96ED19EB0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BD1DC8C1-D31E-644A-B7D9-B80D8809E8CF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EE112561-667F-F5A0-EA0E-86C827455163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F3C8B778-3393-492B-54F4-33D19473C5D7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C4C3D7B4-199F-4DCD-DBFD-3D36BC8F19DF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434836E5-A38F-DB94-02EA-0C84D3E150F2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0C047577-6D6B-464C-29FC-21E7BF7E60E5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3EBCF92B-F34D-1D6E-E254-8650EAC33764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25A4EF29-BD6B-3F71-9CD8-F03A3C5F6E73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C22E816A-4670-ADB6-5205-BE84C17B44F4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F613B597-6BE6-460D-00C6-83CDA094B72A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0B902727-B20A-043E-B9AA-A91374F5D4CD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C5CD9F45-A414-5990-B462-EF3B9917AB9F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C93AF6AC-2E2E-3E41-4385-EC611E8EE7A2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C4A8286E-8D31-FE19-9344-D730F5A3D7AE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1040073B-B3E3-9721-6F8C-7C9BA7536241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CD2EB7A4-745B-0C2A-BEB7-D47A204D4523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B2FBEBB2-EAC1-AD2E-3D45-94FB7AF3F2AD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BBFF7431-8D88-0323-0E5B-386F924D6CDE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EFB029C6-FA22-959C-DA44-0718C2EF089A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4A022246-69B1-746A-BCDD-9C58EA290742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779336EB-E854-051B-0C6E-E707992A3CEB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2BE2B392-A694-F318-8202-85E83FB9D8AF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652D833F-6EE0-80F8-97C1-290AE9238C37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4B40AA92-2E0D-452A-4DA3-537A98EA7694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F51DC58B-3A8A-AD7A-83E3-61D74030463E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159C90ED-CE15-3B17-AC2F-E1AFD3633004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6AFB60ED-EA7B-6DA2-EDCE-95123CD3C9C9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96CDF0CF-E6AE-9E0C-1302-5586F676A390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1DB3A607-4C26-9DA6-2298-5042157D0BB5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CF42FEEF-1626-ED0E-F3DD-7664D39DD93F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A1BEBD09-4C99-8232-BA1A-82A2F0AF2696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8F4DDA5E-15F6-41FC-6260-BAEF55E30516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0364EB3A-C871-B1C6-BDE0-4735BC617771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8DDD94AC-C4AA-48A1-D93F-7106178EA86D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E24B5E4C-B134-51F7-015C-B24D8599CB04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4F166C66-4759-6BCA-2807-585DD325D827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49B6EBBF-A61B-9662-1A53-132D9B00F1A4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F426A493-84D0-DE99-4407-27AC70D2D4EC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B9F86FEA-B987-09BD-806F-9D33D61D362E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D414F220-DAA7-0D80-CDF4-FC39DE600997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7BBA11FC-3705-C6CA-0778-F69DB63B8233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F1CB596B-0F1A-7914-7AC4-77F6457DBB83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D287E407-0EA9-3B8C-B22D-8392342991CA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2EB9C4CD-FB94-1BC1-077B-787BE759943A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876E8C3A-C02E-1118-1A05-3979E2A00B0E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2E189422-C405-F35B-6EBF-4DEA31D9934C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1378C27E-9BA9-4C8F-BAB3-80EED770A54F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AB195AD5-C759-5183-DEA6-73202694F8BB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27097CE6-62D3-7B91-C34B-0997530B759E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A2422C0A-47E4-106E-98FD-ACAD85706173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749BCF81-5DC1-B3BA-4475-C88E04812C95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294CDA80-9659-962F-3880-9265C612C886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CE010710-66EC-4C0C-5094-EB52C80207D5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0A87C984-2B58-1B2C-7FF2-1B17AAAD4A23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0A9B43D8-CDED-5555-D8D5-4DBFB23735BF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DF963255-549C-D59A-CA71-CD56A0AE544C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027F3B47-0932-A3EA-C1AC-C5BBB5C97A89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9EFFB978-3689-F76C-91C0-C54C75E3ED1E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8F110576-3366-7243-4D6D-B5C51215E72A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C1B8FECC-D575-7897-3962-A056A604A08E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1D17D17B-E629-2D26-1C54-A7B8379DAB47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E3949E6D-C7D7-123D-DF17-18700B189F12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92EECD02-1254-9354-81DB-F04425775DEB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E6A8AB3D-8B0D-8D07-42D1-DB7865D39ECF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61EAF462-AA00-EC9E-C412-6F04BE98A086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E6392561-36FE-1D60-7E9D-8625BC7C6505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8E1C285B-2E64-E2EE-ABA3-440B374E97C2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E55A86C5-3352-ECD2-1F1A-90994BFDC45B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E4BB996A-BD73-77B8-DD13-0B79D277B773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20EBB1A2-D184-08B7-1A3C-83301FBF894D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34A3C6EE-E77C-057E-6721-C3D09A16AF78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85633C27-7BA7-F547-322A-DD10F48EE56A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1B2E59E8-4736-CE9C-3920-D640B428565C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B43C1B60-7B31-1DE8-B3CB-DC79731B3465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84C21BB1-0258-E318-B669-4089C0098E5E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2CB2B1DB-F427-ED42-02C0-6A6D75017C0D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9B382E2A-3AA8-9E3C-34B1-E559D0EDDB7D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27F672F9-4370-1C0A-62CF-1F3AE1D07695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24D6BA47-40C0-91E2-E63D-4905BCFBCCCF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0D8C9FC2-A615-0C22-252D-AF84308FB809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EF0628A2-C8CB-F898-FF21-780CEFF7C726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A58CCB89-7E46-1747-4BCE-4F65C0151816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8AAB160C-9F91-6FE1-06EB-1B0E598192A1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116F45AC-4575-FDD2-83BB-D8F9C56AC13B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3BC931EF-5100-58B7-E533-DCD1D1E6ED25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55" t="s">
        <v>10</v>
      </c>
      <c r="B1" s="804"/>
    </row>
    <row r="2" spans="1:88">
      <c r="A2" s="1055" t="s">
        <v>10</v>
      </c>
      <c r="B2" t="s">
        <v>10</v>
      </c>
    </row>
    <row r="3" spans="1:88" ht="15.75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75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 ht="15.75" customHeight="1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132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MON</v>
      </c>
      <c r="I1" s="872">
        <f>D4</f>
        <v>37053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MON</v>
      </c>
      <c r="E3" s="835" t="str">
        <f t="shared" si="0"/>
        <v>TUE</v>
      </c>
      <c r="F3" s="835" t="str">
        <f t="shared" si="0"/>
        <v>WED</v>
      </c>
      <c r="G3" s="835" t="str">
        <f t="shared" si="0"/>
        <v>THU</v>
      </c>
      <c r="H3" s="835" t="str">
        <f t="shared" si="0"/>
        <v>FRI</v>
      </c>
      <c r="I3" s="836" t="str">
        <f t="shared" si="0"/>
        <v>SAT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37053</v>
      </c>
      <c r="E4" s="839">
        <f>Weather_Input!A6</f>
        <v>37054</v>
      </c>
      <c r="F4" s="839">
        <f>Weather_Input!A7</f>
        <v>37055</v>
      </c>
      <c r="G4" s="839">
        <f>Weather_Input!A8</f>
        <v>37056</v>
      </c>
      <c r="H4" s="839">
        <f>Weather_Input!A9</f>
        <v>37057</v>
      </c>
      <c r="I4" s="840">
        <f>Weather_Input!A10</f>
        <v>37058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87/64/76</v>
      </c>
      <c r="E5" s="873" t="str">
        <f>TEXT(Weather_Input!B6,"0")&amp;"/"&amp;TEXT(Weather_Input!C6,"0") &amp; "/" &amp; TEXT((Weather_Input!B6+Weather_Input!C6)/2,"0")</f>
        <v>90/70/80</v>
      </c>
      <c r="F5" s="873" t="str">
        <f>TEXT(Weather_Input!B7,"0")&amp;"/"&amp;TEXT(Weather_Input!C7,"0") &amp; "/" &amp; TEXT((Weather_Input!B7+Weather_Input!C7)/2,"0")</f>
        <v>90/69/80</v>
      </c>
      <c r="G5" s="873" t="str">
        <f>TEXT(Weather_Input!B8,"0")&amp;"/"&amp;TEXT(Weather_Input!C8,"0") &amp; "/" &amp; TEXT((Weather_Input!B8+Weather_Input!C8)/2,"0")</f>
        <v>85/61/73</v>
      </c>
      <c r="H5" s="873" t="str">
        <f>TEXT(Weather_Input!B9,"0")&amp;"/"&amp;TEXT(Weather_Input!C9,"0") &amp; "/" &amp; TEXT((Weather_Input!B9+Weather_Input!C9)/2,"0")</f>
        <v>78/58/68</v>
      </c>
      <c r="I5" s="874" t="str">
        <f>TEXT(Weather_Input!B10,"0")&amp;"/"&amp;TEXT(Weather_Input!C10,"0") &amp; "/" &amp; TEXT((Weather_Input!B10+Weather_Input!C10)/2,"0")</f>
        <v>78/58/68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36</v>
      </c>
      <c r="E6" s="842">
        <f ca="1">VLOOKUP(E4,NSG_Sendouts,CELL("Col",NSG_Deliveries!C6),FALSE)/1000</f>
        <v>38</v>
      </c>
      <c r="F6" s="842">
        <f ca="1">VLOOKUP(F4,NSG_Sendouts,CELL("Col",NSG_Deliveries!C7),FALSE)/1000</f>
        <v>38</v>
      </c>
      <c r="G6" s="842">
        <f ca="1">VLOOKUP(G4,NSG_Sendouts,CELL("Col",NSG_Deliveries!C8),FALSE)/1000</f>
        <v>38</v>
      </c>
      <c r="H6" s="842">
        <f ca="1">VLOOKUP(H4,NSG_Sendouts,CELL("Col",NSG_Deliveries!C9),FALSE)/1000</f>
        <v>36</v>
      </c>
      <c r="I6" s="847">
        <f ca="1">VLOOKUP(I4,NSG_Sendouts,CELL("Col",NSG_Deliveries!C10),FALSE)/1000</f>
        <v>33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6.04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2</v>
      </c>
      <c r="E13" s="842">
        <f>NSG_Requirements!H8/1000</f>
        <v>2</v>
      </c>
      <c r="F13" s="842">
        <f>NSG_Requirements!H9/1000</f>
        <v>2</v>
      </c>
      <c r="G13" s="842">
        <f>NSG_Requirements!H10/1000</f>
        <v>2</v>
      </c>
      <c r="H13" s="842">
        <f>NSG_Requirements!H11/1000</f>
        <v>2</v>
      </c>
      <c r="I13" s="843">
        <f>NSG_Requirements!H12/1000</f>
        <v>2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44.04</v>
      </c>
      <c r="E19" s="851">
        <f t="shared" ca="1" si="1"/>
        <v>40</v>
      </c>
      <c r="F19" s="851">
        <f t="shared" ca="1" si="1"/>
        <v>40</v>
      </c>
      <c r="G19" s="851">
        <f t="shared" ca="1" si="1"/>
        <v>40</v>
      </c>
      <c r="H19" s="851">
        <f t="shared" ca="1" si="1"/>
        <v>38</v>
      </c>
      <c r="I19" s="852">
        <f t="shared" ca="1" si="1"/>
        <v>35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0</v>
      </c>
      <c r="E24" s="842">
        <f>NSG_Supplies!E8/1000</f>
        <v>0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0</v>
      </c>
      <c r="E25" s="842">
        <f>NSG_Supplies!F8/1000</f>
        <v>0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28.827999999999999</v>
      </c>
      <c r="E32" s="842">
        <f>NSG_Supplies!R8/1000</f>
        <v>28.827999999999999</v>
      </c>
      <c r="F32" s="842">
        <f>NSG_Supplies!R9/1000</f>
        <v>28.827999999999999</v>
      </c>
      <c r="G32" s="842">
        <f>NSG_Supplies!R10/1000</f>
        <v>28.827999999999999</v>
      </c>
      <c r="H32" s="842">
        <f>NSG_Supplies!R11/1000</f>
        <v>28.827999999999999</v>
      </c>
      <c r="I32" s="843">
        <f>NSG_Supplies!R12/1000</f>
        <v>28.827999999999999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15.215</v>
      </c>
      <c r="E33" s="842">
        <f>NSG_Supplies!Q8/1000</f>
        <v>15.215</v>
      </c>
      <c r="F33" s="842">
        <f>NSG_Supplies!Q9/1000</f>
        <v>15.215</v>
      </c>
      <c r="G33" s="842">
        <f>NSG_Supplies!Q10/1000</f>
        <v>15.215</v>
      </c>
      <c r="H33" s="842">
        <f>NSG_Supplies!Q11/1000</f>
        <v>15.215</v>
      </c>
      <c r="I33" s="843">
        <f>NSG_Supplies!Q12/1000</f>
        <v>15.215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44.042999999999999</v>
      </c>
      <c r="E37" s="882">
        <f t="shared" si="2"/>
        <v>44.042999999999999</v>
      </c>
      <c r="F37" s="882">
        <f t="shared" si="2"/>
        <v>44.042999999999999</v>
      </c>
      <c r="G37" s="882">
        <f t="shared" si="2"/>
        <v>44.042999999999999</v>
      </c>
      <c r="H37" s="882">
        <f t="shared" si="2"/>
        <v>44.042999999999999</v>
      </c>
      <c r="I37" s="883">
        <f t="shared" si="2"/>
        <v>44.042999999999999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3.0000000000001137E-3</v>
      </c>
      <c r="E38" s="886">
        <f t="shared" ca="1" si="3"/>
        <v>4.0429999999999993</v>
      </c>
      <c r="F38" s="886">
        <f t="shared" ca="1" si="3"/>
        <v>4.0429999999999993</v>
      </c>
      <c r="G38" s="886">
        <f t="shared" ca="1" si="3"/>
        <v>4.0429999999999993</v>
      </c>
      <c r="H38" s="886">
        <f t="shared" ca="1" si="3"/>
        <v>6.0429999999999993</v>
      </c>
      <c r="I38" s="887">
        <f t="shared" ca="1" si="3"/>
        <v>9.0429999999999993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</v>
      </c>
      <c r="E39" s="868">
        <f t="shared" ca="1" si="4"/>
        <v>0</v>
      </c>
      <c r="F39" s="868">
        <f t="shared" ca="1" si="4"/>
        <v>0</v>
      </c>
      <c r="G39" s="868">
        <f t="shared" ca="1" si="4"/>
        <v>0</v>
      </c>
      <c r="H39" s="868">
        <f t="shared" ca="1" si="4"/>
        <v>0</v>
      </c>
      <c r="I39" s="869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16.954000000000001</v>
      </c>
      <c r="E40" s="1114">
        <f>NSG_Supplies!S8/1000</f>
        <v>16.954000000000001</v>
      </c>
      <c r="F40" s="1114">
        <f>NSG_Supplies!S9/1000</f>
        <v>16.954000000000001</v>
      </c>
      <c r="G40" s="1114">
        <f>NSG_Supplies!S10/1000</f>
        <v>16.954000000000001</v>
      </c>
      <c r="H40" s="1114">
        <f>NSG_Supplies!S11/1000</f>
        <v>16.954000000000001</v>
      </c>
      <c r="I40" s="1115">
        <f>NSG_Supplies!S12/1000</f>
        <v>16.954000000000001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12</v>
      </c>
      <c r="E42" s="893">
        <f>Weather_Input!D6</f>
        <v>15</v>
      </c>
      <c r="F42" s="893">
        <f>Weather_Input!D7</f>
        <v>15</v>
      </c>
      <c r="G42" s="894"/>
      <c r="H42" s="889"/>
      <c r="I42" s="889"/>
    </row>
    <row r="43" spans="1:13" ht="15.75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58" t="s">
        <v>10</v>
      </c>
      <c r="B1" s="1155" t="s">
        <v>10</v>
      </c>
      <c r="C1" s="1156" t="s">
        <v>725</v>
      </c>
      <c r="D1" s="1157"/>
      <c r="E1" s="1158" t="s">
        <v>10</v>
      </c>
      <c r="F1" s="1159" t="s">
        <v>774</v>
      </c>
      <c r="G1" s="1160" t="s">
        <v>10</v>
      </c>
      <c r="H1" s="1161"/>
      <c r="I1" s="1205" t="s">
        <v>10</v>
      </c>
      <c r="J1" s="586"/>
      <c r="K1" s="586"/>
      <c r="L1" s="587" t="s">
        <v>171</v>
      </c>
      <c r="M1" s="1238">
        <f>Weather_Input!A5</f>
        <v>37053</v>
      </c>
      <c r="N1" s="1239" t="str">
        <f>CHOOSE(WEEKDAY(M1),"SUN","MON","TUE","WED","THU","FRI","SAT")</f>
        <v>MON</v>
      </c>
      <c r="O1" s="591"/>
    </row>
    <row r="2" spans="1:17" ht="16.5" thickTop="1" thickBot="1">
      <c r="A2" s="423" t="s">
        <v>728</v>
      </c>
      <c r="B2" s="322">
        <f>PGL_Supplies!X7/1000</f>
        <v>0.3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6" t="s">
        <v>407</v>
      </c>
      <c r="K2" s="1181" t="s">
        <v>174</v>
      </c>
      <c r="L2" s="1182" t="s">
        <v>22</v>
      </c>
      <c r="M2" s="1181" t="s">
        <v>174</v>
      </c>
      <c r="N2" s="1176" t="s">
        <v>22</v>
      </c>
      <c r="O2" s="1183" t="s">
        <v>174</v>
      </c>
      <c r="Q2" s="1154" t="s">
        <v>10</v>
      </c>
    </row>
    <row r="3" spans="1:17" ht="15.75">
      <c r="A3" s="423" t="s">
        <v>769</v>
      </c>
      <c r="B3" s="1197">
        <f>PGL_Requirements!J7/1000</f>
        <v>0</v>
      </c>
      <c r="C3" s="973" t="s">
        <v>10</v>
      </c>
      <c r="D3" s="311"/>
      <c r="E3" s="566" t="s">
        <v>473</v>
      </c>
      <c r="F3" s="322">
        <f>PGL_Supplies!I7/1000</f>
        <v>15</v>
      </c>
      <c r="G3" s="386" t="s">
        <v>10</v>
      </c>
      <c r="H3" s="1149" t="s">
        <v>10</v>
      </c>
      <c r="I3" s="1206" t="s">
        <v>10</v>
      </c>
      <c r="J3" s="954">
        <f>Weather_Input!B5</f>
        <v>87</v>
      </c>
      <c r="K3" s="955">
        <f>Weather_Input!C5</f>
        <v>64</v>
      </c>
      <c r="L3" s="602" t="s">
        <v>10</v>
      </c>
      <c r="M3" s="267" t="s">
        <v>10</v>
      </c>
      <c r="N3" s="267"/>
      <c r="O3" s="265"/>
    </row>
    <row r="4" spans="1:17" ht="16.5" thickBot="1">
      <c r="A4" s="247" t="s">
        <v>771</v>
      </c>
      <c r="B4" s="1198">
        <v>0</v>
      </c>
      <c r="C4" s="121"/>
      <c r="D4" s="985"/>
      <c r="E4" s="535" t="s">
        <v>474</v>
      </c>
      <c r="F4" s="1231">
        <v>0</v>
      </c>
      <c r="G4" s="524" t="s">
        <v>10</v>
      </c>
      <c r="H4" s="1259"/>
      <c r="I4" t="s">
        <v>806</v>
      </c>
      <c r="J4" s="1059"/>
      <c r="K4" s="1245">
        <v>78.7</v>
      </c>
      <c r="L4" s="432"/>
      <c r="M4" s="1061"/>
      <c r="N4" s="432"/>
      <c r="O4" s="805"/>
    </row>
    <row r="5" spans="1:17" ht="16.5" thickBot="1">
      <c r="A5" s="1074" t="s">
        <v>3</v>
      </c>
      <c r="B5" s="322">
        <f>PGL_Supplies!Y7/1000</f>
        <v>106.16</v>
      </c>
      <c r="C5" s="1062" t="s">
        <v>10</v>
      </c>
      <c r="D5" s="347"/>
      <c r="E5" s="1216" t="s">
        <v>450</v>
      </c>
      <c r="F5" s="979">
        <f>F3+F4</f>
        <v>15</v>
      </c>
      <c r="G5" s="564" t="s">
        <v>10</v>
      </c>
      <c r="H5" s="1248" t="s">
        <v>10</v>
      </c>
      <c r="I5" s="1207" t="s">
        <v>417</v>
      </c>
      <c r="J5" s="1104" t="s">
        <v>10</v>
      </c>
      <c r="K5" s="957">
        <f>PGL_Deliveries!C5/1000</f>
        <v>215</v>
      </c>
      <c r="L5" s="600"/>
      <c r="M5" s="267"/>
      <c r="N5" s="600"/>
      <c r="O5" s="265"/>
    </row>
    <row r="6" spans="1:17" ht="16.5" thickBot="1">
      <c r="A6" s="557" t="s">
        <v>441</v>
      </c>
      <c r="B6" s="1065">
        <f>+B5-B3+B2-B4</f>
        <v>106.46</v>
      </c>
      <c r="C6" s="1066" t="s">
        <v>10</v>
      </c>
      <c r="D6" s="529"/>
      <c r="E6" s="635" t="s">
        <v>10</v>
      </c>
      <c r="F6" s="983" t="s">
        <v>36</v>
      </c>
      <c r="G6" s="984"/>
      <c r="H6" s="1150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5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0</v>
      </c>
      <c r="C8" s="592"/>
      <c r="D8" s="311"/>
      <c r="E8" s="423" t="s">
        <v>453</v>
      </c>
      <c r="F8" s="386">
        <f>PGL_Requirements!F7/1000</f>
        <v>0</v>
      </c>
      <c r="G8" s="379" t="s">
        <v>10</v>
      </c>
      <c r="H8" s="1143"/>
      <c r="I8" s="1050" t="s">
        <v>767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12</v>
      </c>
      <c r="G9" s="322"/>
      <c r="H9" s="1143"/>
      <c r="I9" s="121" t="s">
        <v>725</v>
      </c>
      <c r="J9" s="1059"/>
      <c r="K9" s="1073">
        <f>+B6</f>
        <v>106.46</v>
      </c>
      <c r="L9" s="1059"/>
      <c r="M9" s="1061"/>
      <c r="N9" s="432"/>
      <c r="O9" s="283" t="s">
        <v>10</v>
      </c>
    </row>
    <row r="10" spans="1:17" ht="15.75" thickBot="1">
      <c r="A10" s="423" t="s">
        <v>439</v>
      </c>
      <c r="B10" s="322">
        <f>PGL_Requirements!C7/1000</f>
        <v>0.2</v>
      </c>
      <c r="C10" s="1059"/>
      <c r="D10" s="1060"/>
      <c r="E10" s="423" t="s">
        <v>795</v>
      </c>
      <c r="F10" s="987">
        <f>PGL_Supplies!AD7/1000</f>
        <v>4</v>
      </c>
      <c r="G10" s="525"/>
      <c r="H10" s="1144"/>
      <c r="I10" s="1208" t="s">
        <v>787</v>
      </c>
      <c r="J10" s="280" t="s">
        <v>10</v>
      </c>
      <c r="K10" s="612">
        <f>B13</f>
        <v>0</v>
      </c>
      <c r="L10" s="600"/>
      <c r="M10" s="612" t="s">
        <v>10</v>
      </c>
      <c r="N10" s="600"/>
      <c r="O10" s="283" t="s">
        <v>10</v>
      </c>
    </row>
    <row r="11" spans="1:17" ht="16.5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16</v>
      </c>
      <c r="G11" s="979" t="s">
        <v>10</v>
      </c>
      <c r="H11" s="530"/>
      <c r="I11" s="1208" t="s">
        <v>59</v>
      </c>
      <c r="J11" s="280" t="s">
        <v>10</v>
      </c>
      <c r="K11" s="612">
        <f>B21</f>
        <v>-119.72</v>
      </c>
      <c r="L11" s="600"/>
      <c r="M11" s="267" t="s">
        <v>10</v>
      </c>
      <c r="N11" s="600"/>
      <c r="O11" s="265"/>
    </row>
    <row r="12" spans="1:17" ht="16.5" thickBot="1">
      <c r="A12" s="634" t="s">
        <v>682</v>
      </c>
      <c r="B12" s="322">
        <f>PGL_Supplies!Z7/1000</f>
        <v>0.2</v>
      </c>
      <c r="C12" s="121"/>
      <c r="D12" s="1058"/>
      <c r="E12" s="1200" t="s">
        <v>10</v>
      </c>
      <c r="F12" s="1199" t="s">
        <v>807</v>
      </c>
      <c r="G12" s="357"/>
      <c r="H12" s="1148"/>
      <c r="I12" s="1208" t="s">
        <v>788</v>
      </c>
      <c r="J12" s="280" t="s">
        <v>10</v>
      </c>
      <c r="K12" s="612">
        <f>B30</f>
        <v>0</v>
      </c>
      <c r="L12" s="600"/>
      <c r="M12" s="267" t="s">
        <v>10</v>
      </c>
      <c r="N12" s="600"/>
      <c r="O12" s="265"/>
    </row>
    <row r="13" spans="1:17" ht="16.5" thickBot="1">
      <c r="A13" s="557" t="s">
        <v>441</v>
      </c>
      <c r="B13" s="564">
        <f>B12+B11-B10+B9-B8</f>
        <v>0</v>
      </c>
      <c r="C13" s="529"/>
      <c r="D13" s="529"/>
      <c r="E13" s="579" t="s">
        <v>482</v>
      </c>
      <c r="F13" s="1135" t="s">
        <v>10</v>
      </c>
      <c r="G13" s="572" t="s">
        <v>10</v>
      </c>
      <c r="H13" s="1151" t="s">
        <v>10</v>
      </c>
      <c r="I13" s="1208" t="s">
        <v>789</v>
      </c>
      <c r="J13" s="284" t="s">
        <v>10</v>
      </c>
      <c r="K13" s="612">
        <f>B36</f>
        <v>179.642</v>
      </c>
      <c r="L13" s="600"/>
      <c r="M13" s="267" t="s">
        <v>10</v>
      </c>
      <c r="N13" s="600"/>
      <c r="O13" s="265"/>
    </row>
    <row r="14" spans="1:17" ht="16.5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2"/>
      <c r="I14" s="1208" t="s">
        <v>420</v>
      </c>
      <c r="J14" s="280" t="s">
        <v>10</v>
      </c>
      <c r="K14" s="958">
        <f>F5</f>
        <v>15</v>
      </c>
      <c r="L14" s="600"/>
      <c r="M14" s="267" t="s">
        <v>10</v>
      </c>
      <c r="N14" s="600"/>
      <c r="O14" s="265"/>
    </row>
    <row r="15" spans="1:17" ht="16.5" thickBot="1">
      <c r="A15" s="423" t="s">
        <v>71</v>
      </c>
      <c r="B15" s="322">
        <f>PGL_Requirements!P7/1000</f>
        <v>120</v>
      </c>
      <c r="C15" s="311"/>
      <c r="D15" s="547"/>
      <c r="E15" s="1202" t="s">
        <v>683</v>
      </c>
      <c r="F15" s="986"/>
      <c r="G15" s="1105"/>
      <c r="H15" s="1167"/>
      <c r="I15" s="1208" t="s">
        <v>790</v>
      </c>
      <c r="J15" s="280" t="s">
        <v>170</v>
      </c>
      <c r="K15" s="612">
        <f>F11</f>
        <v>16</v>
      </c>
      <c r="L15" s="600"/>
      <c r="M15" s="267" t="s">
        <v>10</v>
      </c>
      <c r="N15" s="600"/>
      <c r="O15" s="265"/>
    </row>
    <row r="16" spans="1:17" ht="16.5" thickBot="1">
      <c r="A16" s="423" t="s">
        <v>446</v>
      </c>
      <c r="B16" s="322">
        <f>PGL_Supplies!M7/1000</f>
        <v>0</v>
      </c>
      <c r="C16" s="311"/>
      <c r="D16" s="547"/>
      <c r="E16" s="1203" t="s">
        <v>10</v>
      </c>
      <c r="F16" s="1162" t="s">
        <v>475</v>
      </c>
      <c r="G16" s="1249"/>
      <c r="H16" s="1204"/>
      <c r="I16" s="1208" t="s">
        <v>556</v>
      </c>
      <c r="J16" s="280" t="s">
        <v>170</v>
      </c>
      <c r="K16" s="958">
        <f>PGL_Supplies!B7/1000</f>
        <v>4.3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29" t="s">
        <v>10</v>
      </c>
      <c r="H17" s="1153" t="s">
        <v>10</v>
      </c>
      <c r="I17" s="1201" t="s">
        <v>557</v>
      </c>
      <c r="J17" s="305" t="s">
        <v>10</v>
      </c>
      <c r="K17" s="973">
        <f>-PGL_Requirements!G7/1000</f>
        <v>0</v>
      </c>
      <c r="L17" s="600"/>
      <c r="M17" s="267"/>
      <c r="N17" s="600"/>
      <c r="O17" s="265"/>
    </row>
    <row r="18" spans="1:15" ht="16.5" thickBot="1">
      <c r="A18" s="423" t="s">
        <v>448</v>
      </c>
      <c r="B18" s="322">
        <f>PGL_Supplies!H7/1000</f>
        <v>1</v>
      </c>
      <c r="C18" s="311"/>
      <c r="D18" s="1143"/>
      <c r="E18" s="635" t="s">
        <v>10</v>
      </c>
      <c r="F18" s="1162" t="s">
        <v>775</v>
      </c>
      <c r="G18" s="984"/>
      <c r="H18" s="1150"/>
      <c r="I18" t="s">
        <v>805</v>
      </c>
      <c r="J18" s="1059"/>
      <c r="K18" s="1234">
        <f>-F19</f>
        <v>-10.4</v>
      </c>
      <c r="L18" s="1059"/>
      <c r="M18" s="223"/>
      <c r="N18" s="1059"/>
      <c r="O18" s="805"/>
    </row>
    <row r="19" spans="1:15" ht="15.75" thickBot="1">
      <c r="A19" s="368" t="s">
        <v>721</v>
      </c>
      <c r="B19" s="322">
        <f>PGL_Requirements!R7/1000</f>
        <v>0.72</v>
      </c>
      <c r="C19" s="311"/>
      <c r="D19" s="1143"/>
      <c r="E19" s="1163" t="s">
        <v>776</v>
      </c>
      <c r="F19" s="1230">
        <v>10.4</v>
      </c>
      <c r="G19" s="1048" t="s">
        <v>10</v>
      </c>
      <c r="H19" s="1164" t="s">
        <v>10</v>
      </c>
      <c r="I19" t="s">
        <v>558</v>
      </c>
      <c r="J19" s="1233"/>
      <c r="K19" s="1235">
        <f>-F24</f>
        <v>-34</v>
      </c>
      <c r="L19" s="1233"/>
      <c r="M19" s="159"/>
      <c r="N19" s="1233"/>
      <c r="O19" s="1232"/>
    </row>
    <row r="20" spans="1:15" ht="16.5" thickBot="1">
      <c r="A20" s="423" t="s">
        <v>722</v>
      </c>
      <c r="B20" s="322">
        <f>PGL_Requirements!Q7/1000</f>
        <v>1.8</v>
      </c>
      <c r="C20" s="347"/>
      <c r="D20" s="1144"/>
      <c r="E20" s="121"/>
      <c r="F20" s="121"/>
      <c r="G20" s="121"/>
      <c r="H20" s="1175"/>
      <c r="I20" s="1209" t="s">
        <v>683</v>
      </c>
      <c r="J20" s="615" t="s">
        <v>10</v>
      </c>
      <c r="K20" s="509">
        <f>SUM(K8:K19)</f>
        <v>157.28200000000001</v>
      </c>
      <c r="L20" s="619" t="s">
        <v>10</v>
      </c>
      <c r="M20" s="509" t="s">
        <v>10</v>
      </c>
      <c r="N20" s="619" t="s">
        <v>10</v>
      </c>
      <c r="O20" s="620"/>
    </row>
    <row r="21" spans="1:15" ht="16.5" thickBot="1">
      <c r="A21" s="516" t="s">
        <v>450</v>
      </c>
      <c r="B21" s="1227">
        <f>-B15+B16+B18-B19-B17+B22+B23</f>
        <v>-119.72</v>
      </c>
      <c r="C21" s="518"/>
      <c r="D21" s="530"/>
      <c r="E21" s="1165" t="s">
        <v>777</v>
      </c>
      <c r="F21" s="1198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786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5" t="s">
        <v>778</v>
      </c>
      <c r="F22" s="1198">
        <v>0</v>
      </c>
      <c r="G22" s="1060"/>
      <c r="H22" s="434"/>
      <c r="I22" s="1208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6" t="s">
        <v>779</v>
      </c>
      <c r="F23" s="1218">
        <v>0</v>
      </c>
      <c r="G23" s="986"/>
      <c r="H23" s="1167"/>
      <c r="I23" s="1208" t="s">
        <v>423</v>
      </c>
      <c r="J23" s="280" t="s">
        <v>10</v>
      </c>
      <c r="K23" s="612">
        <f>K5+K6-K20</f>
        <v>57.717999999999989</v>
      </c>
      <c r="L23" s="264"/>
      <c r="M23" s="612" t="s">
        <v>10</v>
      </c>
      <c r="N23" s="264"/>
      <c r="O23" s="294"/>
    </row>
    <row r="24" spans="1:15" ht="16.5" thickBot="1">
      <c r="A24" s="1140" t="s">
        <v>768</v>
      </c>
      <c r="B24" s="1127">
        <f>SUM(B4)</f>
        <v>0</v>
      </c>
      <c r="C24" s="1141"/>
      <c r="D24" s="1142"/>
      <c r="E24" s="549" t="s">
        <v>780</v>
      </c>
      <c r="F24" s="1230">
        <f>PGL_Requirements!H7/1000*0.5</f>
        <v>34</v>
      </c>
      <c r="G24" s="1048"/>
      <c r="H24" s="1031"/>
      <c r="I24" s="1210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5" thickBot="1">
      <c r="A25" s="553" t="s">
        <v>10</v>
      </c>
      <c r="B25" s="554" t="s">
        <v>10</v>
      </c>
      <c r="C25" s="1250" t="s">
        <v>68</v>
      </c>
      <c r="D25" s="1150"/>
      <c r="E25" s="1168" t="s">
        <v>781</v>
      </c>
      <c r="F25" s="1219"/>
      <c r="G25" s="1169"/>
      <c r="H25" s="1170"/>
      <c r="I25" s="1208" t="s">
        <v>425</v>
      </c>
      <c r="J25" s="963" t="s">
        <v>10</v>
      </c>
      <c r="K25" s="964">
        <f>SUM(B20+B22+B23)</f>
        <v>1.8</v>
      </c>
      <c r="L25" s="965"/>
      <c r="M25" s="1247"/>
      <c r="N25" s="966" t="s">
        <v>10</v>
      </c>
      <c r="O25" s="258"/>
    </row>
    <row r="26" spans="1:15" ht="17.25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1" t="s">
        <v>426</v>
      </c>
      <c r="J26" s="967" t="s">
        <v>10</v>
      </c>
      <c r="K26" s="968">
        <f>SUM(K23:K25)</f>
        <v>59.517999999999986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772</v>
      </c>
      <c r="B27" s="981">
        <f>PGL_Supplies!D7/1000</f>
        <v>0</v>
      </c>
      <c r="C27" s="1226"/>
      <c r="D27" s="1143"/>
      <c r="E27" s="1163" t="s">
        <v>782</v>
      </c>
      <c r="F27" s="1217"/>
      <c r="G27" s="1048"/>
      <c r="H27" s="1164"/>
      <c r="I27" s="1212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75">
      <c r="A28" s="423" t="s">
        <v>107</v>
      </c>
      <c r="B28" s="981">
        <f>PGL_Supplies!AA7/1000</f>
        <v>0</v>
      </c>
      <c r="C28" s="311"/>
      <c r="D28" s="1143"/>
      <c r="E28" s="121"/>
      <c r="F28" s="1078"/>
      <c r="G28" s="121"/>
      <c r="H28" s="160"/>
      <c r="I28" s="1208" t="s">
        <v>434</v>
      </c>
      <c r="J28" s="975"/>
      <c r="K28" s="973">
        <f>PGL_Requirements!O7/1000</f>
        <v>0</v>
      </c>
      <c r="L28" s="305"/>
      <c r="M28" s="956" t="s">
        <v>10</v>
      </c>
      <c r="N28" s="512"/>
      <c r="O28" s="972" t="s">
        <v>10</v>
      </c>
    </row>
    <row r="29" spans="1:15" ht="15.75" thickBot="1">
      <c r="A29" s="423" t="s">
        <v>773</v>
      </c>
      <c r="B29" s="322">
        <f>PGL_Supplies!S7/1000</f>
        <v>0</v>
      </c>
      <c r="C29" s="350"/>
      <c r="D29" s="1143"/>
      <c r="E29" s="1171" t="s">
        <v>467</v>
      </c>
      <c r="F29" s="1218"/>
      <c r="G29" s="986"/>
      <c r="H29" s="1172"/>
      <c r="I29" s="1208" t="s">
        <v>435</v>
      </c>
      <c r="J29" s="976"/>
      <c r="K29" s="1180">
        <f>-PGL_Supplies!L7/1000</f>
        <v>-8.1300000000000008</v>
      </c>
      <c r="L29" s="305"/>
      <c r="M29" s="973" t="s">
        <v>10</v>
      </c>
      <c r="N29" s="512"/>
      <c r="O29" s="977" t="s">
        <v>10</v>
      </c>
    </row>
    <row r="30" spans="1:15" ht="16.5" thickBot="1">
      <c r="A30" s="557" t="s">
        <v>441</v>
      </c>
      <c r="B30" s="979">
        <f>-B26+B27-B28+B29</f>
        <v>0</v>
      </c>
      <c r="C30" s="980"/>
      <c r="D30" s="530"/>
      <c r="E30" s="1174" t="s">
        <v>783</v>
      </c>
      <c r="F30" s="1198"/>
      <c r="G30" s="1060"/>
      <c r="H30" s="1147"/>
      <c r="I30" s="1213" t="s">
        <v>195</v>
      </c>
      <c r="J30" s="1177"/>
      <c r="K30" s="1077">
        <f>-PGL_Supplies!AC7/1000</f>
        <v>-50.984999999999999</v>
      </c>
      <c r="L30" s="1178"/>
      <c r="M30" s="1077">
        <f>-PGL_Supplies!AC7/1000</f>
        <v>-50.984999999999999</v>
      </c>
      <c r="N30" s="1179"/>
      <c r="O30" s="1243">
        <f>-PGL_Supplies!AC7/1000</f>
        <v>-50.984999999999999</v>
      </c>
    </row>
    <row r="31" spans="1:15" ht="16.5" thickBot="1">
      <c r="A31" s="356" t="s">
        <v>10</v>
      </c>
      <c r="B31" s="1244" t="s">
        <v>419</v>
      </c>
      <c r="C31" s="357"/>
      <c r="D31" s="358"/>
      <c r="E31" s="159" t="s">
        <v>784</v>
      </c>
      <c r="F31" s="1220"/>
      <c r="G31" s="1058"/>
      <c r="H31" s="1173"/>
      <c r="I31" s="327" t="s">
        <v>200</v>
      </c>
      <c r="J31" s="326"/>
      <c r="K31" s="1186"/>
      <c r="L31" s="1187"/>
      <c r="M31" s="329"/>
      <c r="N31" s="329"/>
      <c r="O31" s="329"/>
    </row>
    <row r="32" spans="1:15" ht="16.5" thickBot="1">
      <c r="A32" s="368" t="s">
        <v>478</v>
      </c>
      <c r="B32" s="386">
        <f>PGL_Requirements!E7/1000</f>
        <v>5.8</v>
      </c>
      <c r="C32" s="538"/>
      <c r="D32" s="386" t="s">
        <v>10</v>
      </c>
      <c r="E32" s="549" t="s">
        <v>785</v>
      </c>
      <c r="F32" s="1221"/>
      <c r="G32" s="428"/>
      <c r="H32" s="1031"/>
      <c r="I32" s="1212" t="s">
        <v>458</v>
      </c>
      <c r="J32" s="521"/>
      <c r="K32" s="1251"/>
      <c r="L32" s="1228" t="s">
        <v>791</v>
      </c>
      <c r="M32" s="121"/>
      <c r="N32" s="1258"/>
      <c r="O32" s="1256"/>
    </row>
    <row r="33" spans="1:15">
      <c r="A33" s="368" t="s">
        <v>479</v>
      </c>
      <c r="B33" s="981">
        <f>PGL_Supplies!E7/1000</f>
        <v>0</v>
      </c>
      <c r="C33" s="981" t="s">
        <v>10</v>
      </c>
      <c r="D33" s="982" t="s">
        <v>10</v>
      </c>
      <c r="E33" s="121"/>
      <c r="F33" s="121"/>
      <c r="G33" s="121"/>
      <c r="H33" s="160"/>
      <c r="I33" s="1214" t="s">
        <v>459</v>
      </c>
      <c r="J33" s="1255"/>
      <c r="K33" s="1252"/>
      <c r="L33" s="1188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168.27500000000001</v>
      </c>
      <c r="C34" s="981" t="s">
        <v>10</v>
      </c>
      <c r="D34" s="982" t="s">
        <v>10</v>
      </c>
      <c r="E34" s="121"/>
      <c r="F34" s="121"/>
      <c r="G34" s="121"/>
      <c r="H34" s="160"/>
      <c r="I34" s="1215" t="s">
        <v>460</v>
      </c>
      <c r="J34" s="547"/>
      <c r="K34" s="1253"/>
      <c r="L34" s="1188" t="s">
        <v>468</v>
      </c>
      <c r="M34" s="1061"/>
      <c r="N34" s="1059"/>
      <c r="O34" s="805"/>
    </row>
    <row r="35" spans="1:15" ht="15.75" thickBot="1">
      <c r="A35" s="1134" t="s">
        <v>614</v>
      </c>
      <c r="B35" s="981">
        <f>PGL_Supplies!T7/1000</f>
        <v>34.334000000000003</v>
      </c>
      <c r="C35" s="981" t="s">
        <v>10</v>
      </c>
      <c r="D35" s="985"/>
      <c r="E35" s="121"/>
      <c r="F35" s="121"/>
      <c r="G35" s="121"/>
      <c r="H35" s="160"/>
      <c r="I35" s="1215" t="s">
        <v>461</v>
      </c>
      <c r="J35" s="547"/>
      <c r="K35" s="1252"/>
      <c r="L35" s="1189" t="s">
        <v>469</v>
      </c>
      <c r="M35" s="1061"/>
      <c r="N35" s="1059"/>
      <c r="O35" s="805"/>
    </row>
    <row r="36" spans="1:15" ht="16.5" thickBot="1">
      <c r="A36" s="1191" t="s">
        <v>679</v>
      </c>
      <c r="B36" s="1217">
        <f>-B32+B33+B34+B35*0.5</f>
        <v>179.642</v>
      </c>
      <c r="C36" s="1048"/>
      <c r="D36" s="1033" t="s">
        <v>10</v>
      </c>
      <c r="E36" s="121"/>
      <c r="F36" s="121"/>
      <c r="G36" s="121"/>
      <c r="H36" s="160"/>
      <c r="I36" s="1215" t="s">
        <v>462</v>
      </c>
      <c r="J36" s="547"/>
      <c r="K36" s="1252"/>
      <c r="L36" s="1189" t="s">
        <v>401</v>
      </c>
      <c r="M36" s="1061"/>
      <c r="N36" s="1059"/>
      <c r="O36" s="805"/>
    </row>
    <row r="37" spans="1:15">
      <c r="A37" s="1129" t="s">
        <v>802</v>
      </c>
      <c r="B37" s="1036"/>
      <c r="C37" s="1036"/>
      <c r="D37" s="1034" t="s">
        <v>10</v>
      </c>
      <c r="E37" s="121"/>
      <c r="F37" s="121"/>
      <c r="G37" s="121"/>
      <c r="H37" s="121"/>
      <c r="I37" s="1240" t="s">
        <v>463</v>
      </c>
      <c r="J37" s="547"/>
      <c r="K37" s="1252"/>
      <c r="L37" s="1190" t="s">
        <v>470</v>
      </c>
      <c r="M37" s="1061"/>
      <c r="N37" s="1059"/>
      <c r="O37" s="805"/>
    </row>
    <row r="38" spans="1:15" ht="15.75" thickBot="1">
      <c r="A38" s="1130" t="s">
        <v>803</v>
      </c>
      <c r="B38" s="322">
        <f>B36-B37-B39</f>
        <v>145.642</v>
      </c>
      <c r="C38" s="1037" t="s">
        <v>10</v>
      </c>
      <c r="D38" s="1035" t="s">
        <v>10</v>
      </c>
      <c r="E38" s="121"/>
      <c r="F38" s="121"/>
      <c r="G38" s="121"/>
      <c r="H38" s="121"/>
      <c r="I38" s="1236" t="s">
        <v>464</v>
      </c>
      <c r="J38" s="547"/>
      <c r="K38" s="1252"/>
      <c r="L38" s="592" t="s">
        <v>471</v>
      </c>
      <c r="M38" s="121"/>
      <c r="N38" s="1105"/>
      <c r="O38" s="1257"/>
    </row>
    <row r="39" spans="1:15" ht="16.5" thickBot="1">
      <c r="A39" s="1131" t="s">
        <v>804</v>
      </c>
      <c r="B39" s="1241">
        <f>F24</f>
        <v>34</v>
      </c>
      <c r="C39" s="1059"/>
      <c r="D39" s="1123" t="s">
        <v>10</v>
      </c>
      <c r="E39" s="121"/>
      <c r="F39" s="121"/>
      <c r="G39" s="121"/>
      <c r="H39" s="121"/>
      <c r="I39" s="1237" t="s">
        <v>465</v>
      </c>
      <c r="J39" s="582"/>
      <c r="K39" s="1254"/>
      <c r="L39" s="549" t="s">
        <v>222</v>
      </c>
      <c r="M39" s="428"/>
      <c r="N39" s="428"/>
      <c r="O39" s="430"/>
    </row>
    <row r="40" spans="1:15" ht="16.5" thickBot="1">
      <c r="A40" s="1136" t="s">
        <v>2</v>
      </c>
      <c r="B40" s="1242">
        <f>B37+B38+B39</f>
        <v>179.642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792</v>
      </c>
      <c r="K40" s="1192"/>
      <c r="L40" s="1196" t="s">
        <v>793</v>
      </c>
      <c r="M40" s="119"/>
      <c r="N40" s="119" t="s">
        <v>794</v>
      </c>
      <c r="O40" s="1193"/>
    </row>
    <row r="41" spans="1:15" ht="15.75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4"/>
      <c r="K41" s="1194"/>
      <c r="L41" s="1195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4"/>
      <c r="K42" s="592"/>
      <c r="L42" s="1185"/>
    </row>
    <row r="43" spans="1:15">
      <c r="I43" s="121"/>
      <c r="J43" s="1184"/>
      <c r="K43" s="592"/>
      <c r="L43" s="1185"/>
    </row>
    <row r="44" spans="1:15">
      <c r="I44" s="121"/>
      <c r="J44" s="8"/>
      <c r="K44" s="8"/>
      <c r="L44" s="118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MON</v>
      </c>
      <c r="G1" s="1246">
        <f>Weather_Input!A5</f>
        <v>37053</v>
      </c>
      <c r="H1" s="587" t="s">
        <v>256</v>
      </c>
      <c r="I1" s="591"/>
    </row>
    <row r="2" spans="1:9" ht="20.25">
      <c r="A2" s="638" t="s">
        <v>10</v>
      </c>
      <c r="B2" s="786" t="s">
        <v>551</v>
      </c>
      <c r="C2" s="945">
        <v>78.7</v>
      </c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0.25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87</v>
      </c>
      <c r="C4" s="754">
        <f>Weather_Input!C5</f>
        <v>64</v>
      </c>
      <c r="D4" s="648"/>
      <c r="E4" s="649"/>
      <c r="F4" s="648"/>
      <c r="G4" s="649"/>
      <c r="H4" s="650"/>
      <c r="I4" s="651"/>
    </row>
    <row r="5" spans="1:9" ht="24" thickBot="1">
      <c r="A5" s="652" t="s">
        <v>137</v>
      </c>
      <c r="B5" s="653"/>
      <c r="C5" s="654">
        <f>NSG_Deliveries!C5/1000</f>
        <v>36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4" thickBot="1">
      <c r="A7" s="662" t="s">
        <v>85</v>
      </c>
      <c r="B7" s="653"/>
      <c r="C7" s="759">
        <f>C5-C9-C11-C12</f>
        <v>0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9.1750000000000007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3.25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3.25">
      <c r="A12" s="673" t="s">
        <v>497</v>
      </c>
      <c r="B12" s="674"/>
      <c r="C12" s="675">
        <f>+C5-C9</f>
        <v>26.824999999999999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4" thickBot="1">
      <c r="A19" s="699" t="s">
        <v>426</v>
      </c>
      <c r="B19" s="700"/>
      <c r="C19" s="701">
        <f>C7+C12</f>
        <v>26.824999999999999</v>
      </c>
      <c r="D19" s="702"/>
      <c r="E19" s="703"/>
      <c r="F19" s="702"/>
      <c r="G19" s="702" t="s">
        <v>10</v>
      </c>
      <c r="H19" s="700"/>
      <c r="I19" s="704"/>
    </row>
    <row r="20" spans="1:9" ht="20.25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25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25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25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5" t="s">
        <v>434</v>
      </c>
      <c r="B24" s="713"/>
      <c r="C24" s="707">
        <f>NSG_Requirements!H7/1000</f>
        <v>2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25">
      <c r="A25" s="705" t="s">
        <v>435</v>
      </c>
      <c r="B25" s="710"/>
      <c r="C25" s="707">
        <f>-NSG_Supplies!F7/1000</f>
        <v>0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25">
      <c r="A26" s="705" t="s">
        <v>195</v>
      </c>
      <c r="B26" s="713"/>
      <c r="C26" s="707">
        <f>-NSG_Supplies!R7/1000</f>
        <v>-28.827999999999999</v>
      </c>
      <c r="D26" s="714"/>
      <c r="E26" s="707">
        <f>-NSG_Supplies!R7/1000</f>
        <v>-28.827999999999999</v>
      </c>
      <c r="F26" s="714"/>
      <c r="G26" s="707">
        <f>-NSG_Supplies!R7/1000</f>
        <v>-28.827999999999999</v>
      </c>
      <c r="H26" s="713"/>
      <c r="I26" s="770">
        <f>-NSG_Supplies!R7/1000</f>
        <v>-28.827999999999999</v>
      </c>
    </row>
    <row r="27" spans="1:9" ht="20.25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0.25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25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25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25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25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25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25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25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25">
      <c r="A41" s="705" t="s">
        <v>505</v>
      </c>
      <c r="B41" s="814">
        <f>NSG_Requirements!J7/1000</f>
        <v>6.04</v>
      </c>
      <c r="C41" s="714"/>
      <c r="D41" s="732"/>
      <c r="E41" s="715"/>
      <c r="F41" s="639"/>
      <c r="G41" s="711"/>
      <c r="H41" s="711"/>
      <c r="I41" s="730"/>
    </row>
    <row r="42" spans="1:9" ht="20.25">
      <c r="A42" s="705" t="s">
        <v>506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25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25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15.215</v>
      </c>
      <c r="C45" s="639"/>
      <c r="D45" s="742"/>
      <c r="E45" s="743"/>
      <c r="F45" s="639"/>
      <c r="G45" s="711"/>
      <c r="H45" s="711"/>
      <c r="I45" s="730"/>
    </row>
    <row r="46" spans="1:9" ht="21" thickBot="1">
      <c r="A46" s="737" t="s">
        <v>503</v>
      </c>
      <c r="B46" s="816">
        <f>B45+B42-B41</f>
        <v>9.1750000000000007</v>
      </c>
      <c r="C46" s="745"/>
      <c r="D46" s="744"/>
      <c r="E46" s="746"/>
      <c r="F46" s="639"/>
      <c r="G46" s="711"/>
      <c r="H46" s="711"/>
      <c r="I46" s="730"/>
    </row>
    <row r="47" spans="1:9" ht="2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25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25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25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25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37053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87</v>
      </c>
      <c r="C5" s="264">
        <f>Weather_Input!C5</f>
        <v>64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215</v>
      </c>
      <c r="C8" s="272">
        <f>NSG_Deliveries!C5/1000</f>
        <v>36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138.66300000000001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15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2.1599999999999966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0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4.3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-161.12300000000002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53.876999999999981</v>
      </c>
      <c r="C20" s="293">
        <f>C8+C18+C19</f>
        <v>36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1.8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55.676999999999978</v>
      </c>
      <c r="C23" s="299">
        <f>C20</f>
        <v>36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0.72</v>
      </c>
      <c r="C27" s="308">
        <f>NSG_Requirements!P7/1000</f>
        <v>0</v>
      </c>
      <c r="D27" s="308">
        <f>PGL_Requirements!R7/1000</f>
        <v>0.72</v>
      </c>
      <c r="E27" s="308">
        <f>NSG_Requirements!P7/1000</f>
        <v>0</v>
      </c>
      <c r="F27" s="308">
        <f>PGL_Requirements!R7/1000</f>
        <v>0.72</v>
      </c>
      <c r="G27" s="308">
        <f>NSG_Requirements!P7/1000</f>
        <v>0</v>
      </c>
      <c r="H27" s="309">
        <f>+B27</f>
        <v>0.72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-50.984999999999999</v>
      </c>
      <c r="C32" s="313">
        <f>-NSG_Supplies!R7/1000</f>
        <v>-28.827999999999999</v>
      </c>
      <c r="D32" s="313">
        <f>B32</f>
        <v>-50.984999999999999</v>
      </c>
      <c r="E32" s="313">
        <f>C32</f>
        <v>-28.827999999999999</v>
      </c>
      <c r="F32" s="313">
        <f>B32</f>
        <v>-50.984999999999999</v>
      </c>
      <c r="G32" s="313">
        <f>C32</f>
        <v>-28.827999999999999</v>
      </c>
      <c r="H32" s="318">
        <f>B32</f>
        <v>-50.984999999999999</v>
      </c>
      <c r="I32" s="319">
        <f>C32</f>
        <v>-28.827999999999999</v>
      </c>
    </row>
    <row r="33" spans="1:9" ht="17.100000000000001" customHeight="1">
      <c r="A33" s="317" t="s">
        <v>391</v>
      </c>
      <c r="B33" s="313">
        <f>-PGL_Supplies!X7/1000</f>
        <v>-0.3</v>
      </c>
      <c r="C33" s="313">
        <f>-NSG_Supplies!S7/1000</f>
        <v>-16.954000000000001</v>
      </c>
      <c r="D33" s="313">
        <f>B33</f>
        <v>-0.3</v>
      </c>
      <c r="E33" s="313">
        <f>C33</f>
        <v>-16.954000000000001</v>
      </c>
      <c r="F33" s="313">
        <f>B33</f>
        <v>-0.3</v>
      </c>
      <c r="G33" s="313">
        <f>C33</f>
        <v>-16.954000000000001</v>
      </c>
      <c r="H33" s="318">
        <f>B33</f>
        <v>-0.3</v>
      </c>
      <c r="I33" s="319">
        <f>C33</f>
        <v>-16.954000000000001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0</v>
      </c>
      <c r="C35" s="308">
        <f>NSG_Requirements!H7/1000</f>
        <v>2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-8.1300000000000008</v>
      </c>
      <c r="C36" s="313">
        <f>-NSG_Supplies!F7/1000</f>
        <v>0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120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1.8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1.8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138.66300000000001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0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0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138.66300000000001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0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0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0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106.16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16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120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0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2.1599999999999966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MON</v>
      </c>
      <c r="H73" s="404">
        <f>Weather_Input!A5</f>
        <v>37053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75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75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5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5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0</v>
      </c>
      <c r="D97" s="600"/>
      <c r="E97" s="612">
        <f>+C97</f>
        <v>0</v>
      </c>
      <c r="F97" s="600"/>
      <c r="G97" s="612">
        <f>+C97</f>
        <v>0</v>
      </c>
      <c r="H97" s="600"/>
      <c r="I97" s="283">
        <f>+C97</f>
        <v>0</v>
      </c>
    </row>
    <row r="98" spans="1:9" ht="15">
      <c r="A98" s="491" t="s">
        <v>59</v>
      </c>
      <c r="B98" s="280" t="s">
        <v>10</v>
      </c>
      <c r="C98" s="621">
        <f>B149</f>
        <v>1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138.66300000000001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122.16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0</v>
      </c>
      <c r="D103" s="618"/>
      <c r="E103" s="267"/>
      <c r="F103" s="600"/>
      <c r="G103" s="267"/>
      <c r="H103" s="600"/>
      <c r="I103" s="265"/>
    </row>
    <row r="104" spans="1:9" ht="15.75" thickBot="1">
      <c r="A104" s="290" t="s">
        <v>108</v>
      </c>
      <c r="B104" s="613" t="s">
        <v>10</v>
      </c>
      <c r="C104" s="621">
        <f>PGL_Supplies!B7/1000</f>
        <v>4.3</v>
      </c>
      <c r="D104" s="599"/>
      <c r="E104" s="267"/>
      <c r="F104" s="600"/>
      <c r="G104" s="267"/>
      <c r="H104" s="600"/>
      <c r="I104" s="265"/>
    </row>
    <row r="105" spans="1:9" ht="16.5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5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0.2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75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5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75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75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-0.2</v>
      </c>
      <c r="C116" s="417">
        <f>-NSG_Supplies!W7/1000</f>
        <v>0</v>
      </c>
      <c r="D116" s="313">
        <f>-PGL_Supplies!Z7/1000</f>
        <v>-0.2</v>
      </c>
      <c r="E116" s="313">
        <f>-NSG_Supplies!W7/1000</f>
        <v>0</v>
      </c>
      <c r="F116" s="313">
        <f>-PGL_Supplies!Z7/1000</f>
        <v>-0.2</v>
      </c>
      <c r="G116" s="313">
        <f>-NSG_Supplies!W7/1000</f>
        <v>0</v>
      </c>
      <c r="H116" s="318">
        <f>-PGL_Supplies!Z7/1000</f>
        <v>-0.2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75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75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75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-0.3</v>
      </c>
      <c r="C123" s="313">
        <f>-NSG_Supplies!S7/1000</f>
        <v>-16.954000000000001</v>
      </c>
      <c r="D123" s="311"/>
      <c r="E123" s="311"/>
      <c r="F123" s="311"/>
      <c r="G123" s="311"/>
      <c r="H123" s="315"/>
      <c r="I123" s="316"/>
    </row>
    <row r="124" spans="1:9" ht="16.5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0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0.2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0.2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75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5" thickBot="1">
      <c r="A133" s="557" t="s">
        <v>441</v>
      </c>
      <c r="B133" s="564">
        <f>B126+B127+B130+B131+B132-B125-B128-B129</f>
        <v>0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5.75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0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75" thickBot="1">
      <c r="A140" s="423" t="s">
        <v>391</v>
      </c>
      <c r="B140" s="322">
        <f>PGL_Supplies!V7/1000</f>
        <v>138.66300000000001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5" thickBot="1">
      <c r="A141" s="557" t="s">
        <v>441</v>
      </c>
      <c r="B141" s="559">
        <f>-B135+B136+B137-B138+B139+B140</f>
        <v>138.66300000000001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5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120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75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75" thickBot="1">
      <c r="A146" s="423" t="s">
        <v>448</v>
      </c>
      <c r="B146" s="322">
        <f>PGL_Supplies!H7/1000</f>
        <v>1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5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75" thickBot="1">
      <c r="A148" s="423" t="s">
        <v>449</v>
      </c>
      <c r="B148" s="322">
        <f>PGL_Requirements!Q7/1000</f>
        <v>1.8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5" thickBot="1">
      <c r="A149" s="516" t="s">
        <v>450</v>
      </c>
      <c r="B149" s="517">
        <f>B144+B146</f>
        <v>1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75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5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5.75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0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75" thickBot="1">
      <c r="A156" s="423" t="s">
        <v>454</v>
      </c>
      <c r="B156" s="322">
        <f>PGL_Supplies!G7/1000</f>
        <v>12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75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75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5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75" thickBot="1">
      <c r="A160" s="423" t="s">
        <v>391</v>
      </c>
      <c r="B160" s="609">
        <f>PGL_Supplies!Y7/1000</f>
        <v>106.16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5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5" thickBot="1">
      <c r="A162" s="397" t="s">
        <v>450</v>
      </c>
      <c r="B162" s="610">
        <f>B154+B156+B158+B159+B160-B153-B155-B157-B161</f>
        <v>122.16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.75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75">
      <c r="D11" s="196" t="s">
        <v>262</v>
      </c>
    </row>
    <row r="12" spans="1:10" ht="15.75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37054.172403356482</v>
      </c>
      <c r="F22" s="163" t="s">
        <v>269</v>
      </c>
      <c r="G22" s="190">
        <f ca="1">NOW()</f>
        <v>37054.172403356482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75" thickBot="1"/>
    <row r="26" spans="2:9" ht="15.75" thickBot="1">
      <c r="B26" s="208" t="s">
        <v>10</v>
      </c>
      <c r="C26" s="163" t="s">
        <v>273</v>
      </c>
    </row>
    <row r="27" spans="2:9" ht="15.75" thickBot="1">
      <c r="B27" s="208" t="s">
        <v>10</v>
      </c>
      <c r="C27" s="163" t="s">
        <v>274</v>
      </c>
    </row>
    <row r="28" spans="2:9" ht="15.75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75">
      <c r="B34" s="163" t="s">
        <v>276</v>
      </c>
      <c r="E34" s="189">
        <v>0</v>
      </c>
      <c r="F34" t="s">
        <v>277</v>
      </c>
    </row>
    <row r="36" spans="2:8" ht="15.75">
      <c r="B36" s="163" t="s">
        <v>278</v>
      </c>
      <c r="E36" s="189">
        <v>0</v>
      </c>
      <c r="F36" t="s">
        <v>277</v>
      </c>
    </row>
    <row r="38" spans="2:8" ht="15.75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75">
      <c r="E39" s="165">
        <f>+E38+1</f>
        <v>35917</v>
      </c>
      <c r="F39" s="189">
        <v>0</v>
      </c>
      <c r="G39" t="s">
        <v>277</v>
      </c>
    </row>
    <row r="40" spans="2:8" ht="15.75">
      <c r="E40" s="165">
        <f>+E39+1</f>
        <v>35918</v>
      </c>
      <c r="F40" s="189">
        <v>0</v>
      </c>
      <c r="G40" t="s">
        <v>277</v>
      </c>
    </row>
    <row r="41" spans="2:8" ht="15.75">
      <c r="E41" s="165">
        <f>+E40+1</f>
        <v>35919</v>
      </c>
      <c r="F41" s="189">
        <v>0</v>
      </c>
      <c r="G41" t="s">
        <v>277</v>
      </c>
    </row>
    <row r="42" spans="2:8" ht="15.75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37053</v>
      </c>
      <c r="C5" s="15"/>
      <c r="D5" s="22" t="s">
        <v>287</v>
      </c>
      <c r="E5" s="23">
        <f>Weather_Input!B5</f>
        <v>87</v>
      </c>
      <c r="F5" s="24" t="s">
        <v>288</v>
      </c>
      <c r="G5" s="25">
        <f>Weather_Input!H5</f>
        <v>0</v>
      </c>
      <c r="H5" s="26" t="s">
        <v>289</v>
      </c>
      <c r="I5" s="27">
        <f ca="1">G5-(VLOOKUP(B5,DD_Normal_Data,CELL("Col",B6),FALSE))</f>
        <v>-3</v>
      </c>
    </row>
    <row r="6" spans="1:109" ht="15">
      <c r="A6" s="18"/>
      <c r="B6" s="21"/>
      <c r="C6" s="15"/>
      <c r="D6" s="22" t="s">
        <v>174</v>
      </c>
      <c r="E6" s="23">
        <f>Weather_Input!C5</f>
        <v>64</v>
      </c>
      <c r="F6" s="24" t="s">
        <v>290</v>
      </c>
      <c r="G6" s="25">
        <f>Weather_Input!F5</f>
        <v>77</v>
      </c>
      <c r="H6" s="26" t="s">
        <v>291</v>
      </c>
      <c r="I6" s="27">
        <f ca="1">G6-(VLOOKUP(B5,DD_Normal_Data,CELL("Col",C7),FALSE))</f>
        <v>41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75.5</v>
      </c>
      <c r="F7" s="24" t="s">
        <v>293</v>
      </c>
      <c r="G7" s="25">
        <f>Weather_Input!G5</f>
        <v>6689</v>
      </c>
      <c r="H7" s="26" t="s">
        <v>293</v>
      </c>
      <c r="I7" s="122">
        <f ca="1">G7-(VLOOKUP(B5,DD_Normal_Data,CELL("Col",D4),FALSE))</f>
        <v>277</v>
      </c>
      <c r="J7" s="122"/>
    </row>
    <row r="8" spans="1:109" ht="15">
      <c r="A8" s="18"/>
      <c r="B8" s="20"/>
      <c r="C8" s="15"/>
      <c r="D8" s="32" t="str">
        <f>IF(Weather_Input!I5=""," ",Weather_Input!I5)</f>
        <v>PARTLY CLOUDY. HIGH IN THE UPPER 80S. COOLER NEAR THE LAKE.WINDS 5 TO 10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MPH. TONIGHT… PARTLY CLOUDY. LOW IN THE UPPER 60S . SW WINDS 10 T0 15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37054</v>
      </c>
      <c r="C10" s="15"/>
      <c r="D10" s="152" t="s">
        <v>287</v>
      </c>
      <c r="E10" s="23">
        <f>Weather_Input!B6</f>
        <v>90</v>
      </c>
      <c r="F10" s="24" t="s">
        <v>288</v>
      </c>
      <c r="G10" s="25">
        <f>IF(E12&lt;65,65-(Weather_Input!B6+Weather_Input!C6)/2,0)</f>
        <v>0</v>
      </c>
      <c r="H10" s="26" t="s">
        <v>289</v>
      </c>
      <c r="I10" s="27">
        <f ca="1">G10-(VLOOKUP(B10,DD_Normal_Data,CELL("Col",B11),FALSE))</f>
        <v>-2</v>
      </c>
    </row>
    <row r="11" spans="1:109" ht="15">
      <c r="A11" s="18"/>
      <c r="B11" s="21"/>
      <c r="C11" s="15"/>
      <c r="D11" s="22" t="s">
        <v>174</v>
      </c>
      <c r="E11" s="23">
        <f>Weather_Input!C6</f>
        <v>70</v>
      </c>
      <c r="F11" s="24" t="s">
        <v>290</v>
      </c>
      <c r="G11" s="25">
        <f>IF(DAY(B10)=1,G10,G6+G10)</f>
        <v>77</v>
      </c>
      <c r="H11" s="30" t="s">
        <v>291</v>
      </c>
      <c r="I11" s="27">
        <f ca="1">G11-(VLOOKUP(B10,DD_Normal_Data,CELL("Col",C12),FALSE))</f>
        <v>39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80</v>
      </c>
      <c r="F12" s="24" t="s">
        <v>293</v>
      </c>
      <c r="G12" s="25">
        <f>IF(AND(DAY(B10)=1,MONTH(B10)=8),G10,G7+G10)</f>
        <v>6689</v>
      </c>
      <c r="H12" s="26" t="s">
        <v>293</v>
      </c>
      <c r="I12" s="27">
        <f ca="1">G12-(VLOOKUP(B10,DD_Normal_Data,CELL("Col",D9),FALSE))</f>
        <v>275</v>
      </c>
    </row>
    <row r="13" spans="1:109" ht="15">
      <c r="A13" s="18"/>
      <c r="B13" s="21"/>
      <c r="C13" s="15"/>
      <c r="D13" s="32" t="str">
        <f>IF(Weather_Input!I6=""," ",Weather_Input!I6)</f>
        <v xml:space="preserve">PARTLY CLOUDY. HIGH AROUND 90. PARTLY CLOUDY AT NIGHT WITH LOWS IN THE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LOWER 70S.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37055</v>
      </c>
      <c r="C15" s="15"/>
      <c r="D15" s="22" t="s">
        <v>287</v>
      </c>
      <c r="E15" s="23">
        <f>Weather_Input!B7</f>
        <v>90</v>
      </c>
      <c r="F15" s="24" t="s">
        <v>288</v>
      </c>
      <c r="G15" s="25">
        <f>IF(E17&lt;65,65-(Weather_Input!B7+Weather_Input!C7)/2,0)</f>
        <v>0</v>
      </c>
      <c r="H15" s="26" t="s">
        <v>289</v>
      </c>
      <c r="I15" s="27">
        <f ca="1">G15-(VLOOKUP(B15,DD_Normal_Data,CELL("Col",B16),FALSE))</f>
        <v>-2</v>
      </c>
    </row>
    <row r="16" spans="1:109" ht="15">
      <c r="A16" s="18"/>
      <c r="B16" s="20"/>
      <c r="C16" s="15"/>
      <c r="D16" s="22" t="s">
        <v>174</v>
      </c>
      <c r="E16" s="23">
        <f>Weather_Input!C7</f>
        <v>69</v>
      </c>
      <c r="F16" s="24" t="s">
        <v>290</v>
      </c>
      <c r="G16" s="25">
        <f>IF(DAY(B15)=1,G15,G11+G15)</f>
        <v>77</v>
      </c>
      <c r="H16" s="30" t="s">
        <v>291</v>
      </c>
      <c r="I16" s="27">
        <f ca="1">G16-(VLOOKUP(B15,DD_Normal_Data,CELL("Col",C17),FALSE))</f>
        <v>37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79.5</v>
      </c>
      <c r="F17" s="24" t="s">
        <v>293</v>
      </c>
      <c r="G17" s="25">
        <f>IF(AND(DAY(B15)=1,MONTH(B15)=8),G15,G12+G15)</f>
        <v>6689</v>
      </c>
      <c r="H17" s="26" t="s">
        <v>293</v>
      </c>
      <c r="I17" s="27">
        <f ca="1">G17-(VLOOKUP(B15,DD_Normal_Data,CELL("Col",D14),FALSE))</f>
        <v>273</v>
      </c>
    </row>
    <row r="18" spans="1:109" ht="15">
      <c r="A18" s="18"/>
      <c r="B18" s="20"/>
      <c r="C18" s="15"/>
      <c r="D18" s="32" t="str">
        <f>IF(Weather_Input!I7=""," ",Weather_Input!I7)</f>
        <v xml:space="preserve">PARTLY CLOUDY. HIGH IN THE UPPER 80S.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37056</v>
      </c>
      <c r="C20" s="15"/>
      <c r="D20" s="22" t="s">
        <v>287</v>
      </c>
      <c r="E20" s="23">
        <f>Weather_Input!B8</f>
        <v>85</v>
      </c>
      <c r="F20" s="24" t="s">
        <v>288</v>
      </c>
      <c r="G20" s="25">
        <f>IF(E22&lt;65,65-(Weather_Input!B8+Weather_Input!C8)/2,0)</f>
        <v>0</v>
      </c>
      <c r="H20" s="26" t="s">
        <v>289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174</v>
      </c>
      <c r="E21" s="23">
        <f>Weather_Input!C8</f>
        <v>61</v>
      </c>
      <c r="F21" s="24" t="s">
        <v>290</v>
      </c>
      <c r="G21" s="25">
        <f>IF(DAY(B20)=1,G20,G16+G20)</f>
        <v>77</v>
      </c>
      <c r="H21" s="30" t="s">
        <v>291</v>
      </c>
      <c r="I21" s="27">
        <f ca="1">G21-(VLOOKUP(B20,DD_Normal_Data,CELL("Col",C22),FALSE))</f>
        <v>36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73</v>
      </c>
      <c r="F22" s="24" t="s">
        <v>293</v>
      </c>
      <c r="G22" s="25">
        <f>IF(AND(DAY(B20)=1,MONTH(B20)=8),G20,G17+G20)</f>
        <v>6689</v>
      </c>
      <c r="H22" s="26" t="s">
        <v>293</v>
      </c>
      <c r="I22" s="27">
        <f ca="1">G22-(VLOOKUP(B20,DD_Normal_Data,CELL("Col",D19),FALSE))</f>
        <v>272</v>
      </c>
    </row>
    <row r="23" spans="1:109" ht="15">
      <c r="A23" s="18"/>
      <c r="B23" s="21"/>
      <c r="C23" s="15"/>
      <c r="D23" s="32" t="str">
        <f>IF(Weather_Input!I8=""," ",Weather_Input!I8)</f>
        <v>A CHANCE OF T'STORMS. LOW IN THE UPPER 60S. HIGH IN THE LOWER 80S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37057</v>
      </c>
      <c r="C25" s="15"/>
      <c r="D25" s="22" t="s">
        <v>287</v>
      </c>
      <c r="E25" s="23">
        <f>Weather_Input!B9</f>
        <v>78</v>
      </c>
      <c r="F25" s="24" t="s">
        <v>288</v>
      </c>
      <c r="G25" s="25">
        <f>IF(E27&lt;65,65-(Weather_Input!B9+Weather_Input!C9)/2,0)</f>
        <v>0</v>
      </c>
      <c r="H25" s="26" t="s">
        <v>289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174</v>
      </c>
      <c r="E26" s="23">
        <f>Weather_Input!C9</f>
        <v>58</v>
      </c>
      <c r="F26" s="24" t="s">
        <v>290</v>
      </c>
      <c r="G26" s="25">
        <f>IF(DAY(B25)=1,G25,G21+G25)</f>
        <v>77</v>
      </c>
      <c r="H26" s="30" t="s">
        <v>291</v>
      </c>
      <c r="I26" s="27">
        <f ca="1">G26-(VLOOKUP(B25,DD_Normal_Data,CELL("Col",C27),FALSE))</f>
        <v>35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68</v>
      </c>
      <c r="F27" s="24" t="s">
        <v>293</v>
      </c>
      <c r="G27" s="25">
        <f>IF(AND(DAY(B25)=1,MONTH(B25)=8),G25,G22+G25)</f>
        <v>6689</v>
      </c>
      <c r="H27" s="26" t="s">
        <v>293</v>
      </c>
      <c r="I27" s="27">
        <f ca="1">G27-(VLOOKUP(B25,DD_Normal_Data,CELL("Col",D24),FALSE))</f>
        <v>271</v>
      </c>
    </row>
    <row r="28" spans="1:109" ht="15">
      <c r="A28" s="18"/>
      <c r="B28" s="20"/>
      <c r="C28" s="15"/>
      <c r="D28" s="32" t="str">
        <f>IF(Weather_Input!I9=""," ",Weather_Input!I9)</f>
        <v xml:space="preserve">PARTLY CLOUDY. CHANCE OF MORNING SHOWERS AND T-STORMS. LOW IN THE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>LOWER 60S . HIGH NEAR 80.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37058</v>
      </c>
      <c r="C30" s="15"/>
      <c r="D30" s="22" t="s">
        <v>287</v>
      </c>
      <c r="E30" s="23">
        <f>Weather_Input!B10</f>
        <v>78</v>
      </c>
      <c r="F30" s="24" t="s">
        <v>288</v>
      </c>
      <c r="G30" s="25">
        <f>IF(E32&lt;65,65-(Weather_Input!B10+Weather_Input!C10)/2,0)</f>
        <v>0</v>
      </c>
      <c r="H30" s="26" t="s">
        <v>289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174</v>
      </c>
      <c r="E31" s="23">
        <f>Weather_Input!C10</f>
        <v>58</v>
      </c>
      <c r="F31" s="24" t="s">
        <v>290</v>
      </c>
      <c r="G31" s="25">
        <f>IF(DAY(B30)=1,G30,G26+G30)</f>
        <v>77</v>
      </c>
      <c r="H31" s="30" t="s">
        <v>291</v>
      </c>
      <c r="I31" s="27">
        <f ca="1">G31-(VLOOKUP(B30,DD_Normal_Data,CELL("Col",C32),FALSE))</f>
        <v>34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68</v>
      </c>
      <c r="F32" s="24" t="s">
        <v>293</v>
      </c>
      <c r="G32" s="25">
        <f>IF(AND(DAY(B30)=1,MONTH(B30)=8),G30,G27+G30)</f>
        <v>6689</v>
      </c>
      <c r="H32" s="26" t="s">
        <v>293</v>
      </c>
      <c r="I32" s="27">
        <f ca="1">G32-(VLOOKUP(B30,DD_Normal_Data,CELL("Col",D29),FALSE))</f>
        <v>270</v>
      </c>
    </row>
    <row r="33" spans="1:9" ht="15">
      <c r="A33" s="15"/>
      <c r="B33" s="34"/>
      <c r="C33" s="15"/>
      <c r="D33" s="32" t="str">
        <f>IF(Weather_Input!I10=""," ",Weather_Input!I10)</f>
        <v xml:space="preserve">PARTLY CLOUDY. CHANCE OF MORNING SHOWERS AND T-STORMS. LOW IN THE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>LOWER 60S . HIGH NEAR 80.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37053</v>
      </c>
      <c r="C36" s="91">
        <f>B10</f>
        <v>37054</v>
      </c>
      <c r="D36" s="91">
        <f>B15</f>
        <v>37055</v>
      </c>
      <c r="E36" s="91">
        <f xml:space="preserve">       B20</f>
        <v>37056</v>
      </c>
      <c r="F36" s="91">
        <f>B25</f>
        <v>37057</v>
      </c>
      <c r="G36" s="91">
        <f>B30</f>
        <v>37058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215</v>
      </c>
      <c r="C37" s="41">
        <f ca="1">(VLOOKUP(C36,PGL_Sendouts,(CELL("COL",PGL_Deliveries!C7))))/1000</f>
        <v>220</v>
      </c>
      <c r="D37" s="41">
        <f ca="1">(VLOOKUP(D36,PGL_Sendouts,(CELL("COL",PGL_Deliveries!C8))))/1000</f>
        <v>220</v>
      </c>
      <c r="E37" s="41">
        <f ca="1">(VLOOKUP(E36,PGL_Sendouts,(CELL("COL",PGL_Deliveries!C9))))/1000</f>
        <v>220</v>
      </c>
      <c r="F37" s="41">
        <f ca="1">(VLOOKUP(F36,PGL_Sendouts,(CELL("COL",PGL_Deliveries!C10))))/1000</f>
        <v>215</v>
      </c>
      <c r="G37" s="41">
        <f ca="1">(VLOOKUP(G36,PGL_Sendouts,(CELL("COL",PGL_Deliveries!C10))))/1000</f>
        <v>195</v>
      </c>
      <c r="H37" s="14"/>
      <c r="I37" s="15"/>
    </row>
    <row r="38" spans="1:9" ht="15">
      <c r="A38" s="15" t="s">
        <v>298</v>
      </c>
      <c r="B38" s="41">
        <f>PGL_6_Day_Report!D30</f>
        <v>387.52000000000004</v>
      </c>
      <c r="C38" s="41">
        <f>PGL_6_Day_Report!E30</f>
        <v>370.67350000000005</v>
      </c>
      <c r="D38" s="41">
        <f>PGL_6_Day_Report!F30</f>
        <v>357.745</v>
      </c>
      <c r="E38" s="41">
        <f>PGL_6_Day_Report!G30</f>
        <v>357.745</v>
      </c>
      <c r="F38" s="41">
        <f>PGL_6_Day_Report!H30</f>
        <v>352.745</v>
      </c>
      <c r="G38" s="41">
        <f>PGL_6_Day_Report!I30</f>
        <v>332.745</v>
      </c>
      <c r="H38" s="14"/>
      <c r="I38" s="15"/>
    </row>
    <row r="39" spans="1:9" ht="15">
      <c r="A39" s="42" t="s">
        <v>107</v>
      </c>
      <c r="B39" s="41">
        <f>SUM(PGL_Supplies!Z7:AE7)/1000</f>
        <v>223.46</v>
      </c>
      <c r="C39" s="41">
        <f>SUM(PGL_Supplies!Z8:AE8)/1000</f>
        <v>218.589</v>
      </c>
      <c r="D39" s="41">
        <f>SUM(PGL_Supplies!Z9:AE9)/1000</f>
        <v>222.589</v>
      </c>
      <c r="E39" s="41">
        <f>SUM(PGL_Supplies!Z10:AE10)/1000</f>
        <v>222.589</v>
      </c>
      <c r="F39" s="41">
        <f>SUM(PGL_Supplies!Z11:AE11)/1000</f>
        <v>222.589</v>
      </c>
      <c r="G39" s="41">
        <f>SUM(PGL_Supplies!Z12:AE12)/1000</f>
        <v>222.589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0.72</v>
      </c>
      <c r="C41" s="41">
        <f>SUM(PGL_Requirements!R7:U7)/1000</f>
        <v>0.72</v>
      </c>
      <c r="D41" s="41">
        <f>SUM(PGL_Requirements!R7:U7)/1000</f>
        <v>0.72</v>
      </c>
      <c r="E41" s="41">
        <f>SUM(PGL_Requirements!R7:U7)/1000</f>
        <v>0.72</v>
      </c>
      <c r="F41" s="41">
        <f>SUM(PGL_Requirements!R7:U7)/1000</f>
        <v>0.72</v>
      </c>
      <c r="G41" s="41">
        <f>SUM(PGL_Requirements!R7:U7)/1000</f>
        <v>0.72</v>
      </c>
      <c r="H41" s="14"/>
      <c r="I41" s="15"/>
    </row>
    <row r="42" spans="1:9" ht="15">
      <c r="A42" s="15" t="s">
        <v>130</v>
      </c>
      <c r="B42" s="41">
        <f>PGL_Supplies!V7/1000</f>
        <v>138.66300000000001</v>
      </c>
      <c r="C42" s="41">
        <f>PGL_Supplies!V8/1000</f>
        <v>120.247</v>
      </c>
      <c r="D42" s="41">
        <f>PGL_Supplies!V9/1000</f>
        <v>120.247</v>
      </c>
      <c r="E42" s="41">
        <f>PGL_Supplies!V10/1000</f>
        <v>120.247</v>
      </c>
      <c r="F42" s="41">
        <f>PGL_Supplies!V11/1000</f>
        <v>120.247</v>
      </c>
      <c r="G42" s="41">
        <f>PGL_Supplies!V12/1000</f>
        <v>120.247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37053</v>
      </c>
      <c r="C44" s="91">
        <f t="shared" si="0"/>
        <v>37054</v>
      </c>
      <c r="D44" s="91">
        <f t="shared" si="0"/>
        <v>37055</v>
      </c>
      <c r="E44" s="91">
        <f t="shared" si="0"/>
        <v>37056</v>
      </c>
      <c r="F44" s="91">
        <f t="shared" si="0"/>
        <v>37057</v>
      </c>
      <c r="G44" s="91">
        <f t="shared" si="0"/>
        <v>37058</v>
      </c>
      <c r="H44" s="14"/>
      <c r="I44" s="15"/>
    </row>
    <row r="45" spans="1:9" ht="15">
      <c r="A45" s="15" t="s">
        <v>55</v>
      </c>
      <c r="B45" s="41">
        <f ca="1">NSG_6_Day_Report!D6</f>
        <v>36</v>
      </c>
      <c r="C45" s="41">
        <f ca="1">NSG_6_Day_Report!E6</f>
        <v>38</v>
      </c>
      <c r="D45" s="41">
        <f ca="1">NSG_6_Day_Report!F6</f>
        <v>38</v>
      </c>
      <c r="E45" s="41">
        <f ca="1">NSG_6_Day_Report!G6</f>
        <v>38</v>
      </c>
      <c r="F45" s="41">
        <f ca="1">NSG_6_Day_Report!H6</f>
        <v>36</v>
      </c>
      <c r="G45" s="41">
        <f ca="1">NSG_6_Day_Report!I6</f>
        <v>33</v>
      </c>
      <c r="H45" s="14"/>
      <c r="I45" s="15"/>
    </row>
    <row r="46" spans="1:9" ht="15">
      <c r="A46" s="42" t="s">
        <v>298</v>
      </c>
      <c r="B46" s="41">
        <f ca="1">NSG_6_Day_Report!D19</f>
        <v>44.04</v>
      </c>
      <c r="C46" s="41">
        <f ca="1">NSG_6_Day_Report!E19</f>
        <v>40</v>
      </c>
      <c r="D46" s="41">
        <f ca="1">NSG_6_Day_Report!F19</f>
        <v>40</v>
      </c>
      <c r="E46" s="41">
        <f ca="1">NSG_6_Day_Report!G19</f>
        <v>40</v>
      </c>
      <c r="F46" s="41">
        <f ca="1">NSG_6_Day_Report!H19</f>
        <v>38</v>
      </c>
      <c r="G46" s="41">
        <f ca="1">NSG_6_Day_Report!I19</f>
        <v>35</v>
      </c>
      <c r="H46" s="14"/>
      <c r="I46" s="15"/>
    </row>
    <row r="47" spans="1:9" ht="15">
      <c r="A47" s="42" t="s">
        <v>107</v>
      </c>
      <c r="B47" s="41">
        <f>SUM(NSG_Supplies!P7:R7)/1000</f>
        <v>44.042999999999999</v>
      </c>
      <c r="C47" s="41">
        <f>SUM(NSG_Supplies!P8:R8)/1000</f>
        <v>44.042999999999999</v>
      </c>
      <c r="D47" s="41">
        <f>SUM(NSG_Supplies!P9:R9)/1000</f>
        <v>44.042999999999999</v>
      </c>
      <c r="E47" s="41">
        <f>SUM(NSG_Supplies!P10:R10)/1000</f>
        <v>44.042999999999999</v>
      </c>
      <c r="F47" s="41">
        <f>SUM(NSG_Supplies!P11:R11)/1000</f>
        <v>44.042999999999999</v>
      </c>
      <c r="G47" s="41">
        <f>SUM(NSG_Supplies!P12:R12)/1000</f>
        <v>44.042999999999999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16.954000000000001</v>
      </c>
      <c r="C50" s="41">
        <f>NSG_Supplies!S8/1000</f>
        <v>16.954000000000001</v>
      </c>
      <c r="D50" s="41">
        <f>NSG_Supplies!S9/1000</f>
        <v>16.954000000000001</v>
      </c>
      <c r="E50" s="41">
        <f>NSG_Supplies!S10/1000</f>
        <v>16.954000000000001</v>
      </c>
      <c r="F50" s="41">
        <f>NSG_Supplies!S11/1000</f>
        <v>16.954000000000001</v>
      </c>
      <c r="G50" s="41">
        <f>NSG_Supplies!S12/1000</f>
        <v>16.954000000000001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37053</v>
      </c>
      <c r="C52" s="91">
        <f t="shared" si="1"/>
        <v>37054</v>
      </c>
      <c r="D52" s="91">
        <f t="shared" si="1"/>
        <v>37055</v>
      </c>
      <c r="E52" s="91">
        <f t="shared" si="1"/>
        <v>37056</v>
      </c>
      <c r="F52" s="91">
        <f t="shared" si="1"/>
        <v>37057</v>
      </c>
      <c r="G52" s="91">
        <f t="shared" si="1"/>
        <v>37058</v>
      </c>
      <c r="H52" s="14"/>
      <c r="I52" s="15"/>
    </row>
    <row r="53" spans="1:9" ht="15">
      <c r="A53" s="94" t="s">
        <v>302</v>
      </c>
      <c r="B53" s="41">
        <f>PGL_Requirements!P7/1000</f>
        <v>120</v>
      </c>
      <c r="C53" s="41">
        <f>PGL_Requirements!P8/1000</f>
        <v>100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8" t="s">
        <v>10</v>
      </c>
      <c r="B1" s="97"/>
      <c r="C1" s="97" t="s">
        <v>10</v>
      </c>
      <c r="D1" s="97"/>
      <c r="E1" s="97"/>
      <c r="F1" s="6"/>
    </row>
    <row r="2" spans="1:8" ht="15.75">
      <c r="A2" t="s">
        <v>10</v>
      </c>
      <c r="C2" s="96"/>
      <c r="D2" s="96"/>
      <c r="E2" s="96"/>
      <c r="F2" s="1081"/>
    </row>
    <row r="3" spans="1:8" ht="15.75" thickBot="1">
      <c r="A3" s="98" t="s">
        <v>308</v>
      </c>
    </row>
    <row r="4" spans="1:8">
      <c r="A4" s="99"/>
      <c r="B4" s="1082" t="str">
        <f>Six_Day_Summary!A10</f>
        <v>Tuesday</v>
      </c>
      <c r="C4" s="1083" t="str">
        <f>Six_Day_Summary!A15</f>
        <v>Wednesday</v>
      </c>
      <c r="D4" s="1083" t="str">
        <f>Six_Day_Summary!A20</f>
        <v>Thursday</v>
      </c>
      <c r="E4" s="1083" t="str">
        <f>Six_Day_Summary!A25</f>
        <v>Friday</v>
      </c>
      <c r="F4" s="1084" t="str">
        <f>Six_Day_Summary!A30</f>
        <v>Saturday</v>
      </c>
      <c r="G4" s="100"/>
    </row>
    <row r="5" spans="1:8">
      <c r="A5" s="103" t="s">
        <v>309</v>
      </c>
      <c r="B5" s="1085">
        <f>Weather_Input!A6</f>
        <v>37054</v>
      </c>
      <c r="C5" s="1086">
        <f>Weather_Input!A7</f>
        <v>37055</v>
      </c>
      <c r="D5" s="1086">
        <f>Weather_Input!A8</f>
        <v>37056</v>
      </c>
      <c r="E5" s="1086">
        <f>Weather_Input!A9</f>
        <v>37057</v>
      </c>
      <c r="F5" s="1087">
        <f>Weather_Input!A10</f>
        <v>37058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31.469000000000001</v>
      </c>
      <c r="C6" s="1088">
        <f>PGL_Supplies!AC9/1000+PGL_Supplies!L9/1000-PGL_Requirements!O9/1000+C15-PGL_Requirements!T9/1000</f>
        <v>35.469000000000001</v>
      </c>
      <c r="D6" s="1088">
        <f>PGL_Supplies!AC10/1000+PGL_Supplies!L10/1000-PGL_Requirements!O10/1000+D15-PGL_Requirements!T10/1000</f>
        <v>35.469000000000001</v>
      </c>
      <c r="E6" s="1088">
        <f>PGL_Supplies!AC11/1000+PGL_Supplies!L11/1000-PGL_Requirements!O11/1000+E15-PGL_Requirements!T11/1000</f>
        <v>35.469000000000001</v>
      </c>
      <c r="F6" s="1089">
        <f>PGL_Supplies!AC12/1000+PGL_Supplies!L12/1000-PGL_Requirements!O12/1000+F15-PGL_Requirements!T12/1000</f>
        <v>35.469000000000001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75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5.75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Tuesday</v>
      </c>
      <c r="C21" s="1098" t="str">
        <f t="shared" si="0"/>
        <v>Wednesday</v>
      </c>
      <c r="D21" s="1098" t="str">
        <f t="shared" si="0"/>
        <v>Thursday</v>
      </c>
      <c r="E21" s="1098" t="str">
        <f t="shared" si="0"/>
        <v>Friday</v>
      </c>
      <c r="F21" s="1099" t="str">
        <f t="shared" si="0"/>
        <v>Saturday</v>
      </c>
      <c r="G21" s="100"/>
    </row>
    <row r="22" spans="1:7">
      <c r="A22" s="107" t="s">
        <v>309</v>
      </c>
      <c r="B22" s="1100">
        <f t="shared" si="0"/>
        <v>37054</v>
      </c>
      <c r="C22" s="1100">
        <f t="shared" si="0"/>
        <v>37055</v>
      </c>
      <c r="D22" s="1100">
        <f t="shared" si="0"/>
        <v>37056</v>
      </c>
      <c r="E22" s="1100">
        <f t="shared" si="0"/>
        <v>37057</v>
      </c>
      <c r="F22" s="1101">
        <f t="shared" si="0"/>
        <v>37058</v>
      </c>
      <c r="G22" s="100"/>
    </row>
    <row r="23" spans="1:7">
      <c r="A23" s="100" t="s">
        <v>310</v>
      </c>
      <c r="B23" s="1094">
        <f>NSG_Supplies!R8/1000+NSG_Supplies!F8/1000-NSG_Requirements!H8/1000</f>
        <v>26.827999999999999</v>
      </c>
      <c r="C23" s="1094">
        <f>NSG_Supplies!R9/1000+NSG_Supplies!F9/1000-NSG_Requirements!H9/1000</f>
        <v>26.827999999999999</v>
      </c>
      <c r="D23" s="1094">
        <f>NSG_Supplies!R10/1000+NSG_Supplies!F10/1000-NSG_Requirements!H10/1000</f>
        <v>26.827999999999999</v>
      </c>
      <c r="E23" s="1094">
        <f>NSG_Supplies!R12/1000+NSG_Supplies!F11/1000-NSG_Requirements!H11/1000</f>
        <v>26.827999999999999</v>
      </c>
      <c r="F23" s="1089">
        <f>NSG_Supplies!R12/1000+NSG_Supplies!F12/1000-NSG_Requirements!H12/1000</f>
        <v>26.827999999999999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75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3"/>
      <c r="B1" s="802" t="s">
        <v>379</v>
      </c>
      <c r="C1" s="901">
        <f>Weather_Input!A6</f>
        <v>37054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15.215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0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100</v>
      </c>
      <c r="I4" s="175">
        <f>AVERAGE(H4/1.025)</f>
        <v>97.560975609756099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15.215</v>
      </c>
      <c r="D5" s="436"/>
      <c r="E5" s="438">
        <f>AVERAGE(C5/24)</f>
        <v>0.63395833333333329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4.166666666666667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</f>
        <v>50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182.92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105.101</v>
      </c>
      <c r="D11" s="782"/>
      <c r="E11" s="1071"/>
      <c r="F11" s="433" t="s">
        <v>376</v>
      </c>
      <c r="G11" s="445">
        <f>G8+G10</f>
        <v>232.92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105.101</v>
      </c>
      <c r="D14" s="436"/>
      <c r="E14" s="438">
        <f>AVERAGE(C14/24)</f>
        <v>4.3792083333333336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0.2</v>
      </c>
      <c r="D15" s="60"/>
      <c r="E15" s="160"/>
      <c r="F15" s="776" t="s">
        <v>554</v>
      </c>
      <c r="G15" s="445">
        <f>SUM(G11)-G16-G17</f>
        <v>136.01299999999998</v>
      </c>
      <c r="H15" s="436" t="s">
        <v>10</v>
      </c>
      <c r="I15" s="438">
        <f>AVERAGE(G15/24)</f>
        <v>5.6672083333333321</v>
      </c>
    </row>
    <row r="16" spans="1:11" ht="15.75" customHeight="1" thickTop="1" thickBot="1">
      <c r="B16" s="171" t="s">
        <v>696</v>
      </c>
      <c r="C16" s="153">
        <f>PGL_Supplies!R8/1000</f>
        <v>0</v>
      </c>
      <c r="D16" s="153">
        <f>PGL_Requirements!U8/1000</f>
        <v>0</v>
      </c>
      <c r="E16" s="160"/>
      <c r="F16" s="776" t="s">
        <v>559</v>
      </c>
      <c r="G16" s="446">
        <f>PGL_Requirements!H8/1000</f>
        <v>96.906999999999996</v>
      </c>
      <c r="H16" s="446" t="s">
        <v>10</v>
      </c>
      <c r="I16" s="438">
        <f>AVERAGE(G16/24)</f>
        <v>4.0377916666666662</v>
      </c>
    </row>
    <row r="17" spans="1:9" ht="15.75" customHeight="1" thickTop="1" thickBot="1">
      <c r="B17" s="433" t="s">
        <v>376</v>
      </c>
      <c r="C17" s="445">
        <f>SUM(C15:C16)-SUM(D15:D16)</f>
        <v>0.2</v>
      </c>
      <c r="D17" s="432"/>
      <c r="E17" s="434"/>
      <c r="F17" s="1040" t="s">
        <v>701</v>
      </c>
      <c r="G17" s="1121">
        <v>0</v>
      </c>
      <c r="H17" s="1039"/>
      <c r="I17" s="1122">
        <f>AVERAGE(G17/24)</f>
        <v>0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0.2</v>
      </c>
      <c r="D20" s="439" t="s">
        <v>10</v>
      </c>
      <c r="E20" s="438">
        <f>AVERAGE(C20/24)</f>
        <v>8.3333333333333332E-3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0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0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0</v>
      </c>
      <c r="I24" s="160"/>
    </row>
    <row r="25" spans="1:9" ht="15.75" customHeight="1" thickTop="1" thickBot="1">
      <c r="B25" s="435" t="s">
        <v>548</v>
      </c>
      <c r="C25" s="446">
        <f>C22+C23-D24</f>
        <v>0</v>
      </c>
      <c r="D25" s="436"/>
      <c r="E25" s="438">
        <f>AVERAGE(C25/24)</f>
        <v>0</v>
      </c>
      <c r="F25" s="549" t="s">
        <v>546</v>
      </c>
      <c r="G25" s="897">
        <f>G22+G23-H24+G20</f>
        <v>4</v>
      </c>
      <c r="H25" s="428"/>
      <c r="I25" s="898">
        <f>AVERAGE(G25/24)</f>
        <v>0.16666666666666666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996" customWidth="1"/>
    <col min="2" max="2" width="8.109375" style="996" customWidth="1"/>
    <col min="3" max="3" width="7.88671875" style="996" customWidth="1"/>
    <col min="4" max="4" width="5.88671875" style="996" customWidth="1"/>
    <col min="5" max="5" width="4.44140625" style="996" customWidth="1"/>
    <col min="6" max="6" width="5.21875" style="996" customWidth="1"/>
    <col min="7" max="7" width="9" style="996" customWidth="1"/>
    <col min="8" max="11" width="8.88671875" style="996"/>
    <col min="12" max="12" width="14.88671875" style="996" customWidth="1"/>
    <col min="13" max="13" width="5.6640625" style="996" customWidth="1"/>
    <col min="14" max="16384" width="8.88671875" style="996"/>
  </cols>
  <sheetData>
    <row r="1" spans="1:22" ht="22.5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37054</v>
      </c>
      <c r="I1" s="924"/>
      <c r="J1" s="926"/>
      <c r="K1" s="926"/>
    </row>
    <row r="2" spans="1:22" ht="16.5" customHeight="1">
      <c r="A2" s="944" t="s">
        <v>670</v>
      </c>
      <c r="C2" s="997">
        <v>452</v>
      </c>
      <c r="F2" s="998">
        <v>452</v>
      </c>
      <c r="H2" s="926"/>
      <c r="I2" s="924" t="s">
        <v>672</v>
      </c>
      <c r="J2" s="946">
        <f>NSG_Supplies!Q8/1000</f>
        <v>15.215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15.215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5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5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38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5" customHeight="1">
      <c r="A11" s="946">
        <f>Billy_Sheet!C20</f>
        <v>0.2</v>
      </c>
      <c r="B11" s="1002"/>
      <c r="H11" s="946">
        <f>NSG_Supplies!U8/1000</f>
        <v>0</v>
      </c>
      <c r="K11" s="927" t="s">
        <v>675</v>
      </c>
      <c r="L11" s="952">
        <f>SUM(K4+K17+K19+H11+H9-L9)</f>
        <v>4.0429999999999993</v>
      </c>
      <c r="N11" s="927"/>
      <c r="O11" s="952"/>
      <c r="U11" s="926"/>
      <c r="V11" s="940"/>
    </row>
    <row r="12" spans="1:22" ht="14.45" customHeight="1">
      <c r="A12" s="924" t="s">
        <v>727</v>
      </c>
      <c r="H12" s="946"/>
      <c r="U12" s="926"/>
      <c r="V12" s="946"/>
    </row>
    <row r="13" spans="1:22" ht="14.45" customHeight="1">
      <c r="A13" s="1000">
        <f>PGL_Supplies!Y8/1000</f>
        <v>105.101</v>
      </c>
      <c r="H13" s="946"/>
      <c r="U13" s="926"/>
      <c r="V13" s="946"/>
    </row>
    <row r="14" spans="1:22" ht="14.45" customHeight="1">
      <c r="H14" s="946"/>
      <c r="U14" s="926"/>
      <c r="V14" s="946"/>
    </row>
    <row r="15" spans="1:22" ht="15.6" customHeight="1">
      <c r="B15" s="996" t="s">
        <v>10</v>
      </c>
      <c r="C15" s="1003">
        <v>452</v>
      </c>
      <c r="F15" s="1003">
        <v>350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503</v>
      </c>
      <c r="D18" s="1005"/>
      <c r="E18" s="1005"/>
      <c r="F18" s="998">
        <v>777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26.827999999999999</v>
      </c>
      <c r="N19" s="1008"/>
    </row>
    <row r="20" spans="1:17" ht="17.25" customHeight="1">
      <c r="A20" s="946">
        <f>Billy_Sheet!G15</f>
        <v>136.01299999999998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0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10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4</v>
      </c>
      <c r="B26" s="926"/>
      <c r="C26" s="927"/>
      <c r="D26" s="927"/>
      <c r="F26" s="927"/>
      <c r="G26" s="1007">
        <v>4</v>
      </c>
      <c r="H26" s="927"/>
      <c r="I26" s="927"/>
      <c r="J26" s="927" t="s">
        <v>564</v>
      </c>
      <c r="K26" s="1010">
        <f>PGL_Deliveries!C6/1000</f>
        <v>220</v>
      </c>
      <c r="L26" s="924" t="s">
        <v>674</v>
      </c>
      <c r="M26" s="946">
        <f>NSG_Deliveries!C6/1000</f>
        <v>38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64.406999999999982</v>
      </c>
      <c r="L28" s="927" t="s">
        <v>719</v>
      </c>
      <c r="M28" s="952">
        <f>SUM(J2+K17+K19+H11+H9-M26)</f>
        <v>4.0429999999999993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37053</v>
      </c>
      <c r="G29" s="946">
        <f>PGL_Requirements!H7/1000</f>
        <v>68</v>
      </c>
      <c r="H29" s="925"/>
      <c r="J29" s="927" t="s">
        <v>678</v>
      </c>
      <c r="K29" s="946">
        <f>PGL_Supplies!AC8/1000+PGL_Supplies!L8/1000-PGL_Requirements!O8/1000</f>
        <v>31.469000000000001</v>
      </c>
    </row>
    <row r="30" spans="1:17" ht="10.5" customHeight="1">
      <c r="A30" s="929"/>
      <c r="B30" s="946"/>
      <c r="C30" s="927"/>
      <c r="D30" s="946"/>
      <c r="F30" s="1056">
        <f>PGL_Requirements!A8</f>
        <v>37054</v>
      </c>
      <c r="G30" s="946">
        <f>PGL_Requirements!H8/1000</f>
        <v>96.906999999999996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-124.12400000000002</v>
      </c>
    </row>
    <row r="32" spans="1:17">
      <c r="A32" s="946">
        <f>PGL_Supplies!H8/1000</f>
        <v>1</v>
      </c>
      <c r="G32" s="946">
        <f>PGL_Requirements!P8/1000</f>
        <v>100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504</v>
      </c>
      <c r="F38" s="1003">
        <v>751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261.31399999999996</v>
      </c>
      <c r="B40" s="940"/>
      <c r="C40" s="939"/>
      <c r="D40" s="940"/>
      <c r="E40" s="940"/>
      <c r="F40" s="1013"/>
      <c r="G40" s="1013">
        <f>SUM(G30:G35)</f>
        <v>196.90699999999998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64.406999999999982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401</v>
      </c>
      <c r="E45" s="1018"/>
      <c r="F45" s="1019">
        <v>6.7000000000000004E-2</v>
      </c>
      <c r="G45" s="1020">
        <f>(C45-D45)*F45</f>
        <v>0.60299999999999998</v>
      </c>
      <c r="H45" s="1020">
        <f>(D45-B45)*F45</f>
        <v>10.117000000000001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452</v>
      </c>
      <c r="E47" s="1018"/>
      <c r="F47" s="1019">
        <v>0.14099999999999999</v>
      </c>
      <c r="G47" s="1020">
        <f>(C47-D47)*F47</f>
        <v>-5.9219999999999997</v>
      </c>
      <c r="H47" s="1020">
        <f>(D47-B47)*F47</f>
        <v>28.481999999999996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503.5</v>
      </c>
      <c r="E48" s="1018"/>
      <c r="F48" s="1019">
        <v>0.161</v>
      </c>
      <c r="G48" s="1020">
        <f>(C48-D48)*F48</f>
        <v>39.686500000000002</v>
      </c>
      <c r="H48" s="1020">
        <f>(D48-B48)*F48</f>
        <v>35.1785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34.3675</v>
      </c>
      <c r="H49" s="1020">
        <f>SUM(H45:H48)</f>
        <v>73.777500000000003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37053</v>
      </c>
      <c r="B5" s="11">
        <v>87</v>
      </c>
      <c r="C5" s="49">
        <v>64</v>
      </c>
      <c r="D5" s="49">
        <v>12</v>
      </c>
      <c r="E5" s="11" t="s">
        <v>816</v>
      </c>
      <c r="F5" s="11">
        <v>77</v>
      </c>
      <c r="G5" s="11">
        <v>6689</v>
      </c>
      <c r="H5" s="11">
        <v>0</v>
      </c>
      <c r="I5" s="903" t="s">
        <v>808</v>
      </c>
      <c r="J5" s="903" t="s">
        <v>809</v>
      </c>
      <c r="K5" s="11">
        <v>6</v>
      </c>
      <c r="L5" s="11">
        <v>1</v>
      </c>
      <c r="N5" s="15" t="str">
        <f>I5&amp;" "&amp;I5</f>
        <v>PARTLY CLOUDY. HIGH IN THE UPPER 80S. COOLER NEAR THE LAKE.WINDS 5 TO 10 PARTLY CLOUDY. HIGH IN THE UPPER 80S. COOLER NEAR THE LAKE.WINDS 5 TO 10</v>
      </c>
      <c r="AE5" s="15">
        <v>1</v>
      </c>
      <c r="AH5" s="15" t="s">
        <v>33</v>
      </c>
    </row>
    <row r="6" spans="1:34" ht="16.5" customHeight="1">
      <c r="A6" s="88">
        <f>A5+1</f>
        <v>37054</v>
      </c>
      <c r="B6" s="11">
        <v>90</v>
      </c>
      <c r="C6" s="49">
        <v>70</v>
      </c>
      <c r="D6" s="49">
        <v>15</v>
      </c>
      <c r="E6" s="11" t="s">
        <v>10</v>
      </c>
      <c r="F6" s="11" t="s">
        <v>10</v>
      </c>
      <c r="G6" s="11"/>
      <c r="H6" s="11" t="s">
        <v>10</v>
      </c>
      <c r="I6" s="903" t="s">
        <v>810</v>
      </c>
      <c r="J6" s="903" t="s">
        <v>811</v>
      </c>
      <c r="K6" s="11">
        <v>3</v>
      </c>
      <c r="L6" s="11" t="s">
        <v>617</v>
      </c>
      <c r="N6" s="15" t="str">
        <f>I6&amp;" "&amp;J6</f>
        <v>PARTLY CLOUDY. HIGH AROUND 90. PARTLY CLOUDY AT NIGHT WITH LOWS IN THE  LOWER 70S.</v>
      </c>
      <c r="AE6" s="15">
        <v>1</v>
      </c>
      <c r="AH6" s="15" t="s">
        <v>34</v>
      </c>
    </row>
    <row r="7" spans="1:34" ht="16.5" customHeight="1">
      <c r="A7" s="88">
        <f>A6+1</f>
        <v>37055</v>
      </c>
      <c r="B7" s="11">
        <v>90</v>
      </c>
      <c r="C7" s="49">
        <v>69</v>
      </c>
      <c r="D7" s="49">
        <v>15</v>
      </c>
      <c r="E7" s="11" t="s">
        <v>10</v>
      </c>
      <c r="F7" s="11" t="s">
        <v>10</v>
      </c>
      <c r="G7" s="11"/>
      <c r="H7" s="11" t="s">
        <v>10</v>
      </c>
      <c r="I7" s="903" t="s">
        <v>812</v>
      </c>
      <c r="J7" s="903" t="s">
        <v>10</v>
      </c>
      <c r="K7" s="11">
        <v>3</v>
      </c>
      <c r="L7" s="11" t="s">
        <v>21</v>
      </c>
      <c r="N7" s="15" t="str">
        <f>I7&amp;" "&amp;J7</f>
        <v xml:space="preserve">PARTLY CLOUDY. HIGH IN THE UPPER 80S.   </v>
      </c>
    </row>
    <row r="8" spans="1:34" ht="16.5" customHeight="1">
      <c r="A8" s="88">
        <f>A7+1</f>
        <v>37056</v>
      </c>
      <c r="B8" s="11">
        <v>85</v>
      </c>
      <c r="C8" s="49">
        <v>61</v>
      </c>
      <c r="D8" s="49">
        <v>12</v>
      </c>
      <c r="E8" s="11" t="s">
        <v>10</v>
      </c>
      <c r="F8" s="11" t="s">
        <v>10</v>
      </c>
      <c r="G8" s="11"/>
      <c r="H8" s="11" t="s">
        <v>10</v>
      </c>
      <c r="I8" s="903" t="s">
        <v>813</v>
      </c>
      <c r="J8" s="903" t="s">
        <v>10</v>
      </c>
      <c r="K8" s="11">
        <v>3</v>
      </c>
      <c r="L8" s="11"/>
      <c r="N8" s="15" t="str">
        <f>I8&amp;" "&amp;J8</f>
        <v xml:space="preserve">A CHANCE OF T'STORMS. LOW IN THE UPPER 60S. HIGH IN THE LOWER 80S  </v>
      </c>
    </row>
    <row r="9" spans="1:34" ht="16.5" customHeight="1">
      <c r="A9" s="88">
        <f>A8+1</f>
        <v>37057</v>
      </c>
      <c r="B9" s="11">
        <v>78</v>
      </c>
      <c r="C9" s="49">
        <v>58</v>
      </c>
      <c r="D9" s="49">
        <v>12</v>
      </c>
      <c r="E9" s="11" t="s">
        <v>10</v>
      </c>
      <c r="F9" s="11" t="s">
        <v>10</v>
      </c>
      <c r="G9" s="11"/>
      <c r="H9" s="11" t="s">
        <v>10</v>
      </c>
      <c r="I9" s="903" t="s">
        <v>814</v>
      </c>
      <c r="J9" s="903" t="s">
        <v>815</v>
      </c>
      <c r="K9" s="11">
        <v>6</v>
      </c>
      <c r="L9" s="11">
        <v>0</v>
      </c>
      <c r="M9" s="89"/>
      <c r="N9" s="15" t="str">
        <f>I9&amp;" "&amp;J9</f>
        <v>PARTLY CLOUDY. CHANCE OF MORNING SHOWERS AND T-STORMS. LOW IN THE  LOWER 60S . HIGH NEAR 80.</v>
      </c>
    </row>
    <row r="10" spans="1:34" ht="16.5" customHeight="1">
      <c r="A10" s="88">
        <f>A9+1</f>
        <v>37058</v>
      </c>
      <c r="B10" s="11">
        <v>78</v>
      </c>
      <c r="C10" s="49">
        <v>58</v>
      </c>
      <c r="D10" s="49">
        <v>12</v>
      </c>
      <c r="E10" s="11" t="s">
        <v>10</v>
      </c>
      <c r="F10" s="11" t="s">
        <v>10</v>
      </c>
      <c r="G10" s="11"/>
      <c r="H10" s="11" t="s">
        <v>10</v>
      </c>
      <c r="I10" s="903" t="s">
        <v>814</v>
      </c>
      <c r="J10" s="903" t="s">
        <v>815</v>
      </c>
      <c r="K10" s="11">
        <v>6</v>
      </c>
      <c r="L10" s="11" t="s">
        <v>412</v>
      </c>
      <c r="N10" s="15" t="str">
        <f>I10&amp;" "&amp;J10</f>
        <v>PARTLY CLOUDY. CHANCE OF MORNING SHOWERS AND T-STORMS. LOW IN THE  LOWER 60S . HIGH NEAR 80.</v>
      </c>
    </row>
    <row r="11" spans="1:34" ht="16.5" customHeight="1">
      <c r="G11"/>
    </row>
    <row r="12" spans="1:34" ht="15.75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5" thickBot="1">
      <c r="A2" s="123" t="s">
        <v>564</v>
      </c>
      <c r="B2" s="185">
        <f>PGL_Deliveries!U5/1000</f>
        <v>4.2709999999999999</v>
      </c>
      <c r="C2" s="60"/>
      <c r="D2" s="120" t="s">
        <v>322</v>
      </c>
      <c r="E2" s="424">
        <f>Weather_Input!A5</f>
        <v>37053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0</v>
      </c>
      <c r="C5" s="64"/>
      <c r="D5" s="59" t="s">
        <v>566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252</v>
      </c>
      <c r="B6" s="153">
        <f>PGL_Deliveries!I5/1000</f>
        <v>0</v>
      </c>
      <c r="C6" s="168"/>
      <c r="D6" s="59" t="s">
        <v>567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5" thickBot="1">
      <c r="A7" s="180" t="s">
        <v>570</v>
      </c>
      <c r="B7" s="226">
        <f>SUM(B5:B6)</f>
        <v>0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106.087</v>
      </c>
      <c r="C8" s="629"/>
      <c r="D8" s="117" t="s">
        <v>569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0</v>
      </c>
      <c r="C9" s="64"/>
      <c r="D9" s="117" t="s">
        <v>209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4.2709999999999999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21.039000000000001</v>
      </c>
      <c r="C11" s="64"/>
      <c r="D11" s="117" t="s">
        <v>571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182.69</v>
      </c>
      <c r="C13" s="64"/>
      <c r="D13" s="117" t="s">
        <v>217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-148.14400000000001</v>
      </c>
      <c r="C15" s="64"/>
      <c r="D15" s="59" t="s">
        <v>400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4.907</v>
      </c>
      <c r="D16" s="117" t="s">
        <v>221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75" thickBot="1">
      <c r="A17" s="169" t="s">
        <v>184</v>
      </c>
      <c r="B17" s="153">
        <f>PGL_Deliveries!AP5/1000</f>
        <v>0</v>
      </c>
      <c r="C17" s="168" t="s">
        <v>10</v>
      </c>
      <c r="D17" s="1103" t="s">
        <v>220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5" thickBot="1">
      <c r="A18" s="179" t="s">
        <v>575</v>
      </c>
      <c r="B18" s="897">
        <f>SUM(B8:B17)-C16</f>
        <v>156.76500000000001</v>
      </c>
      <c r="C18" s="168"/>
      <c r="D18" s="178" t="s">
        <v>576</v>
      </c>
      <c r="E18" s="177">
        <f>SUM(E5:E17)</f>
        <v>4.2709999999999999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106.16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0.3</v>
      </c>
      <c r="C20" s="64"/>
      <c r="D20" s="117" t="s">
        <v>187</v>
      </c>
      <c r="E20" s="153">
        <f>PGL_Deliveries!AW5/1000+B41</f>
        <v>2.2244999999999999</v>
      </c>
      <c r="F20" s="170"/>
      <c r="H20"/>
      <c r="I20"/>
      <c r="J20"/>
      <c r="K20"/>
      <c r="L20"/>
      <c r="M20"/>
    </row>
    <row r="21" spans="1:13" ht="16.5" thickBot="1">
      <c r="A21" s="171" t="s">
        <v>731</v>
      </c>
      <c r="C21" s="175">
        <f>PGL_Requirements!J7/1000</f>
        <v>0</v>
      </c>
      <c r="D21" s="628" t="s">
        <v>577</v>
      </c>
      <c r="E21" s="210">
        <f>SUM(E18:E20)</f>
        <v>6.4954999999999998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106.46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0.2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0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0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50.984999999999999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120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50.984999999999999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0.83599999999999997</v>
      </c>
      <c r="C40" s="64"/>
      <c r="D40" s="774" t="s">
        <v>601</v>
      </c>
      <c r="E40" s="800"/>
      <c r="F40" s="175">
        <f>PGL_Requirements!K7/1000</f>
        <v>10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168.27500000000001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2.2244999999999999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724</v>
      </c>
      <c r="B44" s="209" t="s">
        <v>10</v>
      </c>
      <c r="C44" s="224">
        <f>PGL_Requirements!R7/1000</f>
        <v>0.72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87</v>
      </c>
      <c r="C45" s="184"/>
      <c r="D45" s="60" t="s">
        <v>614</v>
      </c>
      <c r="E45" s="801">
        <f>PGL_Supplies!T7/1000</f>
        <v>34.334000000000003</v>
      </c>
      <c r="F45" s="170"/>
    </row>
    <row r="46" spans="1:13" ht="15">
      <c r="A46" s="171" t="s">
        <v>605</v>
      </c>
      <c r="B46" s="237">
        <f>Weather_Input!C5</f>
        <v>64</v>
      </c>
      <c r="C46" s="161"/>
      <c r="D46" s="74" t="s">
        <v>613</v>
      </c>
      <c r="E46" s="60"/>
      <c r="F46" s="175">
        <f>PGL_Deliveries!BE5/1000</f>
        <v>5.9530000000000003</v>
      </c>
    </row>
    <row r="47" spans="1:13" ht="15">
      <c r="A47" s="172" t="s">
        <v>606</v>
      </c>
      <c r="B47" s="60" t="str">
        <f>Weather_Input!E5</f>
        <v>N/A</v>
      </c>
      <c r="C47" s="161"/>
      <c r="D47" s="773" t="s">
        <v>765</v>
      </c>
      <c r="E47" s="68"/>
      <c r="F47" s="175">
        <f>PGL_Deliveries!BF5/1000</f>
        <v>0</v>
      </c>
    </row>
    <row r="48" spans="1:13" ht="15">
      <c r="A48" s="171" t="s">
        <v>607</v>
      </c>
      <c r="B48" s="225">
        <f>Weather_Input!D5</f>
        <v>12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1.026</v>
      </c>
      <c r="C49" s="161"/>
      <c r="D49" s="60" t="s">
        <v>758</v>
      </c>
      <c r="E49" s="153">
        <f>PGL_Deliveries!AJ5/1000</f>
        <v>21.039000000000001</v>
      </c>
      <c r="F49" s="160"/>
    </row>
    <row r="50" spans="1:6" ht="15.75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75" thickBot="1">
      <c r="A3" s="1076" t="s">
        <v>4</v>
      </c>
      <c r="B3" s="242">
        <f>NSG_Deliveries!H5/1000</f>
        <v>27.751000000000001</v>
      </c>
      <c r="C3" s="119"/>
      <c r="D3" s="228" t="s">
        <v>322</v>
      </c>
      <c r="E3" s="427">
        <f>Weather_Input!A5</f>
        <v>37053</v>
      </c>
      <c r="F3" s="119"/>
      <c r="G3"/>
      <c r="J3"/>
      <c r="K3"/>
    </row>
    <row r="4" spans="1:11" ht="15.75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0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27.751000000000001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27.751000000000001</v>
      </c>
      <c r="C8" s="160"/>
      <c r="D8" s="812" t="s">
        <v>631</v>
      </c>
      <c r="E8" s="806">
        <f>NSG_Deliveries!F5/1000</f>
        <v>0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7.9589999999999996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0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15.215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28.827999999999999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0.16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28.988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10</v>
      </c>
    </row>
    <row r="2" spans="1:3" ht="15.75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3" customWidth="1"/>
    <col min="3" max="3" width="20.66406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354</v>
      </c>
      <c r="B1" s="51">
        <f>Weather_Input!A5</f>
        <v>37053</v>
      </c>
      <c r="C1" s="4"/>
    </row>
    <row r="2" spans="1:19">
      <c r="A2" s="111" t="s">
        <v>355</v>
      </c>
      <c r="B2" s="4"/>
      <c r="C2" s="4"/>
    </row>
    <row r="3" spans="1:19" ht="15.75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37052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110160</v>
      </c>
      <c r="O6" s="203">
        <v>0</v>
      </c>
      <c r="P6" s="203">
        <v>51048869</v>
      </c>
      <c r="Q6" s="203">
        <v>15045098</v>
      </c>
      <c r="R6" s="203">
        <v>36003771</v>
      </c>
      <c r="S6" s="203">
        <v>0</v>
      </c>
    </row>
    <row r="7" spans="1:19">
      <c r="A7" s="4">
        <f>B1</f>
        <v>37053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110160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51159029</v>
      </c>
      <c r="Q7">
        <f>IF(O7&gt;0,Q6+O7,Q6)</f>
        <v>15045098</v>
      </c>
      <c r="R7">
        <f>IF(P7&gt;Q7,P7-Q7,0)</f>
        <v>36113931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37053</v>
      </c>
      <c r="B5" s="1">
        <f>(Weather_Input!B5+Weather_Input!C5)/2</f>
        <v>75.5</v>
      </c>
      <c r="C5" s="904">
        <v>215000</v>
      </c>
      <c r="D5" s="905">
        <v>0</v>
      </c>
      <c r="E5" s="905">
        <v>0</v>
      </c>
      <c r="F5" s="905">
        <v>0</v>
      </c>
      <c r="G5" s="905">
        <v>0</v>
      </c>
      <c r="H5" s="905">
        <v>0</v>
      </c>
      <c r="I5" s="905">
        <v>0</v>
      </c>
      <c r="J5" s="905">
        <v>0</v>
      </c>
      <c r="K5" s="905">
        <v>0</v>
      </c>
      <c r="L5" s="905">
        <v>0</v>
      </c>
      <c r="M5" s="905">
        <v>0</v>
      </c>
      <c r="N5" s="905">
        <v>0</v>
      </c>
      <c r="O5" s="905">
        <v>0</v>
      </c>
      <c r="P5" s="905">
        <v>0</v>
      </c>
      <c r="Q5" s="905">
        <v>0</v>
      </c>
      <c r="R5" s="905">
        <v>0</v>
      </c>
      <c r="S5" s="910">
        <v>4271</v>
      </c>
      <c r="T5" s="1102">
        <v>0</v>
      </c>
      <c r="U5" s="904">
        <f>SUM(D5:S5)-T5</f>
        <v>4271</v>
      </c>
      <c r="V5" s="904">
        <v>106087</v>
      </c>
      <c r="W5" s="11">
        <v>0</v>
      </c>
      <c r="X5" s="11">
        <v>0</v>
      </c>
      <c r="Y5" s="11">
        <v>0</v>
      </c>
      <c r="Z5" s="11">
        <v>182604</v>
      </c>
      <c r="AA5" s="11">
        <v>6039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21039</v>
      </c>
      <c r="AK5" s="11">
        <v>0</v>
      </c>
      <c r="AL5" s="11">
        <v>0</v>
      </c>
      <c r="AM5" s="1">
        <v>1026</v>
      </c>
      <c r="AN5" s="1"/>
      <c r="AO5" s="1">
        <v>4907</v>
      </c>
      <c r="AP5" s="1">
        <v>0</v>
      </c>
      <c r="AQ5" s="1">
        <v>9240</v>
      </c>
      <c r="AR5" s="1">
        <v>0</v>
      </c>
      <c r="AS5" s="1">
        <v>0</v>
      </c>
      <c r="AT5" s="1">
        <v>836</v>
      </c>
      <c r="AU5" s="1">
        <v>148300</v>
      </c>
      <c r="AV5" s="1">
        <v>680</v>
      </c>
      <c r="AW5" s="625">
        <f>AU5*0.015</f>
        <v>2224.5</v>
      </c>
      <c r="AX5" s="1">
        <v>0</v>
      </c>
      <c r="AY5" s="1"/>
      <c r="AZ5" s="1">
        <v>4474</v>
      </c>
      <c r="BA5" s="1">
        <v>12</v>
      </c>
      <c r="BB5" s="1">
        <v>0</v>
      </c>
      <c r="BC5" s="1">
        <v>0</v>
      </c>
      <c r="BD5" s="1"/>
      <c r="BE5" s="1">
        <v>5953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37054</v>
      </c>
      <c r="B6" s="923">
        <f>(Weather_Input!B6+Weather_Input!C6)/2</f>
        <v>80</v>
      </c>
      <c r="C6" s="904">
        <v>220000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37055</v>
      </c>
      <c r="B7" s="923">
        <f>(Weather_Input!B7+Weather_Input!C7)/2</f>
        <v>79.5</v>
      </c>
      <c r="C7" s="904">
        <v>220000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37056</v>
      </c>
      <c r="B8" s="923">
        <f>(Weather_Input!B8+Weather_Input!C8)/2</f>
        <v>73</v>
      </c>
      <c r="C8" s="904">
        <v>220000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37057</v>
      </c>
      <c r="B9" s="923">
        <f>(Weather_Input!B9+Weather_Input!C9)/2</f>
        <v>68</v>
      </c>
      <c r="C9" s="904">
        <v>215000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37058</v>
      </c>
      <c r="B10" s="923">
        <f>(Weather_Input!B10+Weather_Input!C10)/2</f>
        <v>68</v>
      </c>
      <c r="C10" s="904">
        <v>195000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37053</v>
      </c>
      <c r="B5" s="1">
        <f>(Weather_Input!B5+Weather_Input!C5)/2</f>
        <v>75.5</v>
      </c>
      <c r="C5" s="904">
        <v>36000</v>
      </c>
      <c r="D5" s="904">
        <v>0</v>
      </c>
      <c r="E5" s="904">
        <v>0</v>
      </c>
      <c r="F5" s="904">
        <v>0</v>
      </c>
      <c r="G5" s="904">
        <v>27751</v>
      </c>
      <c r="H5" s="912">
        <f>SUM(D5:G5)</f>
        <v>27751</v>
      </c>
      <c r="I5" s="1">
        <v>1007</v>
      </c>
      <c r="J5" s="1" t="s">
        <v>10</v>
      </c>
      <c r="K5" s="1">
        <v>0</v>
      </c>
      <c r="L5" s="1">
        <v>160</v>
      </c>
      <c r="M5" s="1">
        <v>7959</v>
      </c>
      <c r="N5" s="1">
        <v>0</v>
      </c>
    </row>
    <row r="6" spans="1:14">
      <c r="A6" s="12">
        <f>A5+1</f>
        <v>37054</v>
      </c>
      <c r="B6" s="923">
        <f>(Weather_Input!B6+Weather_Input!C6)/2</f>
        <v>80</v>
      </c>
      <c r="C6" s="904">
        <v>38000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37055</v>
      </c>
      <c r="B7" s="923">
        <f>(Weather_Input!B7+Weather_Input!C7)/2</f>
        <v>79.5</v>
      </c>
      <c r="C7" s="904">
        <v>38000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37056</v>
      </c>
      <c r="B8" s="923">
        <f>(Weather_Input!B8+Weather_Input!C8)/2</f>
        <v>73</v>
      </c>
      <c r="C8" s="904">
        <v>38000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37057</v>
      </c>
      <c r="B9" s="923">
        <f>(Weather_Input!B9+Weather_Input!C9)/2</f>
        <v>68</v>
      </c>
      <c r="C9" s="904">
        <v>36000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37058</v>
      </c>
      <c r="B10" s="923">
        <f>(Weather_Input!B10+Weather_Input!C10)/2</f>
        <v>68</v>
      </c>
      <c r="C10" s="904">
        <v>33000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2" t="s">
        <v>796</v>
      </c>
      <c r="W4" s="1223"/>
      <c r="X4" s="1224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2.75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797</v>
      </c>
      <c r="W5" s="56" t="s">
        <v>800</v>
      </c>
      <c r="X5" s="3" t="s">
        <v>801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2.75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5" t="s">
        <v>798</v>
      </c>
      <c r="W6" s="1225" t="s">
        <v>799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2.75">
      <c r="A7" s="825">
        <f>Weather_Input!A5</f>
        <v>37053</v>
      </c>
      <c r="B7" s="913">
        <v>0</v>
      </c>
      <c r="C7" s="914">
        <v>200</v>
      </c>
      <c r="D7" s="623">
        <v>0</v>
      </c>
      <c r="E7" s="623">
        <v>5800</v>
      </c>
      <c r="F7" s="913">
        <v>0</v>
      </c>
      <c r="G7" s="913">
        <v>0</v>
      </c>
      <c r="H7" s="915">
        <v>68000</v>
      </c>
      <c r="I7" s="622">
        <v>0</v>
      </c>
      <c r="J7" s="622">
        <v>0</v>
      </c>
      <c r="K7" s="623">
        <v>10000</v>
      </c>
      <c r="L7" s="622">
        <v>0</v>
      </c>
      <c r="M7" s="623">
        <v>0</v>
      </c>
      <c r="N7" s="623">
        <v>0</v>
      </c>
      <c r="O7" s="624">
        <v>0</v>
      </c>
      <c r="P7" s="623">
        <v>120000</v>
      </c>
      <c r="Q7" s="625">
        <f t="shared" ref="Q7:Q12" si="0">P7*0.015</f>
        <v>1800</v>
      </c>
      <c r="R7" s="623">
        <v>720</v>
      </c>
      <c r="S7" s="623">
        <v>0</v>
      </c>
      <c r="T7" s="623">
        <v>0</v>
      </c>
      <c r="U7" s="622">
        <v>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37053</v>
      </c>
    </row>
    <row r="8" spans="1:89" s="1" customFormat="1" ht="12.75">
      <c r="A8" s="825">
        <f>A7+1</f>
        <v>37054</v>
      </c>
      <c r="B8" s="913">
        <v>0</v>
      </c>
      <c r="C8" s="914">
        <v>0</v>
      </c>
      <c r="D8" s="623">
        <v>0</v>
      </c>
      <c r="E8" s="623">
        <v>0</v>
      </c>
      <c r="F8" s="913">
        <v>0</v>
      </c>
      <c r="G8" s="913">
        <v>0</v>
      </c>
      <c r="H8" s="915">
        <v>96907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0</v>
      </c>
      <c r="P8" s="623">
        <v>100000</v>
      </c>
      <c r="Q8" s="625">
        <f t="shared" si="0"/>
        <v>1500</v>
      </c>
      <c r="R8" s="623">
        <v>720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37054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2.75">
      <c r="A9" s="825">
        <f>A8+1</f>
        <v>37055</v>
      </c>
      <c r="B9" s="913">
        <v>0</v>
      </c>
      <c r="C9" s="914">
        <v>0</v>
      </c>
      <c r="D9" s="623">
        <v>0</v>
      </c>
      <c r="E9" s="623">
        <v>0</v>
      </c>
      <c r="F9" s="913">
        <v>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720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37055</v>
      </c>
      <c r="AN9" s="622"/>
    </row>
    <row r="10" spans="1:89" s="1" customFormat="1" ht="12.75">
      <c r="A10" s="825">
        <f>A9+1</f>
        <v>37056</v>
      </c>
      <c r="B10" s="913">
        <v>0</v>
      </c>
      <c r="C10" s="914">
        <v>0</v>
      </c>
      <c r="D10" s="623">
        <v>0</v>
      </c>
      <c r="E10" s="623">
        <v>0</v>
      </c>
      <c r="F10" s="913">
        <v>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720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37056</v>
      </c>
    </row>
    <row r="11" spans="1:89" s="1" customFormat="1" ht="12.75">
      <c r="A11" s="825">
        <f>A10+1</f>
        <v>37057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720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37057</v>
      </c>
    </row>
    <row r="12" spans="1:89" s="1" customFormat="1" ht="12.75">
      <c r="A12" s="825">
        <f>A11+1</f>
        <v>37058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720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37058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L8" sqref="L8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766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37053</v>
      </c>
      <c r="B7" s="625">
        <v>4300</v>
      </c>
      <c r="C7" s="626">
        <v>0</v>
      </c>
      <c r="D7" s="625">
        <v>0</v>
      </c>
      <c r="E7" s="625">
        <v>0</v>
      </c>
      <c r="F7" s="625">
        <v>0</v>
      </c>
      <c r="G7" s="913">
        <v>12000</v>
      </c>
      <c r="H7" s="623">
        <v>1000</v>
      </c>
      <c r="I7" s="623">
        <v>15000</v>
      </c>
      <c r="J7" s="623">
        <v>0</v>
      </c>
      <c r="K7" s="916">
        <v>0</v>
      </c>
      <c r="L7" s="624">
        <v>8130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34334</v>
      </c>
      <c r="U7" s="623">
        <v>0</v>
      </c>
      <c r="V7" s="624">
        <v>138663</v>
      </c>
      <c r="W7" s="624">
        <v>0</v>
      </c>
      <c r="X7" s="622">
        <v>300</v>
      </c>
      <c r="Y7" s="916">
        <v>106160</v>
      </c>
      <c r="Z7" s="624">
        <v>200</v>
      </c>
      <c r="AA7" s="1">
        <v>0</v>
      </c>
      <c r="AB7" s="622">
        <v>168275</v>
      </c>
      <c r="AC7" s="622">
        <v>50985</v>
      </c>
      <c r="AD7" s="622">
        <v>4000</v>
      </c>
      <c r="AE7" s="916">
        <v>0</v>
      </c>
      <c r="AF7" s="51">
        <f>Weather_Input!A5</f>
        <v>37053</v>
      </c>
      <c r="AI7" s="622"/>
      <c r="AJ7" s="622"/>
      <c r="AK7" s="622"/>
    </row>
    <row r="8" spans="1:37">
      <c r="A8" s="825">
        <f>A7+1</f>
        <v>37054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0</v>
      </c>
      <c r="H8" s="623">
        <v>1000</v>
      </c>
      <c r="I8" s="623">
        <v>15000</v>
      </c>
      <c r="J8" s="623">
        <v>0</v>
      </c>
      <c r="K8" s="916">
        <v>0</v>
      </c>
      <c r="L8" s="624">
        <v>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6">
        <v>0</v>
      </c>
      <c r="T8" s="918">
        <v>50000</v>
      </c>
      <c r="U8" s="623">
        <v>0</v>
      </c>
      <c r="V8" s="624">
        <v>120247</v>
      </c>
      <c r="W8" s="624">
        <v>0</v>
      </c>
      <c r="X8" s="622">
        <v>0</v>
      </c>
      <c r="Y8" s="916">
        <v>105101</v>
      </c>
      <c r="Z8" s="624">
        <v>200</v>
      </c>
      <c r="AA8" s="1">
        <v>0</v>
      </c>
      <c r="AB8" s="622">
        <v>182920</v>
      </c>
      <c r="AC8" s="622">
        <v>31469</v>
      </c>
      <c r="AD8" s="622">
        <v>4000</v>
      </c>
      <c r="AE8" s="916">
        <v>0</v>
      </c>
      <c r="AF8" s="825">
        <f>AF7+1</f>
        <v>37054</v>
      </c>
      <c r="AI8" s="622"/>
      <c r="AJ8" s="622"/>
      <c r="AK8" s="622"/>
    </row>
    <row r="9" spans="1:37" s="622" customFormat="1">
      <c r="A9" s="825">
        <f>A8+1</f>
        <v>37055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0</v>
      </c>
      <c r="U9" s="623">
        <v>0</v>
      </c>
      <c r="V9" s="624">
        <v>120247</v>
      </c>
      <c r="W9" s="624">
        <v>0</v>
      </c>
      <c r="X9" s="622">
        <v>0</v>
      </c>
      <c r="Y9" s="916">
        <v>102145</v>
      </c>
      <c r="Z9" s="624">
        <v>200</v>
      </c>
      <c r="AA9" s="1">
        <v>0</v>
      </c>
      <c r="AB9" s="622">
        <v>182920</v>
      </c>
      <c r="AC9" s="622">
        <v>35469</v>
      </c>
      <c r="AD9" s="622">
        <v>4000</v>
      </c>
      <c r="AE9" s="916">
        <v>0</v>
      </c>
      <c r="AF9" s="825">
        <f>AF8+1</f>
        <v>37055</v>
      </c>
    </row>
    <row r="10" spans="1:37">
      <c r="A10" s="825">
        <f>A9+1</f>
        <v>37056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0</v>
      </c>
      <c r="U10" s="623">
        <v>0</v>
      </c>
      <c r="V10" s="624">
        <v>120247</v>
      </c>
      <c r="W10" s="624">
        <v>0</v>
      </c>
      <c r="X10" s="622">
        <v>0</v>
      </c>
      <c r="Y10" s="916">
        <v>102145</v>
      </c>
      <c r="Z10" s="624">
        <v>200</v>
      </c>
      <c r="AA10" s="1">
        <v>0</v>
      </c>
      <c r="AB10" s="622">
        <v>182920</v>
      </c>
      <c r="AC10" s="622">
        <v>35469</v>
      </c>
      <c r="AD10" s="622">
        <v>4000</v>
      </c>
      <c r="AE10" s="916">
        <v>0</v>
      </c>
      <c r="AF10" s="825">
        <f>AF9+1</f>
        <v>37056</v>
      </c>
      <c r="AI10" s="622"/>
      <c r="AJ10" s="622"/>
      <c r="AK10" s="622"/>
    </row>
    <row r="11" spans="1:37">
      <c r="A11" s="825">
        <f>A10+1</f>
        <v>37057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0</v>
      </c>
      <c r="U11" s="623">
        <v>0</v>
      </c>
      <c r="V11" s="624">
        <v>120247</v>
      </c>
      <c r="W11" s="624">
        <v>0</v>
      </c>
      <c r="X11" s="622">
        <v>0</v>
      </c>
      <c r="Y11" s="916">
        <v>102145</v>
      </c>
      <c r="Z11" s="624">
        <v>200</v>
      </c>
      <c r="AA11" s="1">
        <v>0</v>
      </c>
      <c r="AB11" s="622">
        <v>182920</v>
      </c>
      <c r="AC11" s="622">
        <v>35469</v>
      </c>
      <c r="AD11" s="622">
        <v>4000</v>
      </c>
      <c r="AE11" s="916">
        <v>0</v>
      </c>
      <c r="AF11" s="825">
        <f>AF10+1</f>
        <v>37057</v>
      </c>
    </row>
    <row r="12" spans="1:37">
      <c r="A12" s="825">
        <f>A11+1</f>
        <v>37058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120247</v>
      </c>
      <c r="W12" s="624">
        <v>0</v>
      </c>
      <c r="X12" s="622">
        <v>0</v>
      </c>
      <c r="Y12" s="916">
        <v>102145</v>
      </c>
      <c r="Z12" s="624">
        <v>200</v>
      </c>
      <c r="AA12" s="1">
        <v>0</v>
      </c>
      <c r="AB12" s="622">
        <v>182920</v>
      </c>
      <c r="AC12" s="622">
        <v>35469</v>
      </c>
      <c r="AD12" s="622">
        <v>4000</v>
      </c>
      <c r="AE12" s="916">
        <v>0</v>
      </c>
      <c r="AF12" s="825">
        <f>AF11+1</f>
        <v>37058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2.75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2.75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2.75">
      <c r="A7" s="826">
        <f>Weather_Input!A5</f>
        <v>37053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2000</v>
      </c>
      <c r="I7" s="914">
        <v>7197</v>
      </c>
      <c r="J7" s="914">
        <v>6040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37053</v>
      </c>
      <c r="AG7" s="622"/>
      <c r="AH7" s="622"/>
      <c r="AI7" s="622"/>
      <c r="AJ7" s="622"/>
      <c r="AK7" s="622"/>
    </row>
    <row r="8" spans="1:128" s="1" customFormat="1" ht="12.75">
      <c r="A8" s="826">
        <f>Weather_Input!A6</f>
        <v>37054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2000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37054</v>
      </c>
      <c r="AG8" s="622"/>
      <c r="AH8" s="622"/>
      <c r="AI8" s="622"/>
      <c r="AJ8" s="622"/>
      <c r="AK8" s="622"/>
    </row>
    <row r="9" spans="1:128" s="1" customFormat="1" ht="12.75">
      <c r="A9" s="825">
        <f>A8+1</f>
        <v>37055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2000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37055</v>
      </c>
      <c r="AG9" s="622"/>
      <c r="AH9" s="622"/>
      <c r="AI9" s="622"/>
      <c r="AJ9" s="622"/>
      <c r="AK9" s="622"/>
    </row>
    <row r="10" spans="1:128" s="1" customFormat="1" ht="12.75">
      <c r="A10" s="825">
        <f>A9+1</f>
        <v>37056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2000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37056</v>
      </c>
      <c r="AG10" s="622"/>
      <c r="AH10" s="622"/>
      <c r="AI10" s="622"/>
      <c r="AJ10" s="622"/>
      <c r="AK10" s="622"/>
    </row>
    <row r="11" spans="1:128" s="1" customFormat="1" ht="12.75">
      <c r="A11" s="825">
        <f>A10+1</f>
        <v>37057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2000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37057</v>
      </c>
      <c r="AG11" s="622"/>
      <c r="AH11" s="622"/>
      <c r="AI11" s="622"/>
      <c r="AJ11" s="622"/>
      <c r="AK11" s="622"/>
    </row>
    <row r="12" spans="1:128" s="1" customFormat="1" ht="12.75">
      <c r="A12" s="825">
        <f>A11+1</f>
        <v>37058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2000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37058</v>
      </c>
      <c r="AG12" s="622"/>
      <c r="AH12" s="622"/>
      <c r="AI12" s="622"/>
      <c r="AJ12" s="622"/>
      <c r="AK12" s="622"/>
    </row>
    <row r="13" spans="1:128" s="1" customFormat="1" ht="12.75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2.75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37053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625">
        <f>(R7+S7+C7+PGL_Requirements!Y7+PGL_Requirements!Z7-NSG_Requirements!C7)*0.05</f>
        <v>2289.1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15215</v>
      </c>
      <c r="R7" s="625">
        <v>28828</v>
      </c>
      <c r="S7" s="625">
        <v>16954</v>
      </c>
      <c r="T7" s="625">
        <v>0</v>
      </c>
      <c r="U7" s="625">
        <v>0</v>
      </c>
      <c r="V7" s="825">
        <f>Weather_Input!A5</f>
        <v>37053</v>
      </c>
      <c r="W7" s="622"/>
      <c r="X7" s="622"/>
    </row>
    <row r="8" spans="1:24">
      <c r="A8" s="825">
        <f>A7+1</f>
        <v>37054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2289.1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15215</v>
      </c>
      <c r="R8" s="625">
        <v>28828</v>
      </c>
      <c r="S8" s="625">
        <v>16954</v>
      </c>
      <c r="T8" s="625">
        <v>0</v>
      </c>
      <c r="U8" s="625">
        <v>0</v>
      </c>
      <c r="V8" s="825">
        <f>V7+1</f>
        <v>37054</v>
      </c>
      <c r="W8" s="622"/>
      <c r="X8" s="622"/>
    </row>
    <row r="9" spans="1:24">
      <c r="A9" s="825">
        <f>A8+1</f>
        <v>37055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2289.1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15215</v>
      </c>
      <c r="R9" s="625">
        <v>28828</v>
      </c>
      <c r="S9" s="625">
        <v>16954</v>
      </c>
      <c r="T9" s="625">
        <v>0</v>
      </c>
      <c r="U9" s="625">
        <v>0</v>
      </c>
      <c r="V9" s="825">
        <f>V8+1</f>
        <v>37055</v>
      </c>
      <c r="W9" s="622"/>
      <c r="X9" s="622"/>
    </row>
    <row r="10" spans="1:24">
      <c r="A10" s="825">
        <f>A9+1</f>
        <v>37056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2289.1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15215</v>
      </c>
      <c r="R10" s="625">
        <v>28828</v>
      </c>
      <c r="S10" s="625">
        <v>16954</v>
      </c>
      <c r="T10" s="625">
        <v>0</v>
      </c>
      <c r="U10" s="625">
        <v>0</v>
      </c>
      <c r="V10" s="825">
        <f>V9+1</f>
        <v>37056</v>
      </c>
      <c r="W10" s="622"/>
      <c r="X10" s="622"/>
    </row>
    <row r="11" spans="1:24">
      <c r="A11" s="825">
        <f>A10+1</f>
        <v>37057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2289.1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15215</v>
      </c>
      <c r="R11" s="625">
        <v>28828</v>
      </c>
      <c r="S11" s="625">
        <v>16954</v>
      </c>
      <c r="T11" s="625">
        <v>0</v>
      </c>
      <c r="U11" s="625">
        <v>0</v>
      </c>
      <c r="V11" s="825">
        <f>V10+1</f>
        <v>37057</v>
      </c>
      <c r="W11" s="622"/>
      <c r="X11" s="622"/>
    </row>
    <row r="12" spans="1:24">
      <c r="A12" s="825">
        <f>A11+1</f>
        <v>37058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2289.1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15215</v>
      </c>
      <c r="R12" s="625">
        <v>28828</v>
      </c>
      <c r="S12" s="625">
        <v>16954</v>
      </c>
      <c r="T12" s="625">
        <v>0</v>
      </c>
      <c r="U12" s="625">
        <v>0</v>
      </c>
      <c r="V12" s="825">
        <f>V11+1</f>
        <v>37058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MON</v>
      </c>
      <c r="I1" s="830">
        <f>D4</f>
        <v>37053</v>
      </c>
    </row>
    <row r="2" spans="1:256" ht="15.75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5" thickBot="1">
      <c r="A3" s="834"/>
      <c r="B3" s="832"/>
      <c r="C3" s="832"/>
      <c r="D3" s="835" t="str">
        <f t="shared" ref="D3:I3" si="0">CHOOSE(WEEKDAY(D4),"SUN","MON","TUE","WED","THU","FRI","SAT")</f>
        <v>MON</v>
      </c>
      <c r="E3" s="835" t="str">
        <f t="shared" si="0"/>
        <v>TUE</v>
      </c>
      <c r="F3" s="835" t="str">
        <f t="shared" si="0"/>
        <v>WED</v>
      </c>
      <c r="G3" s="835" t="str">
        <f t="shared" si="0"/>
        <v>THU</v>
      </c>
      <c r="H3" s="835" t="str">
        <f t="shared" si="0"/>
        <v>FRI</v>
      </c>
      <c r="I3" s="836" t="str">
        <f t="shared" si="0"/>
        <v>SAT</v>
      </c>
    </row>
    <row r="4" spans="1:256" ht="15.75" thickBot="1">
      <c r="A4" s="837"/>
      <c r="B4" s="838"/>
      <c r="C4" s="838"/>
      <c r="D4" s="464">
        <f>Weather_Input!A5</f>
        <v>37053</v>
      </c>
      <c r="E4" s="464">
        <f>Weather_Input!A6</f>
        <v>37054</v>
      </c>
      <c r="F4" s="464">
        <f>Weather_Input!A7</f>
        <v>37055</v>
      </c>
      <c r="G4" s="464">
        <f>Weather_Input!A8</f>
        <v>37056</v>
      </c>
      <c r="H4" s="464">
        <f>Weather_Input!A9</f>
        <v>37057</v>
      </c>
      <c r="I4" s="465">
        <f>Weather_Input!A10</f>
        <v>37058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87/64/76</v>
      </c>
      <c r="E5" s="466" t="str">
        <f>TEXT(Weather_Input!B6,"0")&amp;"/"&amp;TEXT(Weather_Input!C6,"0") &amp; "/" &amp; TEXT((Weather_Input!B6+Weather_Input!C6)/2,"0")</f>
        <v>90/70/80</v>
      </c>
      <c r="F5" s="466" t="str">
        <f>TEXT(Weather_Input!B7,"0")&amp;"/"&amp;TEXT(Weather_Input!C7,"0") &amp; "/" &amp; TEXT((Weather_Input!B7+Weather_Input!C7)/2,"0")</f>
        <v>90/69/80</v>
      </c>
      <c r="G5" s="466" t="str">
        <f>TEXT(Weather_Input!B8,"0")&amp;"/"&amp;TEXT(Weather_Input!C8,"0") &amp; "/" &amp; TEXT((Weather_Input!B8+Weather_Input!C8)/2,"0")</f>
        <v>85/61/73</v>
      </c>
      <c r="H5" s="466" t="str">
        <f>TEXT(Weather_Input!B9,"0")&amp;"/"&amp;TEXT(Weather_Input!C9,"0") &amp; "/" &amp; TEXT((Weather_Input!B9+Weather_Input!C9)/2,"0")</f>
        <v>78/58/68</v>
      </c>
      <c r="I5" s="467" t="str">
        <f>TEXT(Weather_Input!B10,"0")&amp;"/"&amp;TEXT(Weather_Input!C10,"0") &amp; "/" &amp; TEXT((Weather_Input!B10+Weather_Input!C10)/2,"0")</f>
        <v>78/58/68</v>
      </c>
    </row>
    <row r="6" spans="1:256" ht="15.75">
      <c r="A6" s="844" t="s">
        <v>137</v>
      </c>
      <c r="B6" s="832"/>
      <c r="C6" s="832"/>
      <c r="D6" s="466">
        <f>PGL_Deliveries!C5/1000</f>
        <v>215</v>
      </c>
      <c r="E6" s="466">
        <f>PGL_Deliveries!C6/1000</f>
        <v>220</v>
      </c>
      <c r="F6" s="466">
        <f>PGL_Deliveries!C7/1000</f>
        <v>220</v>
      </c>
      <c r="G6" s="466">
        <f>PGL_Deliveries!C8/1000</f>
        <v>220</v>
      </c>
      <c r="H6" s="466">
        <f>PGL_Deliveries!C9/1000</f>
        <v>215</v>
      </c>
      <c r="I6" s="467">
        <f>PGL_Deliveries!C10/1000</f>
        <v>195</v>
      </c>
    </row>
    <row r="7" spans="1:256" ht="15.75">
      <c r="A7" s="844" t="s">
        <v>558</v>
      </c>
      <c r="B7" s="832" t="s">
        <v>414</v>
      </c>
      <c r="C7" s="832"/>
      <c r="D7" s="466">
        <f>PGL_Requirements!H7/1000*0.5</f>
        <v>34</v>
      </c>
      <c r="E7" s="466">
        <f>PGL_Requirements!H8/1000*0.5</f>
        <v>48.453499999999998</v>
      </c>
      <c r="F7" s="466">
        <f>PGL_Requirements!H9/1000*0.5</f>
        <v>0</v>
      </c>
      <c r="G7" s="466">
        <f>PGL_Requirements!H10/1000*0.5</f>
        <v>0</v>
      </c>
      <c r="H7" s="466">
        <f>PGL_Requirements!H11/1000*0.5</f>
        <v>0</v>
      </c>
      <c r="I7" s="467">
        <f>PGL_Requirements!H12/1000*0.5</f>
        <v>0</v>
      </c>
    </row>
    <row r="8" spans="1:256" ht="15.75">
      <c r="A8" s="844" t="s">
        <v>764</v>
      </c>
      <c r="B8" s="832"/>
      <c r="C8" s="832"/>
      <c r="D8" s="466">
        <f>PGL_Requirements!I7/1000+PGL_Requirements!K7/1000</f>
        <v>10</v>
      </c>
      <c r="E8" s="466">
        <f>PGL_Requirements!I8/1000+PGL_Requirements!K8/1000</f>
        <v>0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 ht="15.75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 ht="15.75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 ht="15.75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 ht="15.75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 ht="15.75">
      <c r="A13" s="841" t="s">
        <v>142</v>
      </c>
      <c r="B13" s="832" t="s">
        <v>143</v>
      </c>
      <c r="C13" s="832" t="s">
        <v>59</v>
      </c>
      <c r="D13" s="466">
        <f>PGL_Requirements!P7/1000</f>
        <v>120</v>
      </c>
      <c r="E13" s="466">
        <f>PGL_Requirements!P8/1000</f>
        <v>100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 ht="15.75">
      <c r="A14" s="841"/>
      <c r="B14" s="832"/>
      <c r="C14" s="832" t="s">
        <v>99</v>
      </c>
      <c r="D14" s="466">
        <f>PGL_Requirements!Q7/1000</f>
        <v>1.8</v>
      </c>
      <c r="E14" s="466">
        <f>PGL_Requirements!Q8/1000</f>
        <v>1.5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 ht="15.75">
      <c r="A15" s="841"/>
      <c r="C15" s="832" t="s">
        <v>720</v>
      </c>
      <c r="D15" s="466">
        <f>PGL_Requirements!R7/1000</f>
        <v>0.72</v>
      </c>
      <c r="E15" s="466">
        <f>PGL_Requirements!R8/1000</f>
        <v>0.72</v>
      </c>
      <c r="F15" s="466">
        <f>PGL_Requirements!R9/1000</f>
        <v>0.72</v>
      </c>
      <c r="G15" s="466">
        <f>PGL_Requirements!R10/1000</f>
        <v>0.72</v>
      </c>
      <c r="H15" s="466">
        <f>PGL_Requirements!R11/1000</f>
        <v>0.72</v>
      </c>
      <c r="I15" s="467">
        <f>PGL_Requirements!R12/1000</f>
        <v>0.72</v>
      </c>
    </row>
    <row r="16" spans="1:256" ht="15.75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 ht="15.75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 ht="15.75">
      <c r="A18" s="841"/>
      <c r="B18" s="832" t="s">
        <v>141</v>
      </c>
      <c r="C18" s="832" t="s">
        <v>89</v>
      </c>
      <c r="D18" s="466">
        <f>PGL_Requirements!U7/1000</f>
        <v>0</v>
      </c>
      <c r="E18" s="466">
        <f>PGL_Requirements!U8/1000</f>
        <v>0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 ht="15.75">
      <c r="A19" s="841"/>
      <c r="B19" s="832" t="s">
        <v>139</v>
      </c>
      <c r="C19" s="832" t="s">
        <v>89</v>
      </c>
      <c r="D19" s="466">
        <f>PGL_Requirements!O7/1000</f>
        <v>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 ht="15.75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 ht="15.75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 ht="15.75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 ht="15.75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 ht="15.75">
      <c r="A24" s="844" t="s">
        <v>147</v>
      </c>
      <c r="B24" s="832"/>
      <c r="C24" s="832"/>
      <c r="D24" s="466">
        <f>PGL_Requirements!G7/1000</f>
        <v>0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 ht="15.75">
      <c r="A25" s="841" t="s">
        <v>148</v>
      </c>
      <c r="B25" s="832" t="s">
        <v>735</v>
      </c>
      <c r="C25" s="832"/>
      <c r="D25" s="466">
        <f>PGL_Requirements!J7/1000</f>
        <v>0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 ht="15.75">
      <c r="A26" s="841"/>
      <c r="B26" s="832" t="s">
        <v>67</v>
      </c>
      <c r="C26" s="832"/>
      <c r="D26" s="466">
        <f>PGL_Requirements!C7/1000</f>
        <v>0.2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 ht="15.75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 ht="15.75">
      <c r="A28" s="841"/>
      <c r="B28" s="832" t="s">
        <v>414</v>
      </c>
      <c r="C28" s="832"/>
      <c r="D28" s="466">
        <f>PGL_Requirements!E7/1000</f>
        <v>5.8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 ht="15.75">
      <c r="A29" s="841"/>
      <c r="B29" s="832" t="s">
        <v>94</v>
      </c>
      <c r="C29" s="832"/>
      <c r="D29" s="468">
        <f>PGL_Requirements!F7/1000</f>
        <v>0</v>
      </c>
      <c r="E29" s="468">
        <f>PGL_Requirements!F8/1000</f>
        <v>0</v>
      </c>
      <c r="F29" s="468">
        <f>PGL_Requirements!F9/1000</f>
        <v>0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6.5" thickBot="1">
      <c r="A30" s="849" t="s">
        <v>149</v>
      </c>
      <c r="B30" s="850"/>
      <c r="C30" s="850"/>
      <c r="D30" s="470">
        <f t="shared" ref="D30:I30" si="1">SUM(D6:D29)</f>
        <v>387.52000000000004</v>
      </c>
      <c r="E30" s="470">
        <f t="shared" si="1"/>
        <v>370.67350000000005</v>
      </c>
      <c r="F30" s="470">
        <f t="shared" si="1"/>
        <v>357.745</v>
      </c>
      <c r="G30" s="470">
        <f t="shared" si="1"/>
        <v>357.745</v>
      </c>
      <c r="H30" s="470">
        <f t="shared" si="1"/>
        <v>352.745</v>
      </c>
      <c r="I30" s="1116">
        <f t="shared" si="1"/>
        <v>332.745</v>
      </c>
    </row>
    <row r="31" spans="1:10" ht="17.25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5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6.5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 ht="15.75">
      <c r="A34" s="841"/>
      <c r="B34" s="832"/>
      <c r="C34" s="832" t="s">
        <v>92</v>
      </c>
      <c r="D34" s="466">
        <f>PGL_Supplies!H7/1000</f>
        <v>1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 ht="15.75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 ht="15.75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 ht="15.75">
      <c r="A37" s="841"/>
      <c r="B37" s="832" t="s">
        <v>139</v>
      </c>
      <c r="C37" s="832" t="s">
        <v>89</v>
      </c>
      <c r="D37" s="466">
        <f>PGL_Supplies!L7/1000</f>
        <v>8.1300000000000008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 ht="15.75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 ht="15.75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 ht="15.75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 ht="15.75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 ht="15.75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 ht="15.75">
      <c r="A43" s="844" t="s">
        <v>612</v>
      </c>
      <c r="B43" s="832" t="s">
        <v>414</v>
      </c>
      <c r="C43" s="832"/>
      <c r="D43" s="466">
        <f>PGL_Supplies!T7/1000*0.5</f>
        <v>17.167000000000002</v>
      </c>
      <c r="E43" s="466">
        <f>PGL_Supplies!T8/1000*0.5</f>
        <v>25</v>
      </c>
      <c r="F43" s="466">
        <f>PGL_Supplies!T9/1000*0.5</f>
        <v>0</v>
      </c>
      <c r="G43" s="466">
        <f>PGL_Supplies!T10/1000*0.5</f>
        <v>0</v>
      </c>
      <c r="H43" s="466">
        <f>PGL_Supplies!T11/1000*0.5</f>
        <v>0</v>
      </c>
      <c r="I43" s="467">
        <f>PGL_Supplies!T12/1000*0.5</f>
        <v>0</v>
      </c>
    </row>
    <row r="44" spans="1:9" ht="15.75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 ht="15.75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 ht="15.75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 ht="15.75">
      <c r="A47" s="858" t="s">
        <v>745</v>
      </c>
      <c r="B47" s="832" t="s">
        <v>726</v>
      </c>
      <c r="C47" s="832"/>
      <c r="D47" s="466">
        <f>PGL_Supplies!Y7/1000</f>
        <v>106.16</v>
      </c>
      <c r="E47" s="466">
        <f>PGL_Supplies!Y8/1000</f>
        <v>105.101</v>
      </c>
      <c r="F47" s="466">
        <f>PGL_Supplies!Y9/1000</f>
        <v>102.145</v>
      </c>
      <c r="G47" s="466">
        <f>PGL_Supplies!Y10/1000</f>
        <v>102.145</v>
      </c>
      <c r="H47" s="466">
        <f>PGL_Supplies!Y11/1000</f>
        <v>102.145</v>
      </c>
      <c r="I47" s="467">
        <f>PGL_Supplies!Y12/1000</f>
        <v>102.145</v>
      </c>
    </row>
    <row r="48" spans="1:9" ht="15.75">
      <c r="A48" s="844"/>
      <c r="B48" s="832" t="s">
        <v>141</v>
      </c>
      <c r="C48" s="845"/>
      <c r="D48" s="466">
        <f>PGL_Supplies!Z7/1000</f>
        <v>0.2</v>
      </c>
      <c r="E48" s="466">
        <f>PGL_Supplies!Z8/1000</f>
        <v>0.2</v>
      </c>
      <c r="F48" s="466">
        <f>PGL_Supplies!Z9/1000</f>
        <v>0.2</v>
      </c>
      <c r="G48" s="466">
        <f>PGL_Supplies!Z10/1000</f>
        <v>0.2</v>
      </c>
      <c r="H48" s="466">
        <f>PGL_Supplies!Z11/1000</f>
        <v>0.2</v>
      </c>
      <c r="I48" s="467">
        <f>PGL_Supplies!Z12/1000</f>
        <v>0.2</v>
      </c>
    </row>
    <row r="49" spans="1:10" ht="15.75">
      <c r="A49" s="844"/>
      <c r="B49" s="832" t="s">
        <v>145</v>
      </c>
      <c r="C49" s="845"/>
      <c r="D49" s="466">
        <f>PGL_Supplies!AA7/1000</f>
        <v>0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 ht="15.75">
      <c r="A50" s="844"/>
      <c r="B50" s="832" t="s">
        <v>414</v>
      </c>
      <c r="C50" s="845"/>
      <c r="D50" s="466">
        <f>PGL_Supplies!AB7/1000</f>
        <v>168.27500000000001</v>
      </c>
      <c r="E50" s="466">
        <f>PGL_Supplies!AB8/1000</f>
        <v>182.92</v>
      </c>
      <c r="F50" s="466">
        <f>PGL_Supplies!AB9/1000</f>
        <v>182.92</v>
      </c>
      <c r="G50" s="466">
        <f>PGL_Supplies!AB10/1000</f>
        <v>182.92</v>
      </c>
      <c r="H50" s="466">
        <f>PGL_Supplies!AB11/1000</f>
        <v>182.92</v>
      </c>
      <c r="I50" s="467">
        <f>PGL_Supplies!AB12/1000</f>
        <v>182.92</v>
      </c>
    </row>
    <row r="51" spans="1:10" ht="15.75">
      <c r="A51" s="844"/>
      <c r="B51" s="832" t="s">
        <v>139</v>
      </c>
      <c r="C51" s="832"/>
      <c r="D51" s="466">
        <f>PGL_Supplies!AC7/1000</f>
        <v>50.984999999999999</v>
      </c>
      <c r="E51" s="466">
        <f>PGL_Supplies!AC8/1000</f>
        <v>31.469000000000001</v>
      </c>
      <c r="F51" s="466">
        <f>PGL_Supplies!AC9/1000</f>
        <v>35.469000000000001</v>
      </c>
      <c r="G51" s="466">
        <f>PGL_Supplies!AC10/1000</f>
        <v>35.469000000000001</v>
      </c>
      <c r="H51" s="466">
        <f>PGL_Supplies!AC11/1000</f>
        <v>35.469000000000001</v>
      </c>
      <c r="I51" s="467">
        <f>PGL_Supplies!AC12/1000</f>
        <v>35.469000000000001</v>
      </c>
    </row>
    <row r="52" spans="1:10" ht="15.75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 ht="15.75">
      <c r="A53" s="858"/>
      <c r="B53" s="832" t="s">
        <v>156</v>
      </c>
      <c r="C53" s="832"/>
      <c r="D53" s="466">
        <f>PGL_Supplies!I7/1000</f>
        <v>15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 ht="15.75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 ht="15.75">
      <c r="A55" s="844" t="s">
        <v>759</v>
      </c>
      <c r="B55" s="832"/>
      <c r="C55" s="832"/>
      <c r="D55" s="466">
        <f>PGL_Supplies!B7/1000</f>
        <v>4.3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 ht="15.75">
      <c r="A56" s="841" t="s">
        <v>734</v>
      </c>
      <c r="B56" s="832" t="s">
        <v>726</v>
      </c>
      <c r="C56" s="832"/>
      <c r="D56" s="466">
        <f>PGL_Supplies!X7/1000</f>
        <v>0.3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 ht="15.75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 ht="15.75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 ht="15.75">
      <c r="A59" s="841"/>
      <c r="B59" s="832" t="s">
        <v>414</v>
      </c>
      <c r="C59" s="832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 ht="15.75">
      <c r="A60" s="859"/>
      <c r="B60" s="860" t="s">
        <v>140</v>
      </c>
      <c r="C60" s="860"/>
      <c r="D60" s="468">
        <f>PGL_Supplies!G7/1000</f>
        <v>12</v>
      </c>
      <c r="E60" s="468">
        <f>PGL_Supplies!G8/1000</f>
        <v>0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6.5" thickBot="1">
      <c r="A61" s="862" t="s">
        <v>158</v>
      </c>
      <c r="B61" s="863"/>
      <c r="C61" s="863"/>
      <c r="D61" s="476">
        <f t="shared" ref="D61:I61" si="2">SUM(D33:D60)</f>
        <v>387.51700000000005</v>
      </c>
      <c r="E61" s="476">
        <f t="shared" si="2"/>
        <v>364.69</v>
      </c>
      <c r="F61" s="476">
        <f t="shared" si="2"/>
        <v>340.73399999999998</v>
      </c>
      <c r="G61" s="476">
        <f t="shared" si="2"/>
        <v>340.73399999999998</v>
      </c>
      <c r="H61" s="476">
        <f t="shared" si="2"/>
        <v>340.73399999999998</v>
      </c>
      <c r="I61" s="1118">
        <f t="shared" si="2"/>
        <v>340.73399999999998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0</v>
      </c>
      <c r="E62" s="477">
        <f t="shared" si="3"/>
        <v>0</v>
      </c>
      <c r="F62" s="477">
        <f t="shared" si="3"/>
        <v>0</v>
      </c>
      <c r="G62" s="477">
        <f t="shared" si="3"/>
        <v>0</v>
      </c>
      <c r="H62" s="477">
        <f t="shared" si="3"/>
        <v>0</v>
      </c>
      <c r="I62" s="1119">
        <f t="shared" si="3"/>
        <v>7.9889999999999759</v>
      </c>
    </row>
    <row r="63" spans="1:10" ht="15.75" thickBot="1">
      <c r="A63" s="866" t="s">
        <v>160</v>
      </c>
      <c r="B63" s="850"/>
      <c r="C63" s="867"/>
      <c r="D63" s="478">
        <f t="shared" ref="D63:I63" si="4">IF(D30-D61&lt;0,0,D30-D61)</f>
        <v>2.9999999999859028E-3</v>
      </c>
      <c r="E63" s="478">
        <f t="shared" si="4"/>
        <v>5.9835000000000491</v>
      </c>
      <c r="F63" s="478">
        <f t="shared" si="4"/>
        <v>17.011000000000024</v>
      </c>
      <c r="G63" s="478">
        <f t="shared" si="4"/>
        <v>17.011000000000024</v>
      </c>
      <c r="H63" s="478">
        <f t="shared" si="4"/>
        <v>12.011000000000024</v>
      </c>
      <c r="I63" s="1120">
        <f t="shared" si="4"/>
        <v>0</v>
      </c>
    </row>
    <row r="64" spans="1:10" ht="16.5" thickTop="1" thickBot="1">
      <c r="A64" s="1107" t="s">
        <v>749</v>
      </c>
      <c r="B64" s="1108"/>
      <c r="C64" s="1108"/>
      <c r="D64" s="1109">
        <f>PGL_Supplies!V7/1000</f>
        <v>138.66300000000001</v>
      </c>
      <c r="E64" s="1109">
        <f>PGL_Supplies!V8/1000</f>
        <v>120.247</v>
      </c>
      <c r="F64" s="1109">
        <f>PGL_Supplies!V9/1000</f>
        <v>120.247</v>
      </c>
      <c r="G64" s="1109">
        <f>PGL_Supplies!V10/1000</f>
        <v>120.247</v>
      </c>
      <c r="H64" s="1109">
        <f>PGL_Supplies!V11/1000</f>
        <v>120.247</v>
      </c>
      <c r="I64" s="1110">
        <f>PGL_Supplies!V12/1000</f>
        <v>120.247</v>
      </c>
    </row>
    <row r="65" spans="3:3" ht="15.75" thickTop="1"/>
    <row r="67" spans="3:3">
      <c r="C67" s="113" t="s">
        <v>770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2001-06-12T09:08:16Z</cp:lastPrinted>
  <dcterms:created xsi:type="dcterms:W3CDTF">1997-07-16T16:14:22Z</dcterms:created>
  <dcterms:modified xsi:type="dcterms:W3CDTF">2023-09-10T17:05:42Z</dcterms:modified>
</cp:coreProperties>
</file>