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D88D43-EFA9-4506-A88C-D95B20E689C0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B12" i="11"/>
  <c r="K12" i="11"/>
  <c r="B13" i="11"/>
  <c r="K13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B20" i="11"/>
  <c r="K20" i="11"/>
  <c r="B21" i="11"/>
  <c r="K22" i="11"/>
  <c r="K23" i="11"/>
  <c r="B24" i="11"/>
  <c r="F24" i="11"/>
  <c r="K25" i="11"/>
  <c r="B26" i="11"/>
  <c r="K26" i="11"/>
  <c r="B27" i="11"/>
  <c r="K27" i="11"/>
  <c r="B28" i="11"/>
  <c r="K28" i="11"/>
  <c r="B29" i="11"/>
  <c r="K29" i="11"/>
  <c r="B30" i="11"/>
  <c r="K30" i="11"/>
  <c r="M30" i="11"/>
  <c r="O30" i="11"/>
  <c r="B32" i="11"/>
  <c r="B33" i="11"/>
  <c r="B34" i="11"/>
  <c r="B35" i="11"/>
  <c r="B36" i="11"/>
  <c r="B38" i="11"/>
  <c r="B39" i="11"/>
  <c r="B40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<sst xmlns="http://schemas.openxmlformats.org/spreadsheetml/2006/main" count="2101" uniqueCount="815">
  <si>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</si>
  <si>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</si>
  <si>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</si>
  <si>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</si>
  <si>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</si>
  <si>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</si>
  <si>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</si>
  <si>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</si>
  <si>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</si>
  <si>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</si>
  <si>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</si>
  <si>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</si>
  <si>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</si>
  <si>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</si>
  <si>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</si>
  <si>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</si>
  <si>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</si>
  <si>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</si>
  <si>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</si>
  <si>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</si>
  <si>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</si>
  <si>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</si>
  <si>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</si>
  <si>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</si>
  <si>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</si>
  <si>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</si>
  <si>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</si>
  <si>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</si>
  <si>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</si>
  <si>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</si>
  <si>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</si>
  <si>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</si>
  <si>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</si>
  <si>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</si>
  <si>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</si>
  <si>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</si>
  <si>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</si>
  <si>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</si>
  <si>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</si>
  <si>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</si>
  <si>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</si>
  <si>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</si>
  <si>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</si>
  <si>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</si>
  <si>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</si>
  <si>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</si>
  <si>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</si>
  <si>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</si>
  <si>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</si>
  <si>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</si>
  <si>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</si>
  <si>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</si>
  <si>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</si>
  <si>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</si>
  <si>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</si>
  <si>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</si>
  <si>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</si>
  <si>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</si>
  <si>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</si>
  <si>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</si>
  <si>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</si>
  <si>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</si>
  <si>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</si>
  <si>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</si>
  <si>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</si>
  <si>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</si>
  <si>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</si>
  <si>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</si>
  <si>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</si>
  <si>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</si>
  <si>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</si>
  <si>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</si>
  <si>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</si>
  <si>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</si>
  <si>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</si>
  <si>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</si>
  <si>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</si>
  <si>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</si>
  <si>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</si>
  <si>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</si>
  <si>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</si>
  <si>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</si>
  <si>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</si>
  <si>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</si>
  <si>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</si>
  <si>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</si>
  <si>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</si>
  <si>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</si>
  <si>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</si>
  <si>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</si>
  <si>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</si>
  <si>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</si>
  <si>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</si>
  <si>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</si>
  <si>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</si>
  <si>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</si>
  <si>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</si>
  <si>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</si>
  <si>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</si>
  <si>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</si>
  <si>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</si>
  <si>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</si>
  <si>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</si>
  <si>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</si>
  <si>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</si>
  <si>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</si>
  <si>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</si>
  <si>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</si>
  <si>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</si>
  <si>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</si>
  <si>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</si>
  <si>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</si>
  <si>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</si>
  <si>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</si>
  <si>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</si>
  <si>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</si>
  <si>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</si>
  <si>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</si>
  <si>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</si>
  <si>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</si>
  <si>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</si>
  <si>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</si>
  <si>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</si>
  <si>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</si>
  <si>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</si>
  <si>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</si>
  <si>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</si>
  <si>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</si>
  <si>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</si>
  <si>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</si>
  <si>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</si>
  <si>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</si>
  <si>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</si>
  <si>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</si>
  <si>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</si>
  <si>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</si>
  <si>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</si>
  <si>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</si>
  <si>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</si>
  <si>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</si>
  <si>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</si>
  <si>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</si>
  <si>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</si>
  <si>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</si>
  <si>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</si>
  <si>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</si>
  <si>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</si>
  <si>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</si>
  <si>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</si>
  <si>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</si>
  <si>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</si>
  <si>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</si>
  <si>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</si>
  <si>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</si>
  <si>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</si>
  <si>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</si>
  <si>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</si>
  <si>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</si>
  <si>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</si>
  <si>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</si>
  <si>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</si>
  <si>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</si>
  <si>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</si>
  <si>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</si>
  <si>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</si>
  <si>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</si>
  <si>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</si>
  <si>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</si>
  <si>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</si>
  <si>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</si>
  <si>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</si>
  <si>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</si>
  <si>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</si>
  <si>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</si>
  <si>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</si>
  <si>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</si>
  <si>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</si>
  <si>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</si>
  <si>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</si>
  <si>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</si>
  <si>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</si>
  <si>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</si>
  <si>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</si>
  <si>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</si>
  <si>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</si>
  <si>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</si>
  <si>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</si>
  <si>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</si>
  <si>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</si>
  <si>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</si>
  <si>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</si>
  <si>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</si>
  <si>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</si>
  <si>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</si>
  <si>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</si>
  <si>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</si>
  <si>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</si>
  <si>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</si>
  <si>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</si>
  <si>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</si>
  <si>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</si>
  <si>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</si>
  <si>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</si>
  <si>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</si>
  <si>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</si>
  <si>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</si>
  <si>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</si>
  <si>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</si>
  <si>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</si>
  <si>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</si>
  <si>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</si>
  <si>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</si>
  <si>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</si>
  <si>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</si>
  <si>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</si>
  <si>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</si>
  <si>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</si>
  <si>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</si>
  <si>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</si>
  <si>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</si>
  <si>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</si>
  <si>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</si>
  <si>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</si>
  <si>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</si>
  <si>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</si>
  <si>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</si>
  <si>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</si>
  <si>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</si>
  <si>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</si>
  <si>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</si>
  <si>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</si>
  <si>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</si>
  <si>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</si>
  <si>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</si>
  <si>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</si>
  <si>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</si>
  <si>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</si>
  <si>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</si>
  <si>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</si>
  <si>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</si>
  <si>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</si>
  <si>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</si>
  <si>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</si>
  <si>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</si>
  <si>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</si>
  <si>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</si>
  <si>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</si>
  <si>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</si>
  <si>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</si>
  <si>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</si>
  <si>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</si>
  <si>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</si>
  <si>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</si>
  <si>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</si>
  <si>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</si>
  <si>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</si>
  <si>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</si>
  <si>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</si>
  <si>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</si>
  <si>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</si>
  <si>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</si>
  <si>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</si>
  <si>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</si>
  <si>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</si>
  <si>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</si>
  <si>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</si>
  <si>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</si>
  <si>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</si>
  <si>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</si>
  <si>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</si>
  <si>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</si>
  <si>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</si>
  <si>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</si>
  <si>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</si>
  <si>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</si>
  <si>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</si>
  <si>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</si>
  <si>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</si>
  <si>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</si>
  <si>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</si>
  <si>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</si>
  <si>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</si>
  <si>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</si>
  <si>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</si>
  <si>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</si>
  <si>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</si>
  <si>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</si>
  <si>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</si>
  <si>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</si>
  <si>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</si>
  <si>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</si>
  <si>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</si>
  <si>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</si>
  <si>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</si>
  <si>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</si>
  <si>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</si>
  <si>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</si>
  <si>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</si>
  <si>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</si>
  <si>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</si>
  <si>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</si>
  <si>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</si>
  <si>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</si>
  <si>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</si>
  <si>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</si>
  <si>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</si>
  <si>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</si>
  <si>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</si>
  <si>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</si>
  <si>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</si>
  <si>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</si>
  <si>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</si>
  <si>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</si>
  <si>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</si>
  <si>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</si>
  <si>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</si>
  <si>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</si>
  <si>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</si>
  <si>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</si>
  <si>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</si>
  <si>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</si>
  <si>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</si>
  <si>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</si>
  <si>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</si>
  <si>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</si>
  <si>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</si>
  <si>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</si>
  <si>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</si>
  <si>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</si>
  <si>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</si>
  <si>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</si>
  <si>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</si>
  <si>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</si>
  <si>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</si>
  <si>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</si>
  <si>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</si>
  <si>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</si>
  <si>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</si>
  <si>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</si>
  <si>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</si>
  <si>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</si>
  <si>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</si>
  <si>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</si>
  <si>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</si>
  <si>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</si>
  <si>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</si>
  <si>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</si>
  <si>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</si>
  <si>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</si>
  <si>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</si>
  <si>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</si>
  <si>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</si>
  <si>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</si>
  <si>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</si>
  <si>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</si>
  <si>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</si>
  <si>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</si>
  <si>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</si>
  <si>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</si>
  <si>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</si>
  <si>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</si>
  <si>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</si>
  <si>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</si>
  <si>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</si>
  <si>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</si>
  <si>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</si>
  <si>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</si>
  <si>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</si>
  <si>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</si>
  <si>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</si>
  <si>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</si>
  <si>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</si>
  <si>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</si>
  <si>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</si>
  <si>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</si>
  <si>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</si>
  <si>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</si>
  <si>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</si>
  <si>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</si>
  <si>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</si>
  <si>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</si>
  <si>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</si>
  <si>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</si>
  <si>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</si>
  <si>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</si>
  <si>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</si>
  <si>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</si>
  <si>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</si>
  <si>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</si>
  <si>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</si>
  <si>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</si>
  <si>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</si>
  <si>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</si>
  <si>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</si>
  <si>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</si>
  <si>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</si>
  <si>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</si>
  <si>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</si>
  <si>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</si>
  <si>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</si>
  <si>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</si>
  <si>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</si>
  <si>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</si>
  <si>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</si>
  <si>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</si>
  <si>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</si>
  <si>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</si>
  <si>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</si>
  <si>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</si>
  <si>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</si>
  <si>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</si>
  <si>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</si>
  <si>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</si>
  <si>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</si>
  <si>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</si>
  <si>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</si>
  <si>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</si>
  <si>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</si>
  <si>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</si>
  <si>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</si>
  <si>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</si>
  <si>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</si>
  <si>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</si>
  <si>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</si>
  <si>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</si>
  <si>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</si>
  <si>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</si>
  <si>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</si>
  <si>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</si>
  <si>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</si>
  <si>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</si>
  <si>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</si>
  <si>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</si>
  <si>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</si>
  <si>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</si>
  <si>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</si>
  <si>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</si>
  <si>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</si>
  <si>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</si>
  <si>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</si>
  <si>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</si>
  <si>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</si>
  <si>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</si>
  <si>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</si>
  <si>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</si>
  <si>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</si>
  <si>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</si>
  <si>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</si>
  <si>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</si>
  <si>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</si>
  <si>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</si>
  <si>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</si>
  <si>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</si>
  <si>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</si>
  <si>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</si>
  <si>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</si>
  <si>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</si>
  <si>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</si>
  <si>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</si>
  <si>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</si>
  <si>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</si>
  <si>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</si>
  <si>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</si>
  <si>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</si>
  <si>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</si>
  <si>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</si>
  <si>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</si>
  <si>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</si>
  <si>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</si>
  <si>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</si>
  <si>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</si>
  <si>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</si>
  <si>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</si>
  <si>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</si>
  <si>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</si>
  <si>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</si>
  <si>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</si>
  <si>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</si>
  <si>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</si>
  <si>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</si>
  <si>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</si>
  <si>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</si>
  <si>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</si>
  <si>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</si>
  <si>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</si>
  <si>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</si>
  <si>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</si>
  <si>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</si>
  <si>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</si>
  <si>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</si>
  <si>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</si>
  <si>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</si>
  <si>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</si>
  <si>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</si>
  <si>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</si>
  <si>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</si>
  <si>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</si>
  <si>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</si>
  <si>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</si>
  <si>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</si>
  <si>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</si>
  <si>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</si>
  <si>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</si>
  <si>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</si>
  <si>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</si>
  <si>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</si>
  <si>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</si>
  <si>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</si>
  <si>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</si>
  <si>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</si>
  <si>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</si>
  <si>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</si>
  <si>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</si>
  <si>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</si>
  <si>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</si>
  <si>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</si>
  <si>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</si>
  <si>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</si>
  <si>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</si>
  <si>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</si>
  <si>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</si>
  <si>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</si>
  <si>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</si>
  <si>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</si>
  <si>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</si>
  <si>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</si>
  <si>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</si>
  <si>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</si>
  <si>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</si>
  <si>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</si>
  <si>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</si>
  <si>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</si>
  <si>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</si>
  <si>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</si>
  <si>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</si>
  <si>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</si>
  <si>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</si>
  <si>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</si>
  <si>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</si>
  <si>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</si>
  <si>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</si>
  <si>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</si>
  <si>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</si>
  <si>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</si>
  <si>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</si>
  <si>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</si>
  <si>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</si>
  <si>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</si>
  <si>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</si>
  <si>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</si>
  <si>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</si>
  <si>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</si>
  <si>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</si>
  <si>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</si>
  <si>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</si>
  <si>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</si>
  <si>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</si>
  <si>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</si>
  <si>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</si>
  <si>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</si>
  <si>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</si>
  <si>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</si>
  <si>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</si>
  <si>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</si>
  <si>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</si>
  <si>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</si>
  <si>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</si>
  <si>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</si>
  <si>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</si>
  <si>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</si>
  <si>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</si>
  <si>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</si>
  <si>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</si>
  <si>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</si>
  <si>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</si>
  <si>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</si>
  <si>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</si>
  <si>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</si>
  <si>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</si>
  <si>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</si>
  <si>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</si>
  <si>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</si>
  <si>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</si>
  <si>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</si>
  <si>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</si>
  <si>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</si>
  <si>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</si>
  <si>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</si>
  <si>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</si>
  <si>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</si>
  <si>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</si>
  <si>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</si>
  <si>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</si>
  <si>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</si>
  <si>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</si>
  <si>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</si>
  <si>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</si>
  <si>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</si>
  <si>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</si>
  <si>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</si>
  <si>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</si>
  <si>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</si>
  <si>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</si>
  <si>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</si>
  <si>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</si>
  <si>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</si>
  <si>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</si>
  <si>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</si>
  <si>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</si>
  <si>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</si>
  <si>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</si>
  <si>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</si>
  <si>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</si>
  <si>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</si>
  <si>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</si>
  <si>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</si>
  <si>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</si>
  <si>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</si>
  <si>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</si>
  <si>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</si>
  <si>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</si>
  <si>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</si>
  <si>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</si>
  <si>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</si>
  <si>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</si>
  <si>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</si>
  <si>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</si>
  <si>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</si>
  <si>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</si>
  <si>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</si>
  <si>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</si>
  <si>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</si>
  <si>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</si>
  <si>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</si>
  <si>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</si>
  <si>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</si>
  <si>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</si>
  <si>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</si>
  <si>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</si>
  <si>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</si>
  <si>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</si>
  <si>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</si>
  <si>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</si>
  <si>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</si>
  <si>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</si>
  <si>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</si>
  <si>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</si>
  <si>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</si>
  <si>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</si>
  <si>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</si>
  <si>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</si>
  <si>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</si>
  <si>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</si>
  <si>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</si>
  <si>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</si>
  <si>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</si>
  <si>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</si>
  <si>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</si>
  <si>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</si>
  <si>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</si>
  <si>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</si>
  <si>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</si>
  <si>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</si>
  <si>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</si>
  <si>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</si>
  <si>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</si>
  <si>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</si>
  <si>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</si>
  <si>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</si>
  <si>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</si>
  <si>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</si>
  <si>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</si>
  <si>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</si>
  <si>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</si>
  <si>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</si>
  <si>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</si>
  <si>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</si>
  <si>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</si>
  <si>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</si>
  <si>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</si>
  <si>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</si>
  <si>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</si>
  <si>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</si>
  <si>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</si>
  <si>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</si>
  <si>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</si>
  <si>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</si>
  <si>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</si>
  <si>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</si>
  <si>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</si>
  <si>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</si>
  <si>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</si>
  <si>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</si>
  <si>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</si>
  <si>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</si>
  <si>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</si>
  <si>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</si>
  <si>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</si>
  <si>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</si>
  <si>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</si>
  <si>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</si>
  <si>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</si>
  <si>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</si>
  <si>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</si>
  <si>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</si>
  <si>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</si>
  <si>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</si>
  <si>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</si>
  <si>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</si>
  <si>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</si>
  <si>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</si>
  <si>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</si>
  <si>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</si>
  <si>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</si>
  <si>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</si>
  <si>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</si>
  <si>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</si>
  <si>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</si>
  <si>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</si>
  <si>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</si>
  <si>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</si>
  <si>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</si>
  <si>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</si>
  <si>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</si>
  <si>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</si>
  <si>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</si>
  <si>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</si>
  <si>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</si>
  <si>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</si>
  <si>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</si>
  <si>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</si>
  <si>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</si>
  <si>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</si>
  <si>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</si>
  <si>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</si>
  <si>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</si>
  <si>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</si>
  <si>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</si>
  <si>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</si>
  <si>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</si>
  <si>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</si>
  <si>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</si>
  <si>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</si>
  <si>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</si>
  <si>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</si>
  <si>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</si>
  <si>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</si>
  <si>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</si>
  <si>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</si>
  <si>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</si>
  <si>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</si>
  <si>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</si>
  <si>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</si>
  <si>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</si>
  <si>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</si>
  <si>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</si>
  <si>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</si>
  <si>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</si>
  <si>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</si>
  <si>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</si>
  <si>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</si>
  <si>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</si>
  <si>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</si>
  <si>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</si>
  <si>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Hub Activities Oakton NICOR and Allegheny</t>
  </si>
  <si>
    <t>Allegheny Gas Uasage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</si>
  <si>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</si>
  <si>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</si>
  <si>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</si>
  <si>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</si>
  <si>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</si>
  <si>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</si>
  <si>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</si>
  <si>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</si>
  <si>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</si>
  <si>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</si>
  <si>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</si>
  <si>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</si>
  <si>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</si>
  <si>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</si>
  <si>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</si>
  <si>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</si>
  <si>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</si>
  <si>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</si>
  <si>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</si>
  <si>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</si>
  <si>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</si>
  <si>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</si>
  <si>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</si>
  <si>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</si>
  <si>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</si>
  <si>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</si>
  <si>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</si>
  <si>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</si>
  <si>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</si>
  <si>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</si>
  <si>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</si>
  <si>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</si>
  <si>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</si>
  <si>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</si>
  <si>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</si>
  <si>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</si>
  <si>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</si>
  <si>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</si>
  <si>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</si>
  <si>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</si>
  <si>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</si>
  <si>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</si>
  <si>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N/A</t>
  </si>
  <si>
    <t xml:space="preserve">  PARTLY  SUNNY,    HIGH NEAR 90.      </t>
  </si>
  <si>
    <t xml:space="preserve">  TONIGHT  PARTLY  CLOUDY   LOW 7O.  WIND S AT 10.</t>
  </si>
  <si>
    <t>THUR. NIGHT CHANCE OF T-STORM.</t>
  </si>
  <si>
    <t xml:space="preserve">  MOSTLY SUNNY HOT AND HUMID. HIGH IN THE LOWER 90S.  WIND S 10 TO 20  MPH.</t>
  </si>
  <si>
    <t xml:space="preserve">  CHANCE  OF  A.M.  SHOWERS AND T-STORMS.</t>
  </si>
  <si>
    <t xml:space="preserve">  PARTLY CLOUDY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</si>
</sst>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60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7" fontId="29" fillId="0" borderId="170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2" xfId="0" applyBorder="1"/>
    <xf numFmtId="0" fontId="56" fillId="0" borderId="173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4" xfId="0" applyNumberFormat="1" applyFont="1" applyFill="1" applyBorder="1" applyAlignment="1"/>
    <xf numFmtId="166" fontId="29" fillId="0" borderId="175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6" xfId="0" applyNumberFormat="1" applyBorder="1"/>
    <xf numFmtId="166" fontId="0" fillId="0" borderId="177" xfId="0" applyNumberFormat="1" applyBorder="1"/>
    <xf numFmtId="166" fontId="0" fillId="3" borderId="111" xfId="0" applyNumberFormat="1" applyFill="1" applyBorder="1"/>
    <xf numFmtId="166" fontId="0" fillId="3" borderId="177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8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9" xfId="0" applyNumberFormat="1" applyFont="1" applyFill="1" applyBorder="1" applyProtection="1"/>
    <xf numFmtId="166" fontId="57" fillId="2" borderId="180" xfId="0" applyNumberFormat="1" applyFont="1" applyFill="1" applyBorder="1" applyProtection="1"/>
    <xf numFmtId="166" fontId="16" fillId="2" borderId="181" xfId="0" applyNumberFormat="1" applyFont="1" applyFill="1" applyBorder="1" applyProtection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1" xfId="0" applyNumberFormat="1" applyFont="1" applyFill="1" applyBorder="1" applyProtection="1"/>
    <xf numFmtId="167" fontId="11" fillId="0" borderId="172" xfId="0" applyNumberFormat="1" applyFont="1" applyBorder="1"/>
    <xf numFmtId="167" fontId="11" fillId="0" borderId="184" xfId="0" applyNumberFormat="1" applyFont="1" applyBorder="1"/>
    <xf numFmtId="172" fontId="29" fillId="0" borderId="65" xfId="0" applyNumberFormat="1" applyFont="1" applyBorder="1"/>
    <xf numFmtId="166" fontId="0" fillId="0" borderId="176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5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6" xfId="0" applyFont="1" applyBorder="1"/>
    <xf numFmtId="0" fontId="31" fillId="0" borderId="177" xfId="0" applyFont="1" applyBorder="1"/>
    <xf numFmtId="0" fontId="31" fillId="0" borderId="186" xfId="0" applyFont="1" applyBorder="1"/>
    <xf numFmtId="0" fontId="29" fillId="0" borderId="176" xfId="0" applyFont="1" applyBorder="1"/>
    <xf numFmtId="0" fontId="0" fillId="0" borderId="176" xfId="0" applyBorder="1"/>
    <xf numFmtId="0" fontId="31" fillId="6" borderId="187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8" xfId="0" applyFont="1" applyFill="1" applyBorder="1" applyAlignment="1">
      <alignment horizontal="left"/>
    </xf>
    <xf numFmtId="0" fontId="30" fillId="6" borderId="172" xfId="0" applyFont="1" applyFill="1" applyBorder="1" applyAlignment="1">
      <alignment horizontal="left"/>
    </xf>
    <xf numFmtId="0" fontId="28" fillId="6" borderId="172" xfId="0" quotePrefix="1" applyFont="1" applyFill="1" applyBorder="1" applyAlignment="1">
      <alignment horizontal="center"/>
    </xf>
    <xf numFmtId="0" fontId="6" fillId="5" borderId="172" xfId="0" applyFont="1" applyFill="1" applyBorder="1"/>
    <xf numFmtId="0" fontId="28" fillId="6" borderId="188" xfId="0" applyFont="1" applyFill="1" applyBorder="1" applyAlignment="1">
      <alignment horizontal="centerContinuous"/>
    </xf>
    <xf numFmtId="0" fontId="28" fillId="6" borderId="172" xfId="0" applyFont="1" applyFill="1" applyBorder="1" applyAlignment="1">
      <alignment horizontal="centerContinuous"/>
    </xf>
    <xf numFmtId="0" fontId="31" fillId="6" borderId="172" xfId="0" applyFont="1" applyFill="1" applyBorder="1" applyAlignment="1">
      <alignment horizontal="centerContinuous"/>
    </xf>
    <xf numFmtId="0" fontId="31" fillId="6" borderId="184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9" xfId="0" applyBorder="1"/>
    <xf numFmtId="0" fontId="0" fillId="0" borderId="107" xfId="0" applyBorder="1"/>
    <xf numFmtId="0" fontId="16" fillId="0" borderId="86" xfId="0" applyFont="1" applyBorder="1"/>
    <xf numFmtId="0" fontId="16" fillId="0" borderId="190" xfId="0" applyFont="1" applyBorder="1"/>
    <xf numFmtId="0" fontId="0" fillId="0" borderId="142" xfId="0" applyBorder="1"/>
    <xf numFmtId="0" fontId="0" fillId="0" borderId="191" xfId="0" applyBorder="1"/>
    <xf numFmtId="0" fontId="0" fillId="0" borderId="46" xfId="0" applyBorder="1"/>
    <xf numFmtId="0" fontId="0" fillId="0" borderId="186" xfId="0" applyBorder="1"/>
    <xf numFmtId="0" fontId="0" fillId="0" borderId="168" xfId="0" applyBorder="1"/>
    <xf numFmtId="0" fontId="0" fillId="0" borderId="177" xfId="0" applyBorder="1"/>
    <xf numFmtId="0" fontId="0" fillId="0" borderId="125" xfId="0" applyBorder="1"/>
    <xf numFmtId="0" fontId="0" fillId="0" borderId="192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3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2" xfId="0" applyFont="1" applyBorder="1" applyAlignment="1">
      <alignment horizontal="left"/>
    </xf>
    <xf numFmtId="0" fontId="29" fillId="0" borderId="194" xfId="0" applyFont="1" applyBorder="1" applyAlignment="1">
      <alignment horizontal="left"/>
    </xf>
    <xf numFmtId="179" fontId="11" fillId="2" borderId="195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92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6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7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767DE35A-FC94-306A-53E6-67FB703025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1A20618F-F737-ADFC-B90A-8173AE2ECE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46FA3BA4-5002-DC41-81B5-C8CEBFC44A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C8015889-FCF8-49C2-098F-30625B01A9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F8941D89-4687-4C5E-0A50-D3125AF0C8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5B66C684-1F01-6F6E-54C1-6049ADD97C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A9292F0-F4B5-F45A-83AD-0916935659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17F8A1DA-6FBD-61E4-04B7-C35FCBCB75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DF161DCE-E202-68F5-00E6-1FBE75A9FD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298EEFF-A4D3-B4E2-51EC-D7F0C313B0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529F2E30-7A7C-9158-6EF1-405FD88A8B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20062FAC-4B03-CB57-4951-522EDCE4F2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9933640-6201-9013-6A65-9B89599211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7E27AAE9-39E2-9A52-4B5F-16A6F274B2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970EE9D3-1266-7CB9-CD1E-0514383DEF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D7B635CC-16AC-39E9-04BA-1EAC096FA4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32036258-F738-29D1-FF8E-44BF9273D1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2939CA08-CAA7-CC4F-89CA-E41155A93D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E264E9CF-AEAB-D79F-4DFA-C362477B86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DD9D935E-63C7-A21A-71F6-8838D9F38B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4A0DCA89-3392-68BC-C479-A6F41CC7A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49FAAC7A-48D4-87ED-0A0A-DEF9A73CF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9D6501FA-A427-313B-CF3B-945414E71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DD581065-834A-02F6-FF85-DE381C657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2FEFBCA4-775C-D884-6773-6DB0E2227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334A77CB-B39B-90A0-ED5B-2FCDAA11D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93FA7C51-2308-08C1-ECDA-3964E1799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757B46A9-F7CC-CF56-8891-3A9EE2BF2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CC778594-60A5-4289-F1B9-075D194FB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52C4A277-113B-56F1-3697-4CE3A9564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BF4077C8-CC79-E9DF-A72E-949D02D80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D479191E-5924-195C-18F9-962C7987C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571C96F7-F71C-EB90-AE0C-3B3C7345C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678FF6CD-0CA7-80D5-0DBE-7A3C41C60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645FC139-6E0C-E927-58BA-019F92879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C968BCF2-7F39-0816-1635-6C8B7A2C8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7A6B6064-4D6C-0D4F-4B65-7214437C3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A9EE9261-7BE2-862D-AC6A-45D5DA8CB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F63325E6-582A-A722-919F-E69BF1984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0B0BA2FB-61AD-0796-3432-F73EE3102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B63814D7-D904-373E-B824-22A7AA06C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85968C79-E4A5-56C1-926F-635BE32E2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DF045A18-C476-3CC0-D645-DA31EA8FB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82D52E8D-B292-8888-5A70-96E43F9B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349" name="Day_1">
          <a:extLst>
            <a:ext uri="{FF2B5EF4-FFF2-40B4-BE49-F238E27FC236}">
              <a16:creationId xmlns:a16="http://schemas.microsoft.com/office/drawing/2014/main" id="{D72A8F62-692D-65DB-FB10-D6D3526B7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350" name="Day_2">
          <a:extLst>
            <a:ext uri="{FF2B5EF4-FFF2-40B4-BE49-F238E27FC236}">
              <a16:creationId xmlns:a16="http://schemas.microsoft.com/office/drawing/2014/main" id="{BB8BEE5E-426D-5B57-B10F-75DFAA006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351" name="Day_3">
          <a:extLst>
            <a:ext uri="{FF2B5EF4-FFF2-40B4-BE49-F238E27FC236}">
              <a16:creationId xmlns:a16="http://schemas.microsoft.com/office/drawing/2014/main" id="{47456D2B-2F48-62BA-2603-FF85CFAAA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352" name="Day_4">
          <a:extLst>
            <a:ext uri="{FF2B5EF4-FFF2-40B4-BE49-F238E27FC236}">
              <a16:creationId xmlns:a16="http://schemas.microsoft.com/office/drawing/2014/main" id="{A3CC94D2-658E-095B-65D5-8E8138BD3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353" name="Day_5">
          <a:extLst>
            <a:ext uri="{FF2B5EF4-FFF2-40B4-BE49-F238E27FC236}">
              <a16:creationId xmlns:a16="http://schemas.microsoft.com/office/drawing/2014/main" id="{0BB593FE-D50E-00B5-97E2-251C0D770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354" name="Day_6">
          <a:extLst>
            <a:ext uri="{FF2B5EF4-FFF2-40B4-BE49-F238E27FC236}">
              <a16:creationId xmlns:a16="http://schemas.microsoft.com/office/drawing/2014/main" id="{CA80095F-3DEF-792F-EE22-3CE745FAE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27B5A8F2-4689-1437-CA67-5FB940F644FE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644A7053-3C23-549D-D6CB-2029431809E9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1800E33E-197A-C480-FE16-29E5534A0F8A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C1BB2A40-ADFE-B25E-597D-A4C952C6A828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61E1812C-A244-BD8B-FD57-C4CF0947F34C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CAA4A5DB-CDFA-4C0D-51A3-3A515B1251D2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7C2C7705-FAE8-C6A3-E0E7-7E60906489C0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813D1A7C-7407-BDD1-26DE-44D430AC6B10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9415EF7D-8182-58A8-885A-206FA6A23D0E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42CE17DB-AFBF-DEB5-756A-45E7F76DACF3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0887A863-D982-2136-2BA8-45795CC3CA7D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B3E63D16-DA8C-4799-02AB-FA84A6AD0246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7215A824-D6EB-3B15-3033-3B66EC3722F4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174D770E-081A-6A89-EE35-0F1F24F30C2E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9AB03350-BB34-FE49-B3CB-8CC78B0A8A7B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1B2BD572-54A8-2856-29DD-CFE9016337BE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15B511DB-DE42-1B83-C35B-EE01ACBE554F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E427A8CA-3AAC-5AC7-D81F-7F73F823B444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5C246D3D-B93D-1F83-BF85-4D395DA9EF57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3F01B4C6-F359-D53E-25F1-E92F621C3A23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334B620C-F823-8179-E620-60D441BA38CB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BB95B5BA-6551-C469-731E-28F3CA6432D4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1AEB598A-ED0E-BE44-5C15-C4DA24C51C84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B7D4308B-D164-3098-983F-803410A0CAF2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D4F68F55-4200-207B-3FF4-4FA46FBB494E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3DD3D62B-F3BD-53A8-7D4C-1614AA2290CF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26F9CB5F-8913-F0CF-3BD7-7D27A325FDD6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B37A98CA-6051-EC36-3809-DCB911C5FB40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F5FC20CA-082B-0F2B-BA24-5C52D1C9D77E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7492D080-5795-F51E-4B8B-A50F6BCA4F7A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B0D3D187-AA30-76D9-6C81-007B802D6EC1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8C100224-7C3B-42FD-E2A6-7E2017E7DFDA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F43AB16F-B546-A216-D0E8-C78DBE768100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C5D5040B-31DA-6859-4FB9-8F3E5FD3284D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545863C8-3AAD-AEA7-BEF7-9A53D01CD59A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2BEA23B8-0BFB-8CCE-C83D-015BA8A86942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E9FD5CF7-243C-12C4-E4A0-FF85A270A5E5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BCFAA28A-A421-1B80-8DD6-73A076C2A232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D94F65F9-BC8E-A0C3-A05C-B4251BCE6AE1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2C168EAA-77E3-4E7F-E68C-613CAC573968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D00E0A55-B0D3-F3C1-08F6-5E004C1BAECE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537FBE0C-9FE9-41EB-61D9-356D9B98F958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CEB0AB43-04F4-B538-3A17-EE9172F6B36F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8DC5772B-9CE6-C5A6-C728-7BCA9434F340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81FCB93D-1906-FEE7-150F-0AA9A2E403BB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AE501301-B564-E5EB-B57B-FE59352A67B0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5C78B67F-53C8-59DB-BA78-4AE07D3AB136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02B4DD8B-ADCB-BE7E-0899-E338C9D1B8BB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504BF1CE-EDC6-345E-5F70-7F0275C4A576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FB07381E-DF9C-E030-9CBE-284A7BDEF350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EE50F3CF-0A0C-F2D4-4DFC-A3CE3C4A1135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AE7C15C1-96D5-2DAA-8FD7-225D37EE7F05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C5F5C9AD-00C6-4E9E-2773-1F2A792DADF8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6C8D658E-98B5-773C-D2BE-EA48D49C468E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C4EEE247-77F6-B092-871B-C1E2E8B9E9AA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123BF922-FD7A-6FCE-160D-8DA80AC77A46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FDAF9870-4008-692A-826C-6A7ED7A0F518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04330854-96F1-2F40-5D97-CD0F6E86F1DD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1B28CA1D-C101-3489-A54E-01AF78D9AFC3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11D8F1C4-3428-2F14-3703-95700C30C2EE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74026C30-E929-FEBE-4165-EEA61FB46C37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04B9E2E2-FCCD-0429-5F7A-E0A8A85CE659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FE6642CD-B33B-8A18-E906-AC16625AA5BB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49F25F2E-8FD6-BF82-BEDD-691812A3BB8B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D1406C6A-2AAD-3070-B2D0-09A79894451D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87210C51-1B16-57B5-6BF7-23D2E40F13FE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5F04D481-A82C-DA4F-BDC1-91AFCA20CA47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C937E08B-4BD6-18E0-D2F5-0D4C33F77C58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B88C1DC0-A8C4-1417-5518-22FD3B841B9A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A0CEE3BB-3151-615B-320F-0212F0BBDD86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8254DC5B-C9A0-233A-4AF0-882F9FC8D369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0756FF4F-75D2-7D4F-9F25-B1A1BAD49DB0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63BD3BD2-6134-DC40-EB69-38A445D4EBF4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3476E8C8-34FF-8179-9940-B54FDFE916BB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D8E39F41-F4B4-3DD2-8B9C-795EDAC1E5CA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9CCA9911-E72E-5C23-3256-3626863DBE6F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42A27EF7-D098-FA46-AFB0-6712F3ED3F79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084B19F9-959F-16B5-E771-538262814E04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C974ECAC-3739-CC20-0B89-4B8580377FBF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450B9639-6CE2-C2CD-CE69-B5AE28D8F724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CD35D78A-838E-633B-7B97-2284ACC5B208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364C2A78-484E-32B2-CB15-DB50DE07BD10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F18C2086-FFA4-DDF0-3194-68F2AFD17F1F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F40A4753-A5F1-370A-6463-8A5A4F02EF67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3D036D4B-48D1-B80B-F28D-C5B1AB9D2A16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17496B6F-0F41-83BA-D18C-3D20B0813076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E334A188-937E-2D8D-74DD-324CAD14CBBA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904796A9-82CB-7AF7-8567-681974046653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70B77B6F-F5DE-79CF-77F0-6803AFB37B27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24849166-9A95-AEF0-3A36-1228B120604F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79ADB506-928B-111E-AF89-8BE21E667F57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FD132672-B3ED-D0A4-864A-40132739120B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042FE4EA-4621-EB32-4AC3-5136C216850D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9FC1CB77-4C19-8EF7-3A85-637D832BEAA6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DBB03370-B5C5-DA24-FBE8-EA5C874897ED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19BCFFE3-66ED-412A-BAC5-137DD9670BAC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A6A4DDCE-458C-9AC7-55F6-B7BB661099E1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D2E37A13-ADFB-322E-97DE-BD43FB0E8F94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7C8B3756-A9A3-6830-4AEF-FBDBDB0D1508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ADACB093-7830-28FF-66B0-F31876BD5A6A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5DF3CD2A-C045-52CE-8906-AC882CBDC8FB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C79391A0-33B0-9F79-37DD-FD25A384EF0B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C95BED54-B9F9-2250-D4C5-F46C973F0F41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6147D00A-DE08-7619-33BC-72DE31205E35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444B8E01-8EF9-4CCF-C2D8-C31FABB1DB17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EB0A355D-07AA-EA6A-6482-22CDA76F1CAC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D5223615-DCD4-73FF-3B7B-C6B1264BA26A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78B553D6-239D-7657-9021-D43F97FE0BBB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6E168DAA-0190-DC5C-0B54-3B55D3865F85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68F39F03-3F20-5512-E7C6-7DD398201DE1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37C7D6F4-8B80-58CD-2520-C0BBFDBC14D9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4A02D5BE-9182-9F1C-CEB6-21704CE5BCE3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01528A63-C512-ED36-AFBF-6C5D3B364429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679F1E24-AD8C-B022-B377-FC3C9F5A6A87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6182445E-8C92-F276-5213-9E9373382BD8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F2CCE914-F0AA-E2F6-7DBC-8AF4BA51C248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5D9E55D5-8946-175D-6751-C1675631E6B6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A53B3B8C-0672-40FD-A65A-DB96CD9B8EB0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E2DF057E-FD8F-A32B-5EB4-3A5E0B08C74C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C436AA10-0537-F158-C847-5094BE2CEE4E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F14E89EB-12AA-B065-5741-C45AE1884EB4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244EB059-2C26-BFF0-E2DD-FCEBBE73298C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3FDD726D-A1CF-CBED-4780-6F4DC0171AEB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0092C39B-6317-1E73-263E-DA3CB28847E1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54DBFBB4-1877-0019-E4FB-47D2ED07D983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D9F13047-8780-790D-0EC0-B9D3510AD3A0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0AC6F632-C3B8-40B1-63D7-B75D929AFBD7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ED1456E6-5870-7A78-2F93-D4D795153B60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A646FC8E-EC3C-3370-335D-9C686C2698A8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545F2549-9D36-DF22-6755-17B376B66A45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55" t="s">
        <v>10</v>
      </c>
      <c r="B1" s="804"/>
    </row>
    <row r="2" spans="1:88">
      <c r="A2" s="1055" t="s">
        <v>10</v>
      </c>
      <c r="B2" t="s">
        <v>10</v>
      </c>
    </row>
    <row r="3" spans="1:88" ht="15.75" thickBot="1">
      <c r="A3" s="1128" t="s">
        <v>10</v>
      </c>
      <c r="B3" t="s">
        <v>10</v>
      </c>
      <c r="C3" s="6" t="s">
        <v>11</v>
      </c>
      <c r="D3" s="6"/>
      <c r="E3" s="6"/>
      <c r="F3" s="6"/>
      <c r="G3" s="6"/>
      <c r="H3" s="6"/>
      <c r="I3" t="s">
        <v>10</v>
      </c>
      <c r="K3" t="s">
        <v>10</v>
      </c>
    </row>
    <row r="4" spans="1:88" ht="15.75" thickBot="1">
      <c r="A4" s="453"/>
      <c r="B4" s="804" t="s">
        <v>170</v>
      </c>
      <c r="H4" t="s">
        <v>10</v>
      </c>
      <c r="I4" t="s">
        <v>10</v>
      </c>
      <c r="J4" t="s">
        <v>10</v>
      </c>
      <c r="CJ4" s="461" t="s">
        <v>10</v>
      </c>
    </row>
    <row r="5" spans="1:88">
      <c r="A5" t="s">
        <v>10</v>
      </c>
      <c r="B5" s="772" t="s">
        <v>10</v>
      </c>
      <c r="C5" t="s">
        <v>10</v>
      </c>
      <c r="I5" t="s">
        <v>10</v>
      </c>
      <c r="J5" t="s">
        <v>10</v>
      </c>
      <c r="K5" t="s">
        <v>10</v>
      </c>
    </row>
    <row r="6" spans="1:88">
      <c r="A6" t="s">
        <v>10</v>
      </c>
      <c r="C6" t="s">
        <v>170</v>
      </c>
      <c r="H6" t="s">
        <v>10</v>
      </c>
      <c r="J6" t="s">
        <v>170</v>
      </c>
      <c r="K6" t="s">
        <v>409</v>
      </c>
    </row>
    <row r="7" spans="1:88">
      <c r="A7" t="s">
        <v>10</v>
      </c>
      <c r="B7" t="s">
        <v>10</v>
      </c>
      <c r="H7" t="s">
        <v>170</v>
      </c>
      <c r="I7" t="s">
        <v>10</v>
      </c>
      <c r="J7" t="s">
        <v>10</v>
      </c>
      <c r="K7" t="s">
        <v>10</v>
      </c>
    </row>
    <row r="8" spans="1:88">
      <c r="A8" t="s">
        <v>10</v>
      </c>
      <c r="B8" t="s">
        <v>10</v>
      </c>
      <c r="C8" t="s">
        <v>10</v>
      </c>
      <c r="H8" t="s">
        <v>10</v>
      </c>
      <c r="I8" t="s">
        <v>10</v>
      </c>
      <c r="J8" t="s">
        <v>10</v>
      </c>
      <c r="K8" s="1054" t="s">
        <v>684</v>
      </c>
      <c r="L8" t="s">
        <v>10</v>
      </c>
      <c r="M8" t="s">
        <v>10</v>
      </c>
    </row>
    <row r="9" spans="1:88">
      <c r="A9" t="s">
        <v>10</v>
      </c>
      <c r="B9" t="s">
        <v>10</v>
      </c>
      <c r="H9" t="s">
        <v>10</v>
      </c>
      <c r="I9" t="s">
        <v>10</v>
      </c>
      <c r="J9" t="s">
        <v>170</v>
      </c>
      <c r="K9" t="s">
        <v>10</v>
      </c>
      <c r="L9" t="s">
        <v>10</v>
      </c>
      <c r="M9" t="s">
        <v>10</v>
      </c>
    </row>
    <row r="10" spans="1:88">
      <c r="A10" t="s">
        <v>10</v>
      </c>
      <c r="B10" t="s">
        <v>10</v>
      </c>
      <c r="C10" t="s">
        <v>10</v>
      </c>
      <c r="D10" t="s">
        <v>170</v>
      </c>
      <c r="I10" t="s">
        <v>10</v>
      </c>
      <c r="J10" t="s">
        <v>170</v>
      </c>
      <c r="K10" t="s">
        <v>10</v>
      </c>
      <c r="L10" t="s">
        <v>620</v>
      </c>
    </row>
    <row r="11" spans="1:88" ht="15.75" customHeight="1">
      <c r="A11" t="s">
        <v>10</v>
      </c>
      <c r="B11" s="804" t="s">
        <v>10</v>
      </c>
      <c r="C11" s="415"/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88">
      <c r="A12" t="s">
        <v>10</v>
      </c>
      <c r="B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88">
      <c r="A13" t="s">
        <v>10</v>
      </c>
      <c r="B13" s="16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620</v>
      </c>
    </row>
    <row r="14" spans="1:88">
      <c r="A14" t="s">
        <v>10</v>
      </c>
      <c r="B14" t="s">
        <v>10</v>
      </c>
      <c r="H14" t="s">
        <v>10</v>
      </c>
      <c r="I14" t="s">
        <v>10</v>
      </c>
      <c r="J14" t="s">
        <v>10</v>
      </c>
      <c r="K14" t="s">
        <v>170</v>
      </c>
      <c r="L14" t="s">
        <v>10</v>
      </c>
    </row>
    <row r="15" spans="1:88">
      <c r="A15" s="457" t="s">
        <v>10</v>
      </c>
      <c r="B15" t="s">
        <v>170</v>
      </c>
      <c r="I15" t="s">
        <v>10</v>
      </c>
      <c r="J15" t="s">
        <v>10</v>
      </c>
      <c r="K15" t="s">
        <v>10</v>
      </c>
      <c r="L15" t="s">
        <v>10</v>
      </c>
    </row>
    <row r="16" spans="1:88">
      <c r="A16" t="s">
        <v>10</v>
      </c>
      <c r="B16" t="s">
        <v>10</v>
      </c>
      <c r="C16" t="s">
        <v>10</v>
      </c>
      <c r="G16" t="s">
        <v>10</v>
      </c>
      <c r="H16" t="s">
        <v>170</v>
      </c>
      <c r="J16" t="s">
        <v>10</v>
      </c>
      <c r="K16" t="s">
        <v>10</v>
      </c>
      <c r="L16" t="s">
        <v>10</v>
      </c>
    </row>
    <row r="17" spans="1:13">
      <c r="A17" t="s">
        <v>10</v>
      </c>
      <c r="B17" t="s">
        <v>10</v>
      </c>
      <c r="E17" t="s">
        <v>10</v>
      </c>
      <c r="H17" t="s">
        <v>10</v>
      </c>
      <c r="I17" t="s">
        <v>10</v>
      </c>
      <c r="J17" t="s">
        <v>10</v>
      </c>
      <c r="K17" t="s">
        <v>757</v>
      </c>
      <c r="L17" t="s">
        <v>10</v>
      </c>
    </row>
    <row r="18" spans="1:13">
      <c r="A18" t="s">
        <v>10</v>
      </c>
      <c r="B18" t="s">
        <v>10</v>
      </c>
      <c r="C18" t="s">
        <v>10</v>
      </c>
      <c r="E18" s="124" t="s">
        <v>10</v>
      </c>
      <c r="F18" t="s">
        <v>10</v>
      </c>
      <c r="H18" t="s">
        <v>10</v>
      </c>
      <c r="I18" t="s">
        <v>10</v>
      </c>
      <c r="J18" t="s">
        <v>10</v>
      </c>
      <c r="K18" t="s">
        <v>10</v>
      </c>
    </row>
    <row r="19" spans="1:13">
      <c r="B19" t="s">
        <v>132</v>
      </c>
      <c r="C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618</v>
      </c>
    </row>
    <row r="20" spans="1:13">
      <c r="A20" t="s">
        <v>10</v>
      </c>
      <c r="B20" t="s">
        <v>10</v>
      </c>
      <c r="C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3">
      <c r="B21" t="s">
        <v>10</v>
      </c>
      <c r="D21" t="s">
        <v>10</v>
      </c>
      <c r="F21" t="s">
        <v>10</v>
      </c>
      <c r="H21" t="s">
        <v>10</v>
      </c>
      <c r="I21" t="s">
        <v>10</v>
      </c>
      <c r="J21" t="s">
        <v>618</v>
      </c>
      <c r="K21" t="s">
        <v>10</v>
      </c>
      <c r="L21" t="s">
        <v>10</v>
      </c>
    </row>
    <row r="22" spans="1:13">
      <c r="C22" t="s">
        <v>10</v>
      </c>
      <c r="H22" t="s">
        <v>10</v>
      </c>
      <c r="I22" t="s">
        <v>10</v>
      </c>
      <c r="J22" t="s">
        <v>10</v>
      </c>
      <c r="K22" t="s">
        <v>10</v>
      </c>
    </row>
    <row r="23" spans="1:13">
      <c r="A23" t="s">
        <v>10</v>
      </c>
      <c r="B23" t="s">
        <v>10</v>
      </c>
      <c r="C23" t="s">
        <v>10</v>
      </c>
      <c r="D23" s="197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3">
      <c r="A24" t="s">
        <v>10</v>
      </c>
      <c r="B24" t="s">
        <v>10</v>
      </c>
      <c r="C24" t="s">
        <v>10</v>
      </c>
      <c r="E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</row>
    <row r="25" spans="1:13">
      <c r="B25" s="772" t="s">
        <v>170</v>
      </c>
      <c r="C25" t="s">
        <v>10</v>
      </c>
      <c r="E25" t="s">
        <v>10</v>
      </c>
      <c r="G25" s="452"/>
      <c r="H25" t="s">
        <v>10</v>
      </c>
      <c r="I25" t="s">
        <v>10</v>
      </c>
      <c r="J25" t="s">
        <v>10</v>
      </c>
      <c r="K25" t="s">
        <v>620</v>
      </c>
    </row>
    <row r="26" spans="1:13">
      <c r="A26" t="s">
        <v>10</v>
      </c>
      <c r="B26" t="s">
        <v>10</v>
      </c>
      <c r="C26" t="s">
        <v>170</v>
      </c>
      <c r="G26" s="452"/>
      <c r="H26" t="s">
        <v>10</v>
      </c>
      <c r="I26" t="s">
        <v>10</v>
      </c>
      <c r="J26" t="s">
        <v>10</v>
      </c>
      <c r="K26" t="s">
        <v>10</v>
      </c>
    </row>
    <row r="27" spans="1:13">
      <c r="A27" t="s">
        <v>10</v>
      </c>
      <c r="B27" t="s">
        <v>10</v>
      </c>
      <c r="C27" t="s">
        <v>620</v>
      </c>
      <c r="D27" t="s">
        <v>10</v>
      </c>
      <c r="G27" s="452"/>
      <c r="H27" t="s">
        <v>10</v>
      </c>
      <c r="I27" t="s">
        <v>10</v>
      </c>
      <c r="J27" s="124" t="s">
        <v>10</v>
      </c>
      <c r="K27" t="s">
        <v>10</v>
      </c>
      <c r="L27" t="s">
        <v>170</v>
      </c>
    </row>
    <row r="28" spans="1:13">
      <c r="G28" s="452"/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</row>
    <row r="29" spans="1:13">
      <c r="G29" s="452"/>
      <c r="H29" t="s">
        <v>10</v>
      </c>
      <c r="I29" t="s">
        <v>10</v>
      </c>
      <c r="J29" t="s">
        <v>10</v>
      </c>
      <c r="K29" t="s">
        <v>10</v>
      </c>
    </row>
    <row r="30" spans="1:13">
      <c r="H30" t="s">
        <v>10</v>
      </c>
      <c r="I30" t="s">
        <v>10</v>
      </c>
      <c r="J30" t="s">
        <v>10</v>
      </c>
      <c r="K30" t="s">
        <v>10</v>
      </c>
    </row>
    <row r="31" spans="1:13">
      <c r="H31" t="s">
        <v>10</v>
      </c>
      <c r="I31" t="s">
        <v>10</v>
      </c>
      <c r="J31" t="s">
        <v>10</v>
      </c>
      <c r="K31" t="s">
        <v>10</v>
      </c>
    </row>
    <row r="32" spans="1:13">
      <c r="A32" t="s">
        <v>10</v>
      </c>
      <c r="H32" t="s">
        <v>10</v>
      </c>
      <c r="I32" t="s">
        <v>10</v>
      </c>
      <c r="J32" t="s">
        <v>10</v>
      </c>
      <c r="K32" t="s">
        <v>10</v>
      </c>
    </row>
    <row r="33" spans="3:11">
      <c r="C33" t="s">
        <v>10</v>
      </c>
      <c r="H33" t="s">
        <v>10</v>
      </c>
      <c r="I33" t="s">
        <v>10</v>
      </c>
      <c r="J33" t="s">
        <v>10</v>
      </c>
      <c r="K33" t="s">
        <v>10</v>
      </c>
    </row>
    <row r="34" spans="3:11">
      <c r="H34" t="s">
        <v>10</v>
      </c>
      <c r="I34" t="s">
        <v>10</v>
      </c>
      <c r="J34" t="s">
        <v>10</v>
      </c>
      <c r="K34" t="s">
        <v>10</v>
      </c>
    </row>
    <row r="35" spans="3:11">
      <c r="H35" t="s">
        <v>10</v>
      </c>
      <c r="I35" t="s">
        <v>10</v>
      </c>
      <c r="J35" t="s">
        <v>10</v>
      </c>
      <c r="K35" t="s">
        <v>10</v>
      </c>
    </row>
    <row r="83" spans="1:9">
      <c r="A83" t="s">
        <v>10</v>
      </c>
    </row>
    <row r="86" spans="1:9">
      <c r="I86" t="s">
        <v>10</v>
      </c>
    </row>
    <row r="90" spans="1:9">
      <c r="A90" t="s">
        <v>170</v>
      </c>
    </row>
    <row r="142" spans="2:2">
      <c r="B142" t="s">
        <v>10</v>
      </c>
    </row>
    <row r="293" spans="1:1">
      <c r="A293" t="s">
        <v>10</v>
      </c>
    </row>
    <row r="958" spans="1:1">
      <c r="A958" t="s">
        <v>170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36" zoomScale="75" workbookViewId="0">
      <selection activeCell="F41" sqref="F41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7.77734375" style="114" bestFit="1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0" t="s">
        <v>639</v>
      </c>
      <c r="B1" s="828"/>
      <c r="C1" s="828"/>
      <c r="D1" s="828"/>
      <c r="E1" s="828"/>
      <c r="F1" s="828"/>
      <c r="G1" s="828" t="s">
        <v>133</v>
      </c>
      <c r="H1" s="871" t="str">
        <f>D3</f>
        <v>WED</v>
      </c>
      <c r="I1" s="872">
        <f>D4</f>
        <v>37055</v>
      </c>
      <c r="J1" s="112"/>
    </row>
    <row r="2" spans="1:10" ht="20.100000000000001" customHeight="1">
      <c r="A2" s="831" t="s">
        <v>161</v>
      </c>
      <c r="B2" s="832"/>
      <c r="C2" s="832"/>
      <c r="D2" s="832"/>
      <c r="E2" s="832"/>
      <c r="F2" s="832"/>
      <c r="G2" s="832"/>
      <c r="H2" s="832"/>
      <c r="I2" s="833"/>
      <c r="J2" s="112"/>
    </row>
    <row r="3" spans="1:10" ht="20.100000000000001" customHeight="1" thickBot="1">
      <c r="A3" s="834"/>
      <c r="B3" s="832"/>
      <c r="C3" s="832"/>
      <c r="D3" s="835" t="str">
        <f t="shared" ref="D3:I3" si="0">CHOOSE(WEEKDAY(D4),"SUN","MON","TUE","WED","THU","FRI","SAT")</f>
        <v>WED</v>
      </c>
      <c r="E3" s="835" t="str">
        <f t="shared" si="0"/>
        <v>THU</v>
      </c>
      <c r="F3" s="835" t="str">
        <f t="shared" si="0"/>
        <v>FRI</v>
      </c>
      <c r="G3" s="835" t="str">
        <f t="shared" si="0"/>
        <v>SAT</v>
      </c>
      <c r="H3" s="835" t="str">
        <f t="shared" si="0"/>
        <v>SUN</v>
      </c>
      <c r="I3" s="836" t="str">
        <f t="shared" si="0"/>
        <v>MON</v>
      </c>
      <c r="J3" s="112"/>
    </row>
    <row r="4" spans="1:10" ht="20.100000000000001" customHeight="1" thickBot="1">
      <c r="A4" s="837" t="s">
        <v>162</v>
      </c>
      <c r="B4" s="838"/>
      <c r="C4" s="838"/>
      <c r="D4" s="839">
        <f>Weather_Input!A5</f>
        <v>37055</v>
      </c>
      <c r="E4" s="839">
        <f>Weather_Input!A6</f>
        <v>37056</v>
      </c>
      <c r="F4" s="839">
        <f>Weather_Input!A7</f>
        <v>37057</v>
      </c>
      <c r="G4" s="839">
        <f>Weather_Input!A8</f>
        <v>37058</v>
      </c>
      <c r="H4" s="839">
        <f>Weather_Input!A9</f>
        <v>37059</v>
      </c>
      <c r="I4" s="840">
        <f>Weather_Input!A10</f>
        <v>37060</v>
      </c>
      <c r="J4" s="112"/>
    </row>
    <row r="5" spans="1:10" s="113" customFormat="1" ht="20.100000000000001" customHeight="1" thickTop="1">
      <c r="A5" s="841" t="s">
        <v>135</v>
      </c>
      <c r="B5" s="832"/>
      <c r="C5" s="832" t="s">
        <v>136</v>
      </c>
      <c r="D5" s="873" t="str">
        <f>TEXT(Weather_Input!B5,"0")&amp;"/"&amp;TEXT(Weather_Input!C5,"0") &amp; "/" &amp; TEXT((Weather_Input!B5+Weather_Input!C5)/2,"0")</f>
        <v>91/73/82</v>
      </c>
      <c r="E5" s="873" t="str">
        <f>TEXT(Weather_Input!B6,"0")&amp;"/"&amp;TEXT(Weather_Input!C6,"0") &amp; "/" &amp; TEXT((Weather_Input!B6+Weather_Input!C6)/2,"0")</f>
        <v>92/66/79</v>
      </c>
      <c r="F5" s="873" t="str">
        <f>TEXT(Weather_Input!B7,"0")&amp;"/"&amp;TEXT(Weather_Input!C7,"0") &amp; "/" &amp; TEXT((Weather_Input!B7+Weather_Input!C7)/2,"0")</f>
        <v>80/58/69</v>
      </c>
      <c r="G5" s="873" t="str">
        <f>TEXT(Weather_Input!B8,"0")&amp;"/"&amp;TEXT(Weather_Input!C8,"0") &amp; "/" &amp; TEXT((Weather_Input!B8+Weather_Input!C8)/2,"0")</f>
        <v>79/58/69</v>
      </c>
      <c r="H5" s="873" t="str">
        <f>TEXT(Weather_Input!B9,"0")&amp;"/"&amp;TEXT(Weather_Input!C9,"0") &amp; "/" &amp; TEXT((Weather_Input!B9+Weather_Input!C9)/2,"0")</f>
        <v>80/62/71</v>
      </c>
      <c r="I5" s="874" t="str">
        <f>TEXT(Weather_Input!B10,"0")&amp;"/"&amp;TEXT(Weather_Input!C10,"0") &amp; "/" &amp; TEXT((Weather_Input!B10+Weather_Input!C10)/2,"0")</f>
        <v>80/62/71</v>
      </c>
      <c r="J5" s="112"/>
    </row>
    <row r="6" spans="1:10" ht="20.100000000000001" customHeight="1">
      <c r="A6" s="844" t="s">
        <v>137</v>
      </c>
      <c r="B6" s="832"/>
      <c r="C6" s="832"/>
      <c r="D6" s="842">
        <f ca="1">VLOOKUP(D4,NSG_Sendouts,CELL("Col",NSG_Deliveries!C5),FALSE)/1000</f>
        <v>34.5</v>
      </c>
      <c r="E6" s="842">
        <f ca="1">VLOOKUP(E4,NSG_Sendouts,CELL("Col",NSG_Deliveries!C6),FALSE)/1000</f>
        <v>35</v>
      </c>
      <c r="F6" s="842">
        <f ca="1">VLOOKUP(F4,NSG_Sendouts,CELL("Col",NSG_Deliveries!C7),FALSE)/1000</f>
        <v>34</v>
      </c>
      <c r="G6" s="842">
        <f ca="1">VLOOKUP(G4,NSG_Sendouts,CELL("Col",NSG_Deliveries!C8),FALSE)/1000</f>
        <v>32</v>
      </c>
      <c r="H6" s="842">
        <f ca="1">VLOOKUP(H4,NSG_Sendouts,CELL("Col",NSG_Deliveries!C9),FALSE)/1000</f>
        <v>34</v>
      </c>
      <c r="I6" s="847">
        <f ca="1">VLOOKUP(I4,NSG_Sendouts,CELL("Col",NSG_Deliveries!C10),FALSE)/1000</f>
        <v>36</v>
      </c>
      <c r="J6" s="113"/>
    </row>
    <row r="7" spans="1:10" ht="20.100000000000001" customHeight="1">
      <c r="A7" s="841" t="s">
        <v>138</v>
      </c>
      <c r="B7" s="832" t="s">
        <v>139</v>
      </c>
      <c r="C7" s="832"/>
      <c r="D7" s="842">
        <f>NSG_Requirements!C7/1000</f>
        <v>0</v>
      </c>
      <c r="E7" s="842">
        <f>NSG_Requirements!C8/1000</f>
        <v>0</v>
      </c>
      <c r="F7" s="842">
        <f>NSG_Requirements!C9/1000</f>
        <v>0</v>
      </c>
      <c r="G7" s="842">
        <f>NSG_Requirements!C10/1000</f>
        <v>0</v>
      </c>
      <c r="H7" s="842">
        <f>NSG_Requirements!C11/1000</f>
        <v>0</v>
      </c>
      <c r="I7" s="843">
        <f>NSG_Requirements!C12/1000</f>
        <v>0</v>
      </c>
      <c r="J7" s="112"/>
    </row>
    <row r="8" spans="1:10" ht="20.100000000000001" customHeight="1">
      <c r="A8" s="841"/>
      <c r="B8" s="832" t="s">
        <v>141</v>
      </c>
      <c r="C8" s="832"/>
      <c r="D8" s="842">
        <f>NSG_Requirements!D7/1000</f>
        <v>0</v>
      </c>
      <c r="E8" s="842">
        <f>NSG_Requirements!D8/1000</f>
        <v>0</v>
      </c>
      <c r="F8" s="842">
        <f>NSG_Requirements!D9/1000</f>
        <v>0</v>
      </c>
      <c r="G8" s="842">
        <f>NSG_Requirements!D10/1000</f>
        <v>0</v>
      </c>
      <c r="H8" s="842">
        <f>NSG_Requirements!D11/1000</f>
        <v>0</v>
      </c>
      <c r="I8" s="847">
        <f>NSG_Requirements!D11/1000</f>
        <v>0</v>
      </c>
      <c r="J8" s="113"/>
    </row>
    <row r="9" spans="1:10" ht="20.100000000000001" customHeight="1">
      <c r="A9" s="841"/>
      <c r="B9" s="832" t="s">
        <v>145</v>
      </c>
      <c r="C9" s="832"/>
      <c r="D9" s="842">
        <f>NSG_Requirements!E7/1000</f>
        <v>0</v>
      </c>
      <c r="E9" s="842">
        <f>NSG_Requirements!E8/1000</f>
        <v>0</v>
      </c>
      <c r="F9" s="842">
        <f>NSG_Requirements!E9/1000</f>
        <v>0</v>
      </c>
      <c r="G9" s="842">
        <f>NSG_Requirements!E10/1000</f>
        <v>0</v>
      </c>
      <c r="H9" s="842">
        <f>NSG_Requirements!E11/1000</f>
        <v>0</v>
      </c>
      <c r="I9" s="847">
        <f>NSG_Requirements!E12/1000</f>
        <v>0</v>
      </c>
      <c r="J9" s="113"/>
    </row>
    <row r="10" spans="1:10" ht="20.100000000000001" customHeight="1">
      <c r="A10" s="841"/>
      <c r="B10" s="832" t="s">
        <v>414</v>
      </c>
      <c r="C10" s="832"/>
      <c r="D10" s="842">
        <f>NSG_Requirements!F7/1000</f>
        <v>0</v>
      </c>
      <c r="E10" s="842">
        <f>NSG_Requirements!F8/1000</f>
        <v>0</v>
      </c>
      <c r="F10" s="842">
        <f>NSG_Requirements!F9/1000</f>
        <v>0</v>
      </c>
      <c r="G10" s="842">
        <f>NSG_Requirements!F10/1000</f>
        <v>0</v>
      </c>
      <c r="H10" s="842">
        <f>NSG_Requirements!F11/1000</f>
        <v>0</v>
      </c>
      <c r="I10" s="847">
        <f>NSG_Requirements!F12/1000</f>
        <v>0</v>
      </c>
      <c r="J10" s="113"/>
    </row>
    <row r="11" spans="1:10" ht="20.100000000000001" customHeight="1">
      <c r="A11" s="841" t="s">
        <v>142</v>
      </c>
      <c r="B11" s="832" t="s">
        <v>143</v>
      </c>
      <c r="C11" s="832" t="s">
        <v>59</v>
      </c>
      <c r="D11" s="842">
        <f>(NSG_Requirements!$K$7+NSG_Requirements!$L$7+NSG_Requirements!$M$7+NSG_Requirements!$N$7)/1000</f>
        <v>0</v>
      </c>
      <c r="E11" s="842">
        <f>(NSG_Requirements!$K$8+NSG_Requirements!$L$8+NSG_Requirements!$M$8+NSG_Requirements!$N$8)/1000</f>
        <v>0</v>
      </c>
      <c r="F11" s="842">
        <f>(NSG_Requirements!$K$9+NSG_Requirements!$L$9+NSG_Requirements!$M$9+NSG_Requirements!$N$9)/1000</f>
        <v>0</v>
      </c>
      <c r="G11" s="842">
        <f>(NSG_Requirements!$K$10+NSG_Requirements!$L$10+NSG_Requirements!$M$10+NSG_Requirements!$N$10)/1000</f>
        <v>0</v>
      </c>
      <c r="H11" s="842">
        <f>(NSG_Requirements!$K$11+NSG_Requirements!$L$11+NSG_Requirements!$M$11+NSG_Requirements!$N$11)/1000</f>
        <v>0</v>
      </c>
      <c r="I11" s="847">
        <f>(NSG_Requirements!$K$12+NSG_Requirements!$L$12+NSG_Requirements!$M$12+NSG_Requirements!$N$12)/1000</f>
        <v>0</v>
      </c>
      <c r="J11" s="113"/>
    </row>
    <row r="12" spans="1:10" ht="20.100000000000001" customHeight="1">
      <c r="A12" s="841"/>
      <c r="B12" s="832" t="s">
        <v>141</v>
      </c>
      <c r="C12" s="846" t="s">
        <v>89</v>
      </c>
      <c r="D12" s="842">
        <f>NSG_Requirements!J7/1000</f>
        <v>7.1</v>
      </c>
      <c r="E12" s="842">
        <f>NSG_Requirements!J8/1000</f>
        <v>0</v>
      </c>
      <c r="F12" s="842">
        <f>NSG_Requirements!J9/1000</f>
        <v>0</v>
      </c>
      <c r="G12" s="842">
        <f>NSG_Requirements!J10/1000</f>
        <v>0</v>
      </c>
      <c r="H12" s="842">
        <f>NSG_Requirements!J11/1000</f>
        <v>0</v>
      </c>
      <c r="I12" s="843">
        <f>NSG_Requirements!J12/1000</f>
        <v>0</v>
      </c>
      <c r="J12" s="112"/>
    </row>
    <row r="13" spans="1:10" ht="20.100000000000001" customHeight="1">
      <c r="A13" s="841"/>
      <c r="B13" s="832" t="s">
        <v>139</v>
      </c>
      <c r="C13" s="846" t="s">
        <v>89</v>
      </c>
      <c r="D13" s="842">
        <f>NSG_Requirements!H7/1000</f>
        <v>2.5</v>
      </c>
      <c r="E13" s="842">
        <f>NSG_Requirements!H8/1000</f>
        <v>2</v>
      </c>
      <c r="F13" s="842">
        <f>NSG_Requirements!H9/1000</f>
        <v>2</v>
      </c>
      <c r="G13" s="842">
        <f>NSG_Requirements!H10/1000</f>
        <v>2</v>
      </c>
      <c r="H13" s="842">
        <f>NSG_Requirements!H11/1000</f>
        <v>2</v>
      </c>
      <c r="I13" s="843">
        <f>NSG_Requirements!H12/1000</f>
        <v>2</v>
      </c>
      <c r="J13" s="112"/>
    </row>
    <row r="14" spans="1:10" ht="20.100000000000001" customHeight="1">
      <c r="A14" s="841"/>
      <c r="B14" s="832" t="s">
        <v>141</v>
      </c>
      <c r="C14" s="832"/>
      <c r="D14" s="842">
        <f>(NSG_Requirements!$S$7+NSG_Requirements!$T$7+NSG_Requirements!$U$7)/1000</f>
        <v>0</v>
      </c>
      <c r="E14" s="842">
        <f>(NSG_Requirements!$S$8+NSG_Requirements!$T$8+NSG_Requirements!$U$8)/1000</f>
        <v>0</v>
      </c>
      <c r="F14" s="842">
        <f>(NSG_Requirements!$S$9+NSG_Requirements!$T$9+NSG_Requirements!$U$9)/1000</f>
        <v>0</v>
      </c>
      <c r="G14" s="842">
        <f>(NSG_Requirements!$S$10+NSG_Requirements!$T$10+NSG_Requirements!$U$10)/1000</f>
        <v>0</v>
      </c>
      <c r="H14" s="842">
        <f>(NSG_Requirements!$S$11+NSG_Requirements!$T$11+NSG_Requirements!$U$11)/1000</f>
        <v>0</v>
      </c>
      <c r="I14" s="847">
        <f>(NSG_Requirements!$S$12+NSG_Requirements!$T$12+NSG_Requirements!$U$12)/1000</f>
        <v>0</v>
      </c>
      <c r="J14" s="112"/>
    </row>
    <row r="15" spans="1:10" ht="20.100000000000001" customHeight="1">
      <c r="A15" s="841"/>
      <c r="B15" s="832" t="s">
        <v>139</v>
      </c>
      <c r="C15" s="832"/>
      <c r="D15" s="842">
        <f>(NSG_Requirements!$Y$7+NSG_Requirements!$Z$7+NSG_Requirements!$AA$7)/1000</f>
        <v>0</v>
      </c>
      <c r="E15" s="842">
        <f>(NSG_Requirements!$Y$8+NSG_Requirements!$Z$8+NSG_Requirements!$AA$8)/1000</f>
        <v>0</v>
      </c>
      <c r="F15" s="842">
        <f>(NSG_Requirements!$Y$9+NSG_Requirements!$Z$9+NSG_Requirements!$AA$9)/1000</f>
        <v>0</v>
      </c>
      <c r="G15" s="842">
        <f>(NSG_Requirements!$Y$10+NSG_Requirements!$Z$10+NSG_Requirements!$AA$10)/1000</f>
        <v>0</v>
      </c>
      <c r="H15" s="842">
        <f>(NSG_Requirements!$Y$11+NSG_Requirements!$Z$11+NSG_Requirements!$AA$11)/1000</f>
        <v>0</v>
      </c>
      <c r="I15" s="847">
        <f>(NSG_Requirements!$Y$12+NSG_Requirements!$Z$12+NSG_Requirements!$AA$12)/1000</f>
        <v>0</v>
      </c>
      <c r="J15" s="113"/>
    </row>
    <row r="16" spans="1:10" ht="20.100000000000001" customHeight="1">
      <c r="A16" s="841"/>
      <c r="B16" s="832" t="s">
        <v>145</v>
      </c>
      <c r="C16" s="846"/>
      <c r="D16" s="842">
        <f>(NSG_Requirements!$V$7+NSG_Requirements!$W$7+NSG_Requirements!$X$7)/1000</f>
        <v>0</v>
      </c>
      <c r="E16" s="842">
        <f>(NSG_Requirements!$V$8+NSG_Requirements!$W$8+NSG_Requirements!$X$8)/1000</f>
        <v>0</v>
      </c>
      <c r="F16" s="842">
        <f>(NSG_Requirements!$V$9+NSG_Requirements!$W$9+NSG_Requirements!$X$9)/1000</f>
        <v>0</v>
      </c>
      <c r="G16" s="842">
        <f>(NSG_Requirements!$V$10+NSG_Requirements!$W$10+NSG_Requirements!$X$10)/1000</f>
        <v>0</v>
      </c>
      <c r="H16" s="842">
        <f>(NSG_Requirements!$V$11+NSG_Requirements!$W$11+NSG_Requirements!$X$11)/1000</f>
        <v>0</v>
      </c>
      <c r="I16" s="847">
        <f>(NSG_Requirements!$V$12+NSG_Requirements!$W$12+NSG_Requirements!$X$12)/1000</f>
        <v>0</v>
      </c>
      <c r="J16" s="113"/>
    </row>
    <row r="17" spans="1:10" ht="20.100000000000001" customHeight="1">
      <c r="A17" s="841"/>
      <c r="B17" s="832" t="s">
        <v>414</v>
      </c>
      <c r="C17" s="832"/>
      <c r="D17" s="842">
        <f>(NSG_Requirements!$AB$7+NSG_Requirements!$AC$7+NSG_Requirements!$AD$7+NSG_Requirements!$AE$7)/1000</f>
        <v>0</v>
      </c>
      <c r="E17" s="842">
        <f>(NSG_Requirements!$AB$8+NSG_Requirements!$AC$8+NSG_Requirements!$AD$8+NSG_Requirements!$AE$8)/1000</f>
        <v>0</v>
      </c>
      <c r="F17" s="842">
        <f>(NSG_Requirements!$AB$9+NSG_Requirements!$AC9+NSG_Requirements!$AD$9+NSG_Requirements!$AE$9)/1000</f>
        <v>0</v>
      </c>
      <c r="G17" s="842">
        <f>(NSG_Requirements!$AB$10+NSG_Requirements!$AC$10+NSG_Requirements!$AD$10+NSG_Requirements!$AE$10)/1000</f>
        <v>0</v>
      </c>
      <c r="H17" s="842">
        <f>(NSG_Requirements!$Y$11+NSG_Requirements!$Z$11+NSG_Requirements!$AA$11+NSG_Requirements!$AE$11)/1000</f>
        <v>0</v>
      </c>
      <c r="I17" s="847">
        <f>(NSG_Requirements!$Y$12+NSG_Requirements!$Z$12+NSG_Requirements!$AA$12+NSG_Requirements!$AE$12)/1000</f>
        <v>0</v>
      </c>
      <c r="J17" s="113"/>
    </row>
    <row r="18" spans="1:10" ht="20.100000000000001" customHeight="1">
      <c r="A18" s="859" t="s">
        <v>163</v>
      </c>
      <c r="B18" s="860" t="s">
        <v>399</v>
      </c>
      <c r="C18" s="860"/>
      <c r="D18" s="875">
        <f>NSG_Requirements!B7/1000</f>
        <v>0</v>
      </c>
      <c r="E18" s="875">
        <f>NSG_Requirements!B8/1000</f>
        <v>0</v>
      </c>
      <c r="F18" s="875">
        <f>NSG_Requirements!B9/1000</f>
        <v>0</v>
      </c>
      <c r="G18" s="875">
        <f>NSG_Requirements!B10/1000</f>
        <v>0</v>
      </c>
      <c r="H18" s="875">
        <f>NSG_Requirements!B11/1000</f>
        <v>0</v>
      </c>
      <c r="I18" s="876">
        <f>NSG_Requirements!B12/1000</f>
        <v>0</v>
      </c>
      <c r="J18" s="112"/>
    </row>
    <row r="19" spans="1:10" ht="20.100000000000001" customHeight="1" thickBot="1">
      <c r="A19" s="877" t="s">
        <v>149</v>
      </c>
      <c r="B19" s="867"/>
      <c r="C19" s="867"/>
      <c r="D19" s="851">
        <f t="shared" ref="D19:I19" ca="1" si="1">SUM(D6:D18)</f>
        <v>44.1</v>
      </c>
      <c r="E19" s="851">
        <f t="shared" ca="1" si="1"/>
        <v>37</v>
      </c>
      <c r="F19" s="851">
        <f t="shared" ca="1" si="1"/>
        <v>36</v>
      </c>
      <c r="G19" s="851">
        <f t="shared" ca="1" si="1"/>
        <v>34</v>
      </c>
      <c r="H19" s="851">
        <f t="shared" ca="1" si="1"/>
        <v>36</v>
      </c>
      <c r="I19" s="852">
        <f t="shared" ca="1" si="1"/>
        <v>38</v>
      </c>
      <c r="J19" s="112"/>
    </row>
    <row r="20" spans="1:10" ht="20.100000000000001" customHeight="1" thickTop="1" thickBot="1">
      <c r="A20" s="878"/>
      <c r="B20" s="879"/>
      <c r="C20" s="879"/>
      <c r="D20" s="880"/>
      <c r="E20" s="880"/>
      <c r="F20" s="880"/>
      <c r="G20" s="880"/>
      <c r="H20" s="880"/>
      <c r="I20" s="880"/>
      <c r="J20" s="113"/>
    </row>
    <row r="21" spans="1:10" ht="20.100000000000001" customHeight="1" thickTop="1" thickBot="1">
      <c r="A21" s="881" t="s">
        <v>150</v>
      </c>
      <c r="B21" s="855"/>
      <c r="C21" s="855"/>
      <c r="D21" s="856"/>
      <c r="E21" s="856"/>
      <c r="F21" s="856"/>
      <c r="G21" s="856"/>
      <c r="H21" s="856"/>
      <c r="I21" s="857"/>
      <c r="J21" s="112"/>
    </row>
    <row r="22" spans="1:10" ht="20.100000000000001" customHeight="1" thickTop="1">
      <c r="A22" s="841" t="s">
        <v>751</v>
      </c>
      <c r="B22" s="832" t="s">
        <v>143</v>
      </c>
      <c r="C22" s="832" t="s">
        <v>164</v>
      </c>
      <c r="D22" s="842">
        <f>NSG_Supplies!H7/1000</f>
        <v>0</v>
      </c>
      <c r="E22" s="842">
        <f>NSG_Supplies!H8/1000</f>
        <v>0</v>
      </c>
      <c r="F22" s="842">
        <f>NSG_Supplies!H9/1000</f>
        <v>0</v>
      </c>
      <c r="G22" s="842">
        <f>NSG_Supplies!H10/1000</f>
        <v>0</v>
      </c>
      <c r="H22" s="842">
        <f>NSG_Supplies!H11/1000</f>
        <v>0</v>
      </c>
      <c r="I22" s="843">
        <f>NSG_Supplies!H12/1000</f>
        <v>0</v>
      </c>
      <c r="J22" s="112"/>
    </row>
    <row r="23" spans="1:10" ht="20.100000000000001" customHeight="1">
      <c r="A23" s="841"/>
      <c r="B23" s="832" t="s">
        <v>141</v>
      </c>
      <c r="C23" s="832" t="s">
        <v>152</v>
      </c>
      <c r="D23" s="842">
        <f>NSG_Supplies!L7/1000</f>
        <v>0</v>
      </c>
      <c r="E23" s="842">
        <f>NSG_Supplies!L8/1000</f>
        <v>0</v>
      </c>
      <c r="F23" s="842">
        <f>NSG_Supplies!L9/1000</f>
        <v>0</v>
      </c>
      <c r="G23" s="842">
        <f>NSG_Supplies!L10/1000</f>
        <v>0</v>
      </c>
      <c r="H23" s="842">
        <f>NSG_Supplies!L11/1000</f>
        <v>0</v>
      </c>
      <c r="I23" s="843">
        <f>NSG_Supplies!L12/1000</f>
        <v>0</v>
      </c>
      <c r="J23" s="112"/>
    </row>
    <row r="24" spans="1:10" ht="20.100000000000001" customHeight="1">
      <c r="A24" s="841"/>
      <c r="B24" s="832"/>
      <c r="C24" s="832" t="s">
        <v>9</v>
      </c>
      <c r="D24" s="842">
        <f>NSG_Supplies!E7/1000</f>
        <v>0</v>
      </c>
      <c r="E24" s="842">
        <f>NSG_Supplies!E8/1000</f>
        <v>0</v>
      </c>
      <c r="F24" s="842">
        <f>NSG_Supplies!E9/1000</f>
        <v>0</v>
      </c>
      <c r="G24" s="842">
        <f>NSG_Supplies!E10/1000</f>
        <v>0</v>
      </c>
      <c r="H24" s="842">
        <f>NSG_Supplies!E11/1000</f>
        <v>0</v>
      </c>
      <c r="I24" s="847">
        <f>NSG_Supplies!E12/1000</f>
        <v>0</v>
      </c>
      <c r="J24" s="113"/>
    </row>
    <row r="25" spans="1:10" ht="20.100000000000001" customHeight="1">
      <c r="A25" s="841"/>
      <c r="B25" s="832" t="s">
        <v>139</v>
      </c>
      <c r="C25" s="846" t="s">
        <v>89</v>
      </c>
      <c r="D25" s="842">
        <f>NSG_Supplies!F7/1000</f>
        <v>0</v>
      </c>
      <c r="E25" s="842">
        <f>NSG_Supplies!F8/1000</f>
        <v>0</v>
      </c>
      <c r="F25" s="842">
        <f>NSG_Supplies!F9/1000</f>
        <v>0</v>
      </c>
      <c r="G25" s="842">
        <f>NSG_Supplies!F10/1000</f>
        <v>0</v>
      </c>
      <c r="H25" s="842">
        <f>NSG_Supplies!F11/1000</f>
        <v>0</v>
      </c>
      <c r="I25" s="847">
        <f>NSG_Supplies!F12/1000</f>
        <v>0</v>
      </c>
      <c r="J25" s="113"/>
    </row>
    <row r="26" spans="1:10" ht="20.100000000000001" customHeight="1">
      <c r="A26" s="841"/>
      <c r="B26" s="832" t="s">
        <v>82</v>
      </c>
      <c r="C26" s="832" t="s">
        <v>752</v>
      </c>
      <c r="D26" s="842">
        <f>NSG_Supplies!U7/1000</f>
        <v>0</v>
      </c>
      <c r="E26" s="842">
        <f>NSG_Supplies!U8/1000</f>
        <v>0</v>
      </c>
      <c r="F26" s="842">
        <f>NSG_Supplies!U9/1000</f>
        <v>0</v>
      </c>
      <c r="G26" s="842">
        <f>NSG_Supplies!U10/1000</f>
        <v>0</v>
      </c>
      <c r="H26" s="842">
        <f>NSG_Supplies!U11/1000</f>
        <v>0</v>
      </c>
      <c r="I26" s="847">
        <f>NSG_Supplies!U12/1000</f>
        <v>0</v>
      </c>
      <c r="J26" s="113"/>
    </row>
    <row r="27" spans="1:10" ht="20.100000000000001" customHeight="1">
      <c r="A27" s="844" t="s">
        <v>165</v>
      </c>
      <c r="B27" s="848" t="s">
        <v>141</v>
      </c>
      <c r="C27" s="848"/>
      <c r="D27" s="842">
        <f>(PGL_Requirements!$V$7+PGL_Requirements!$W$7+PGL_Requirements!$X$7)/1000</f>
        <v>0</v>
      </c>
      <c r="E27" s="842">
        <f>(PGL_Requirements!$V$8+PGL_Requirements!$W$8+PGL_Requirements!$X$8)/1000</f>
        <v>0</v>
      </c>
      <c r="F27" s="842">
        <f>(PGL_Requirements!$V$9+PGL_Requirements!$W$9+PGL_Requirements!$X$9)/1000</f>
        <v>0</v>
      </c>
      <c r="G27" s="842">
        <f>(PGL_Requirements!$V$10+PGL_Requirements!$W$10+PGL_Requirements!$X$10)/1000</f>
        <v>0</v>
      </c>
      <c r="H27" s="842">
        <f>(PGL_Requirements!$V$11+PGL_Requirements!$W$11+PGL_Requirements!$X$11)/1000</f>
        <v>0</v>
      </c>
      <c r="I27" s="843">
        <f>(PGL_Requirements!$V$12+PGL_Requirements!$W$12+PGL_Requirements!$X$12)/1000</f>
        <v>0</v>
      </c>
      <c r="J27" s="112"/>
    </row>
    <row r="28" spans="1:10" ht="20.100000000000001" customHeight="1">
      <c r="A28" s="841"/>
      <c r="B28" s="848" t="s">
        <v>139</v>
      </c>
      <c r="C28" s="848"/>
      <c r="D28" s="842">
        <f>(PGL_Requirements!$Y$7+PGL_Requirements!$AA$7+PGL_Requirements!$Z$7+PGL_Requirements!$AB$7)/1000</f>
        <v>0</v>
      </c>
      <c r="E28" s="842">
        <f>(PGL_Requirements!$Y$8+PGL_Requirements!$AA$8+PGL_Requirements!$Z$8+PGL_Requirements!$AB$8)/1000</f>
        <v>0</v>
      </c>
      <c r="F28" s="842">
        <f>(PGL_Requirements!$Y$9+PGL_Requirements!$AA$9+PGL_Requirements!$Z$9+PGL_Requirements!$AB$9)/1000</f>
        <v>0</v>
      </c>
      <c r="G28" s="842">
        <f>(PGL_Requirements!$Y$10+PGL_Requirements!$AA$10+PGL_Requirements!$Z$10+PGL_Requirements!$AB$10)/1000</f>
        <v>0</v>
      </c>
      <c r="H28" s="842">
        <f>(PGL_Requirements!$Y$11+PGL_Requirements!$AA$11+PGL_Requirements!$Z$11+PGL_Requirements!$AB$11)/1000</f>
        <v>0</v>
      </c>
      <c r="I28" s="843">
        <f>(PGL_Requirements!$Y$12+PGL_Requirements!$AA$12+PGL_Requirements!$Z$12+PGL_Requirements!$AB$12)/1000</f>
        <v>0</v>
      </c>
      <c r="J28" s="112"/>
    </row>
    <row r="29" spans="1:10" ht="20.100000000000001" customHeight="1">
      <c r="A29" s="841"/>
      <c r="B29" s="848" t="s">
        <v>145</v>
      </c>
      <c r="C29" s="832"/>
      <c r="D29" s="842">
        <f>(PGL_Requirements!$AC$7+PGL_Requirements!$AD$7+PGL_Requirements!$AE$7)/1000</f>
        <v>0</v>
      </c>
      <c r="E29" s="842">
        <f>(PGL_Requirements!$AC$8+PGL_Requirements!$AD$8+PGL_Requirements!$AE$8)/1000</f>
        <v>0</v>
      </c>
      <c r="F29" s="842">
        <f>(PGL_Requirements!$AC$9+PGL_Requirements!$AD$9+PGL_Requirements!$AE$9)/1000</f>
        <v>0</v>
      </c>
      <c r="G29" s="842">
        <f>(PGL_Requirements!$AC$10+PGL_Requirements!$AD$10+PGL_Requirements!$AE$10)/1000</f>
        <v>0</v>
      </c>
      <c r="H29" s="842">
        <f>(PGL_Requirements!$AC$11+PGL_Requirements!$AD$11+PGL_Requirements!$AE$11)/1000</f>
        <v>0</v>
      </c>
      <c r="I29" s="843">
        <f>(PGL_Requirements!$AC$12+PGL_Requirements!$AD$12+PGL_Requirements!$AE$12)/1000</f>
        <v>0</v>
      </c>
      <c r="J29" s="112"/>
    </row>
    <row r="30" spans="1:10" ht="20.100000000000001" customHeight="1">
      <c r="A30" s="841"/>
      <c r="B30" s="832" t="s">
        <v>414</v>
      </c>
      <c r="C30" s="832"/>
      <c r="D30" s="842">
        <v>0</v>
      </c>
      <c r="E30" s="842">
        <v>0</v>
      </c>
      <c r="F30" s="842">
        <v>0</v>
      </c>
      <c r="G30" s="842">
        <v>0</v>
      </c>
      <c r="H30" s="842">
        <v>0</v>
      </c>
      <c r="I30" s="843">
        <v>0</v>
      </c>
      <c r="J30" s="112"/>
    </row>
    <row r="31" spans="1:10" ht="20.100000000000001" customHeight="1">
      <c r="A31" s="841" t="s">
        <v>166</v>
      </c>
      <c r="B31" s="832" t="s">
        <v>141</v>
      </c>
      <c r="C31" s="832" t="s">
        <v>167</v>
      </c>
      <c r="D31" s="842">
        <f>NSG_Supplies!P7/1000</f>
        <v>0</v>
      </c>
      <c r="E31" s="842">
        <f>NSG_Supplies!P8/1000</f>
        <v>0</v>
      </c>
      <c r="F31" s="842">
        <f>NSG_Supplies!P9/1000</f>
        <v>0</v>
      </c>
      <c r="G31" s="842">
        <f>NSG_Supplies!P10/1000</f>
        <v>0</v>
      </c>
      <c r="H31" s="842">
        <f>NSG_Supplies!P11/1000</f>
        <v>0</v>
      </c>
      <c r="I31" s="843">
        <f>NSG_Supplies!P12/1000</f>
        <v>0</v>
      </c>
      <c r="J31" s="112"/>
    </row>
    <row r="32" spans="1:10" ht="20.100000000000001" customHeight="1">
      <c r="A32" s="841"/>
      <c r="B32" s="832" t="s">
        <v>139</v>
      </c>
      <c r="C32" s="1111" t="s">
        <v>753</v>
      </c>
      <c r="D32" s="842">
        <f>NSG_Supplies!R7/1000</f>
        <v>28.888999999999999</v>
      </c>
      <c r="E32" s="842">
        <f>NSG_Supplies!R8/1000</f>
        <v>28.689</v>
      </c>
      <c r="F32" s="842">
        <f>NSG_Supplies!R9/1000</f>
        <v>28.689</v>
      </c>
      <c r="G32" s="842">
        <f>NSG_Supplies!R10/1000</f>
        <v>28.689</v>
      </c>
      <c r="H32" s="842">
        <f>NSG_Supplies!R11/1000</f>
        <v>28.689</v>
      </c>
      <c r="I32" s="843">
        <f>NSG_Supplies!R12/1000</f>
        <v>28.689</v>
      </c>
      <c r="J32" s="112"/>
    </row>
    <row r="33" spans="1:13" ht="20.100000000000001" customHeight="1">
      <c r="A33" s="841"/>
      <c r="B33" s="832" t="s">
        <v>141</v>
      </c>
      <c r="C33" s="832" t="s">
        <v>628</v>
      </c>
      <c r="D33" s="842">
        <f>NSG_Supplies!Q7/1000</f>
        <v>15.215</v>
      </c>
      <c r="E33" s="842">
        <f>NSG_Supplies!Q8/1000</f>
        <v>15.215</v>
      </c>
      <c r="F33" s="842">
        <f>NSG_Supplies!Q9/1000</f>
        <v>15.215</v>
      </c>
      <c r="G33" s="842">
        <f>NSG_Supplies!Q10/1000</f>
        <v>15.215</v>
      </c>
      <c r="H33" s="842">
        <f>NSG_Supplies!Q11/1000</f>
        <v>15.215</v>
      </c>
      <c r="I33" s="843">
        <f>NSG_Supplies!Q12/1000</f>
        <v>15.215</v>
      </c>
      <c r="J33" s="112"/>
    </row>
    <row r="34" spans="1:13" ht="20.100000000000001" customHeight="1">
      <c r="A34" s="841" t="s">
        <v>158</v>
      </c>
      <c r="B34" s="832" t="s">
        <v>145</v>
      </c>
      <c r="C34" s="832" t="s">
        <v>168</v>
      </c>
      <c r="D34" s="842">
        <f>NSG_Supplies!O7/1000</f>
        <v>0</v>
      </c>
      <c r="E34" s="842">
        <f>NSG_Supplies!O8/1000</f>
        <v>0</v>
      </c>
      <c r="F34" s="842">
        <f>NSG_Supplies!O9/1000</f>
        <v>0</v>
      </c>
      <c r="G34" s="842">
        <f>NSG_Supplies!O10/1000</f>
        <v>0</v>
      </c>
      <c r="H34" s="842">
        <f>NSG_Supplies!O11/1000</f>
        <v>0</v>
      </c>
      <c r="I34" s="847">
        <f>NSG_Supplies!O12/1000</f>
        <v>0</v>
      </c>
      <c r="J34" s="112"/>
    </row>
    <row r="35" spans="1:13" ht="20.100000000000001" customHeight="1">
      <c r="A35" s="841"/>
      <c r="B35" s="832" t="s">
        <v>414</v>
      </c>
      <c r="C35" s="846" t="s">
        <v>520</v>
      </c>
      <c r="D35" s="842">
        <f>NSG_Supplies!N7/1000</f>
        <v>0</v>
      </c>
      <c r="E35" s="842">
        <f>NSG_Supplies!N8/1000</f>
        <v>0</v>
      </c>
      <c r="F35" s="842">
        <f>NSG_Supplies!N9/1000</f>
        <v>0</v>
      </c>
      <c r="G35" s="842">
        <f>NSG_Supplies!N10/1000</f>
        <v>0</v>
      </c>
      <c r="H35" s="842">
        <f>NSG_Supplies!N11/1000</f>
        <v>0</v>
      </c>
      <c r="I35" s="847">
        <f>NSG_Supplies!N12/1000</f>
        <v>0</v>
      </c>
      <c r="J35" s="112"/>
    </row>
    <row r="36" spans="1:13" ht="20.100000000000001" customHeight="1">
      <c r="A36" s="859"/>
      <c r="B36" s="860" t="s">
        <v>399</v>
      </c>
      <c r="C36" s="860"/>
      <c r="D36" s="875">
        <f>NSG_Supplies!B7/1000</f>
        <v>0</v>
      </c>
      <c r="E36" s="875">
        <f>NSG_Supplies!B8/1000</f>
        <v>0</v>
      </c>
      <c r="F36" s="875">
        <f>NSG_Supplies!B9/1000</f>
        <v>0</v>
      </c>
      <c r="G36" s="875">
        <f>NSG_Supplies!B10/1000</f>
        <v>0</v>
      </c>
      <c r="H36" s="875">
        <f>NSG_Supplies!B11/1000</f>
        <v>0</v>
      </c>
      <c r="I36" s="861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2" t="s">
        <v>158</v>
      </c>
      <c r="B37" s="863"/>
      <c r="C37" s="863"/>
      <c r="D37" s="882">
        <f t="shared" ref="D37:I37" si="2">SUM(D22:D36)</f>
        <v>44.103999999999999</v>
      </c>
      <c r="E37" s="882">
        <f t="shared" si="2"/>
        <v>43.903999999999996</v>
      </c>
      <c r="F37" s="882">
        <f t="shared" si="2"/>
        <v>43.903999999999996</v>
      </c>
      <c r="G37" s="882">
        <f t="shared" si="2"/>
        <v>43.903999999999996</v>
      </c>
      <c r="H37" s="882">
        <f t="shared" si="2"/>
        <v>43.903999999999996</v>
      </c>
      <c r="I37" s="883">
        <f t="shared" si="2"/>
        <v>43.903999999999996</v>
      </c>
      <c r="J37" s="112"/>
      <c r="K37" s="113"/>
      <c r="L37" s="95"/>
      <c r="M37" s="113"/>
    </row>
    <row r="38" spans="1:13" ht="20.100000000000001" customHeight="1">
      <c r="A38" s="884" t="s">
        <v>159</v>
      </c>
      <c r="B38" s="885"/>
      <c r="C38" s="885"/>
      <c r="D38" s="886">
        <f t="shared" ref="D38:I38" ca="1" si="3">IF(D37-D19&lt;0,0,D37-D19)</f>
        <v>3.9999999999977831E-3</v>
      </c>
      <c r="E38" s="886">
        <f t="shared" ca="1" si="3"/>
        <v>6.9039999999999964</v>
      </c>
      <c r="F38" s="886">
        <f t="shared" ca="1" si="3"/>
        <v>7.9039999999999964</v>
      </c>
      <c r="G38" s="886">
        <f t="shared" ca="1" si="3"/>
        <v>9.9039999999999964</v>
      </c>
      <c r="H38" s="886">
        <f t="shared" ca="1" si="3"/>
        <v>7.9039999999999964</v>
      </c>
      <c r="I38" s="887">
        <f t="shared" ca="1" si="3"/>
        <v>5.9039999999999964</v>
      </c>
      <c r="J38" s="112"/>
      <c r="K38" s="113"/>
      <c r="L38" s="95"/>
      <c r="M38" s="113"/>
    </row>
    <row r="39" spans="1:13" ht="20.100000000000001" customHeight="1" thickBot="1">
      <c r="A39" s="888" t="s">
        <v>160</v>
      </c>
      <c r="B39" s="867"/>
      <c r="C39" s="867"/>
      <c r="D39" s="868">
        <f t="shared" ref="D39:I39" ca="1" si="4">IF(D19-D37&lt;0,0,D19-D37)</f>
        <v>0</v>
      </c>
      <c r="E39" s="868">
        <f t="shared" ca="1" si="4"/>
        <v>0</v>
      </c>
      <c r="F39" s="868">
        <f t="shared" ca="1" si="4"/>
        <v>0</v>
      </c>
      <c r="G39" s="868">
        <f t="shared" ca="1" si="4"/>
        <v>0</v>
      </c>
      <c r="H39" s="868">
        <f t="shared" ca="1" si="4"/>
        <v>0</v>
      </c>
      <c r="I39" s="869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12" t="s">
        <v>754</v>
      </c>
      <c r="B40" s="1113"/>
      <c r="C40" s="1113"/>
      <c r="D40" s="1114">
        <f>NSG_Supplies!S7/1000</f>
        <v>17.015000000000001</v>
      </c>
      <c r="E40" s="1114">
        <f>NSG_Supplies!S8/1000</f>
        <v>16.815000000000001</v>
      </c>
      <c r="F40" s="1114">
        <f>NSG_Supplies!S9/1000</f>
        <v>16.815000000000001</v>
      </c>
      <c r="G40" s="1114">
        <f>NSG_Supplies!S10/1000</f>
        <v>16.815000000000001</v>
      </c>
      <c r="H40" s="1114">
        <f>NSG_Supplies!S11/1000</f>
        <v>16.815000000000001</v>
      </c>
      <c r="I40" s="1115">
        <f>NSG_Supplies!S12/1000</f>
        <v>16.815000000000001</v>
      </c>
    </row>
    <row r="41" spans="1:13" ht="20.100000000000001" customHeight="1" thickTop="1" thickBot="1">
      <c r="B41" s="890"/>
      <c r="C41" s="890"/>
      <c r="D41" s="890"/>
      <c r="E41" s="890"/>
      <c r="F41" s="890"/>
      <c r="G41" s="889"/>
      <c r="H41" s="889"/>
      <c r="I41" s="889"/>
    </row>
    <row r="42" spans="1:13" ht="20.100000000000001" customHeight="1" thickTop="1" thickBot="1">
      <c r="A42" s="891" t="s">
        <v>169</v>
      </c>
      <c r="B42" s="892"/>
      <c r="C42" s="892"/>
      <c r="D42" s="893">
        <f>Weather_Input!D5</f>
        <v>12</v>
      </c>
      <c r="E42" s="893">
        <f>Weather_Input!D6</f>
        <v>14</v>
      </c>
      <c r="F42" s="893">
        <f>Weather_Input!D7</f>
        <v>12</v>
      </c>
      <c r="G42" s="894"/>
      <c r="H42" s="889"/>
      <c r="I42" s="889"/>
    </row>
    <row r="43" spans="1:13" ht="15.75" thickTop="1">
      <c r="D43" s="114" t="s">
        <v>170</v>
      </c>
    </row>
    <row r="44" spans="1:13">
      <c r="D44" s="114" t="s">
        <v>10</v>
      </c>
    </row>
    <row r="49" spans="4:4">
      <c r="D49" s="114" t="s">
        <v>10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D13" zoomScale="75" workbookViewId="0">
      <selection activeCell="L21" sqref="L21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58" t="s">
        <v>10</v>
      </c>
      <c r="B1" s="1155" t="s">
        <v>10</v>
      </c>
      <c r="C1" s="1156" t="s">
        <v>725</v>
      </c>
      <c r="D1" s="1157"/>
      <c r="E1" s="1158" t="s">
        <v>10</v>
      </c>
      <c r="F1" s="1159" t="s">
        <v>774</v>
      </c>
      <c r="G1" s="1160" t="s">
        <v>10</v>
      </c>
      <c r="H1" s="1161"/>
      <c r="I1" s="1205" t="s">
        <v>10</v>
      </c>
      <c r="J1" s="586"/>
      <c r="K1" s="586"/>
      <c r="L1" s="587" t="s">
        <v>171</v>
      </c>
      <c r="M1" s="1238">
        <f>Weather_Input!A5</f>
        <v>37055</v>
      </c>
      <c r="N1" s="1239" t="str">
        <f>CHOOSE(WEEKDAY(M1),"SUN","MON","TUE","WED","THU","FRI","SAT")</f>
        <v>WED</v>
      </c>
      <c r="O1" s="591"/>
    </row>
    <row r="2" spans="1:17" ht="16.5" thickTop="1" thickBot="1">
      <c r="A2" s="423" t="s">
        <v>728</v>
      </c>
      <c r="B2" s="322">
        <f>PGL_Supplies!X7/1000</f>
        <v>0.2</v>
      </c>
      <c r="C2" s="8"/>
      <c r="D2" s="611"/>
      <c r="E2" s="566" t="s">
        <v>424</v>
      </c>
      <c r="F2" s="1135"/>
      <c r="G2" s="561" t="s">
        <v>10</v>
      </c>
      <c r="H2" s="1149" t="s">
        <v>10</v>
      </c>
      <c r="I2" s="257" t="s">
        <v>531</v>
      </c>
      <c r="J2" s="1176" t="s">
        <v>407</v>
      </c>
      <c r="K2" s="1181" t="s">
        <v>174</v>
      </c>
      <c r="L2" s="1182" t="s">
        <v>22</v>
      </c>
      <c r="M2" s="1181" t="s">
        <v>174</v>
      </c>
      <c r="N2" s="1176" t="s">
        <v>22</v>
      </c>
      <c r="O2" s="1183" t="s">
        <v>174</v>
      </c>
      <c r="Q2" s="1154" t="s">
        <v>10</v>
      </c>
    </row>
    <row r="3" spans="1:17" ht="15.75">
      <c r="A3" s="423" t="s">
        <v>769</v>
      </c>
      <c r="B3" s="1197">
        <f>PGL_Requirements!J7/1000</f>
        <v>0</v>
      </c>
      <c r="C3" s="973" t="s">
        <v>10</v>
      </c>
      <c r="D3" s="311"/>
      <c r="E3" s="566" t="s">
        <v>473</v>
      </c>
      <c r="F3" s="322">
        <f>PGL_Supplies!I7/1000</f>
        <v>15</v>
      </c>
      <c r="G3" s="386" t="s">
        <v>10</v>
      </c>
      <c r="H3" s="1149" t="s">
        <v>10</v>
      </c>
      <c r="I3" s="1206" t="s">
        <v>10</v>
      </c>
      <c r="J3" s="954">
        <f>Weather_Input!B5</f>
        <v>91</v>
      </c>
      <c r="K3" s="955">
        <f>Weather_Input!C5</f>
        <v>73</v>
      </c>
      <c r="L3" s="602" t="s">
        <v>10</v>
      </c>
      <c r="M3" s="267" t="s">
        <v>10</v>
      </c>
      <c r="N3" s="267"/>
      <c r="O3" s="265"/>
    </row>
    <row r="4" spans="1:17" ht="16.5" thickBot="1">
      <c r="A4" s="247" t="s">
        <v>771</v>
      </c>
      <c r="B4" s="1198">
        <v>0</v>
      </c>
      <c r="C4" s="121"/>
      <c r="D4" s="985"/>
      <c r="E4" s="535" t="s">
        <v>474</v>
      </c>
      <c r="F4" s="1231">
        <v>0</v>
      </c>
      <c r="G4" s="524" t="s">
        <v>10</v>
      </c>
      <c r="H4" s="1259"/>
      <c r="I4" t="s">
        <v>806</v>
      </c>
      <c r="J4" s="1059"/>
      <c r="K4" s="1245">
        <v>82.7</v>
      </c>
      <c r="L4" s="432"/>
      <c r="M4" s="1061"/>
      <c r="N4" s="432"/>
      <c r="O4" s="805"/>
    </row>
    <row r="5" spans="1:17" ht="16.5" thickBot="1">
      <c r="A5" s="1074" t="s">
        <v>3</v>
      </c>
      <c r="B5" s="322">
        <f>PGL_Supplies!Y7/1000</f>
        <v>92.887</v>
      </c>
      <c r="C5" s="1062" t="s">
        <v>10</v>
      </c>
      <c r="D5" s="347"/>
      <c r="E5" s="1216" t="s">
        <v>450</v>
      </c>
      <c r="F5" s="979">
        <f>F3+F4</f>
        <v>15</v>
      </c>
      <c r="G5" s="564" t="s">
        <v>10</v>
      </c>
      <c r="H5" s="1248" t="s">
        <v>10</v>
      </c>
      <c r="I5" s="1207" t="s">
        <v>417</v>
      </c>
      <c r="J5" s="1104" t="s">
        <v>10</v>
      </c>
      <c r="K5" s="957">
        <f>PGL_Deliveries!C5/1000</f>
        <v>210</v>
      </c>
      <c r="L5" s="600"/>
      <c r="M5" s="267"/>
      <c r="N5" s="600"/>
      <c r="O5" s="265"/>
    </row>
    <row r="6" spans="1:17" ht="16.5" thickBot="1">
      <c r="A6" s="557" t="s">
        <v>441</v>
      </c>
      <c r="B6" s="1065">
        <f>+B5-B3+B2-B4</f>
        <v>93.087000000000003</v>
      </c>
      <c r="C6" s="1066" t="s">
        <v>10</v>
      </c>
      <c r="D6" s="529"/>
      <c r="E6" s="635" t="s">
        <v>10</v>
      </c>
      <c r="F6" s="983" t="s">
        <v>36</v>
      </c>
      <c r="G6" s="984"/>
      <c r="H6" s="1150"/>
      <c r="I6" s="121" t="s">
        <v>748</v>
      </c>
      <c r="J6" s="1105"/>
      <c r="K6" s="1077">
        <f>PGL_Requirements!X7/1000</f>
        <v>0</v>
      </c>
      <c r="L6" s="1105"/>
      <c r="M6" s="1106"/>
      <c r="N6" s="121"/>
      <c r="O6" s="118"/>
    </row>
    <row r="7" spans="1:17" ht="16.5" thickBot="1">
      <c r="A7" s="324" t="s">
        <v>10</v>
      </c>
      <c r="B7" s="1063" t="s">
        <v>10</v>
      </c>
      <c r="C7" s="978" t="s">
        <v>67</v>
      </c>
      <c r="D7" s="1064"/>
      <c r="E7" s="423" t="s">
        <v>452</v>
      </c>
      <c r="F7" s="322">
        <f>PGL_Supplies!Q7/1000</f>
        <v>0</v>
      </c>
      <c r="G7" s="379" t="s">
        <v>10</v>
      </c>
      <c r="H7" s="1143"/>
      <c r="I7" s="496"/>
      <c r="J7" s="495" t="s">
        <v>10</v>
      </c>
      <c r="K7" s="495" t="s">
        <v>10</v>
      </c>
      <c r="L7" s="496"/>
      <c r="M7" s="496"/>
      <c r="N7" s="496"/>
      <c r="O7" s="497"/>
    </row>
    <row r="8" spans="1:17">
      <c r="A8" s="423" t="s">
        <v>621</v>
      </c>
      <c r="B8" s="322">
        <f>PGL_Requirements!U7/1000</f>
        <v>0</v>
      </c>
      <c r="C8" s="592"/>
      <c r="D8" s="311"/>
      <c r="E8" s="423" t="s">
        <v>453</v>
      </c>
      <c r="F8" s="386">
        <f>PGL_Requirements!F7/1000</f>
        <v>4</v>
      </c>
      <c r="G8" s="379" t="s">
        <v>10</v>
      </c>
      <c r="H8" s="1143"/>
      <c r="I8" s="1050" t="s">
        <v>767</v>
      </c>
      <c r="J8" s="291" t="s">
        <v>10</v>
      </c>
      <c r="K8" s="612">
        <f>B4</f>
        <v>0</v>
      </c>
      <c r="L8" s="617"/>
      <c r="M8" s="267"/>
      <c r="N8" s="617"/>
      <c r="O8" s="265" t="s">
        <v>10</v>
      </c>
    </row>
    <row r="9" spans="1:17">
      <c r="A9" s="423" t="s">
        <v>699</v>
      </c>
      <c r="B9" s="322">
        <f>PGL_Supplies!R7/1000</f>
        <v>0</v>
      </c>
      <c r="C9" s="311"/>
      <c r="D9" s="311"/>
      <c r="E9" s="423" t="s">
        <v>454</v>
      </c>
      <c r="F9" s="322">
        <f>PGL_Supplies!G7/1000</f>
        <v>0</v>
      </c>
      <c r="G9" s="322"/>
      <c r="H9" s="1143"/>
      <c r="I9" s="121" t="s">
        <v>725</v>
      </c>
      <c r="J9" s="1059"/>
      <c r="K9" s="1073">
        <f>+B6</f>
        <v>93.087000000000003</v>
      </c>
      <c r="L9" s="1059"/>
      <c r="M9" s="1061"/>
      <c r="N9" s="432"/>
      <c r="O9" s="283" t="s">
        <v>10</v>
      </c>
    </row>
    <row r="10" spans="1:17" ht="15.75" thickBot="1">
      <c r="A10" s="423" t="s">
        <v>439</v>
      </c>
      <c r="B10" s="322">
        <f>PGL_Requirements!C7/1000</f>
        <v>0.2</v>
      </c>
      <c r="C10" s="1059"/>
      <c r="D10" s="1060"/>
      <c r="E10" s="423" t="s">
        <v>795</v>
      </c>
      <c r="F10" s="987">
        <f>PGL_Supplies!AD7/1000</f>
        <v>4</v>
      </c>
      <c r="G10" s="525"/>
      <c r="H10" s="1144"/>
      <c r="I10" s="1208" t="s">
        <v>787</v>
      </c>
      <c r="J10" s="280" t="s">
        <v>10</v>
      </c>
      <c r="K10" s="612">
        <f>B13</f>
        <v>0</v>
      </c>
      <c r="L10" s="600"/>
      <c r="M10" s="612" t="s">
        <v>10</v>
      </c>
      <c r="N10" s="600"/>
      <c r="O10" s="283" t="s">
        <v>10</v>
      </c>
    </row>
    <row r="11" spans="1:17" ht="16.5" thickBot="1">
      <c r="A11" s="423" t="s">
        <v>440</v>
      </c>
      <c r="B11" s="322">
        <f>PGL_Supplies!C7/1000</f>
        <v>0</v>
      </c>
      <c r="C11" s="1059"/>
      <c r="D11" s="1060"/>
      <c r="E11" s="792" t="s">
        <v>555</v>
      </c>
      <c r="F11" s="988">
        <f>+F10+F9-F8+F7</f>
        <v>0</v>
      </c>
      <c r="G11" s="979" t="s">
        <v>10</v>
      </c>
      <c r="H11" s="530"/>
      <c r="I11" s="1208" t="s">
        <v>59</v>
      </c>
      <c r="J11" s="280" t="s">
        <v>10</v>
      </c>
      <c r="K11" s="612">
        <f>B21</f>
        <v>-60.72</v>
      </c>
      <c r="L11" s="600"/>
      <c r="M11" s="267" t="s">
        <v>10</v>
      </c>
      <c r="N11" s="600"/>
      <c r="O11" s="265"/>
    </row>
    <row r="12" spans="1:17" ht="16.5" thickBot="1">
      <c r="A12" s="634" t="s">
        <v>682</v>
      </c>
      <c r="B12" s="322">
        <f>PGL_Supplies!Z7/1000</f>
        <v>0.2</v>
      </c>
      <c r="C12" s="121"/>
      <c r="D12" s="1058"/>
      <c r="E12" s="1200" t="s">
        <v>10</v>
      </c>
      <c r="F12" s="1199" t="s">
        <v>807</v>
      </c>
      <c r="G12" s="357"/>
      <c r="H12" s="1148"/>
      <c r="I12" s="1208" t="s">
        <v>788</v>
      </c>
      <c r="J12" s="280" t="s">
        <v>10</v>
      </c>
      <c r="K12" s="612">
        <f>B30</f>
        <v>7</v>
      </c>
      <c r="L12" s="600"/>
      <c r="M12" s="267" t="s">
        <v>10</v>
      </c>
      <c r="N12" s="600"/>
      <c r="O12" s="265"/>
    </row>
    <row r="13" spans="1:17" ht="16.5" thickBot="1">
      <c r="A13" s="557" t="s">
        <v>441</v>
      </c>
      <c r="B13" s="564">
        <f>B12+B11-B10+B9-B8</f>
        <v>0</v>
      </c>
      <c r="C13" s="529"/>
      <c r="D13" s="529"/>
      <c r="E13" s="579" t="s">
        <v>482</v>
      </c>
      <c r="F13" s="1135" t="s">
        <v>10</v>
      </c>
      <c r="G13" s="572" t="s">
        <v>10</v>
      </c>
      <c r="H13" s="1151" t="s">
        <v>10</v>
      </c>
      <c r="I13" s="1208" t="s">
        <v>789</v>
      </c>
      <c r="J13" s="284" t="s">
        <v>10</v>
      </c>
      <c r="K13" s="612">
        <f>B36</f>
        <v>229.16399999999999</v>
      </c>
      <c r="L13" s="600"/>
      <c r="M13" s="267" t="s">
        <v>10</v>
      </c>
      <c r="N13" s="600"/>
      <c r="O13" s="265"/>
    </row>
    <row r="14" spans="1:17" ht="16.5" thickBot="1">
      <c r="A14" s="553" t="s">
        <v>10</v>
      </c>
      <c r="B14" s="558" t="s">
        <v>10</v>
      </c>
      <c r="C14" s="978" t="s">
        <v>59</v>
      </c>
      <c r="D14" s="556"/>
      <c r="E14" s="359" t="s">
        <v>483</v>
      </c>
      <c r="F14" s="311"/>
      <c r="G14" s="538"/>
      <c r="H14" s="1152"/>
      <c r="I14" s="1208" t="s">
        <v>420</v>
      </c>
      <c r="J14" s="280" t="s">
        <v>10</v>
      </c>
      <c r="K14" s="958">
        <f>F5</f>
        <v>15</v>
      </c>
      <c r="L14" s="600"/>
      <c r="M14" s="267" t="s">
        <v>10</v>
      </c>
      <c r="N14" s="600"/>
      <c r="O14" s="265"/>
    </row>
    <row r="15" spans="1:17" ht="16.5" thickBot="1">
      <c r="A15" s="423" t="s">
        <v>71</v>
      </c>
      <c r="B15" s="322">
        <f>PGL_Requirements!P7/1000</f>
        <v>61</v>
      </c>
      <c r="C15" s="311"/>
      <c r="D15" s="547"/>
      <c r="E15" s="1202" t="s">
        <v>683</v>
      </c>
      <c r="F15" s="986"/>
      <c r="G15" s="1105"/>
      <c r="H15" s="1167"/>
      <c r="I15" s="1208" t="s">
        <v>790</v>
      </c>
      <c r="J15" s="280" t="s">
        <v>170</v>
      </c>
      <c r="K15" s="612">
        <f>F11</f>
        <v>0</v>
      </c>
      <c r="L15" s="600"/>
      <c r="M15" s="267" t="s">
        <v>10</v>
      </c>
      <c r="N15" s="600"/>
      <c r="O15" s="265"/>
    </row>
    <row r="16" spans="1:17" ht="16.5" thickBot="1">
      <c r="A16" s="423" t="s">
        <v>446</v>
      </c>
      <c r="B16" s="322">
        <f>PGL_Supplies!M7/1000</f>
        <v>0</v>
      </c>
      <c r="C16" s="311"/>
      <c r="D16" s="547"/>
      <c r="E16" s="1203" t="s">
        <v>10</v>
      </c>
      <c r="F16" s="1162" t="s">
        <v>475</v>
      </c>
      <c r="G16" s="1249"/>
      <c r="H16" s="1204"/>
      <c r="I16" s="1208" t="s">
        <v>556</v>
      </c>
      <c r="J16" s="280" t="s">
        <v>170</v>
      </c>
      <c r="K16" s="958">
        <f>PGL_Supplies!B7/1000</f>
        <v>0</v>
      </c>
      <c r="L16" s="600"/>
      <c r="M16" s="267" t="s">
        <v>10</v>
      </c>
      <c r="N16" s="600"/>
      <c r="O16" s="265"/>
    </row>
    <row r="17" spans="1:15" ht="15" customHeight="1" thickBot="1">
      <c r="A17" s="423" t="s">
        <v>447</v>
      </c>
      <c r="B17" s="322">
        <f>SUM(PGL_Requirements!B7/1000)</f>
        <v>0</v>
      </c>
      <c r="C17" s="311"/>
      <c r="D17" s="1143"/>
      <c r="E17" s="540" t="s">
        <v>476</v>
      </c>
      <c r="F17" s="560">
        <f>+PGL_Supplies!K7/1000</f>
        <v>0</v>
      </c>
      <c r="G17" s="1229" t="s">
        <v>10</v>
      </c>
      <c r="H17" s="1153" t="s">
        <v>10</v>
      </c>
      <c r="I17" s="1201" t="s">
        <v>557</v>
      </c>
      <c r="J17" s="305" t="s">
        <v>10</v>
      </c>
      <c r="K17" s="973">
        <f>-PGL_Requirements!G7/1000</f>
        <v>-4.05</v>
      </c>
      <c r="L17" s="600"/>
      <c r="M17" s="267"/>
      <c r="N17" s="600"/>
      <c r="O17" s="265"/>
    </row>
    <row r="18" spans="1:15" ht="16.5" thickBot="1">
      <c r="A18" s="423" t="s">
        <v>448</v>
      </c>
      <c r="B18" s="322">
        <f>PGL_Supplies!H7/1000</f>
        <v>1</v>
      </c>
      <c r="C18" s="311"/>
      <c r="D18" s="1143"/>
      <c r="E18" s="635" t="s">
        <v>10</v>
      </c>
      <c r="F18" s="1162" t="s">
        <v>775</v>
      </c>
      <c r="G18" s="984"/>
      <c r="H18" s="1150"/>
      <c r="I18" t="s">
        <v>805</v>
      </c>
      <c r="J18" s="1059"/>
      <c r="K18" s="1234">
        <f>-F19</f>
        <v>-43.1</v>
      </c>
      <c r="L18" s="1059"/>
      <c r="M18" s="223"/>
      <c r="N18" s="1059"/>
      <c r="O18" s="805"/>
    </row>
    <row r="19" spans="1:15" ht="15.75" thickBot="1">
      <c r="A19" s="368" t="s">
        <v>721</v>
      </c>
      <c r="B19" s="322">
        <f>PGL_Requirements!R7/1000</f>
        <v>0.72</v>
      </c>
      <c r="C19" s="311"/>
      <c r="D19" s="1143"/>
      <c r="E19" s="1163" t="s">
        <v>776</v>
      </c>
      <c r="F19" s="386">
        <f>PGL_Requirements!K7/1000</f>
        <v>43.1</v>
      </c>
      <c r="G19" s="1048" t="s">
        <v>10</v>
      </c>
      <c r="H19" s="1164" t="s">
        <v>10</v>
      </c>
      <c r="I19" t="s">
        <v>558</v>
      </c>
      <c r="J19" s="1233"/>
      <c r="K19" s="1235">
        <f>-F24</f>
        <v>-66.8</v>
      </c>
      <c r="L19" s="1233"/>
      <c r="M19" s="159"/>
      <c r="N19" s="1233"/>
      <c r="O19" s="1232"/>
    </row>
    <row r="20" spans="1:15" ht="16.5" thickBot="1">
      <c r="A20" s="423" t="s">
        <v>722</v>
      </c>
      <c r="B20" s="322">
        <f>PGL_Requirements!Q7/1000</f>
        <v>0.91500000000000004</v>
      </c>
      <c r="C20" s="347"/>
      <c r="D20" s="1144"/>
      <c r="E20" s="121"/>
      <c r="F20" s="121"/>
      <c r="G20" s="121"/>
      <c r="H20" s="1175"/>
      <c r="I20" s="1209" t="s">
        <v>683</v>
      </c>
      <c r="J20" s="615" t="s">
        <v>10</v>
      </c>
      <c r="K20" s="509">
        <f>SUM(K8:K19)</f>
        <v>169.58100000000002</v>
      </c>
      <c r="L20" s="619" t="s">
        <v>10</v>
      </c>
      <c r="M20" s="509" t="s">
        <v>10</v>
      </c>
      <c r="N20" s="619" t="s">
        <v>10</v>
      </c>
      <c r="O20" s="620"/>
    </row>
    <row r="21" spans="1:15" ht="16.5" thickBot="1">
      <c r="A21" s="516" t="s">
        <v>450</v>
      </c>
      <c r="B21" s="1227">
        <f>-B15+B16+B18-B19-B17+B22+B23</f>
        <v>-60.72</v>
      </c>
      <c r="C21" s="518"/>
      <c r="D21" s="530"/>
      <c r="E21" s="1165" t="s">
        <v>777</v>
      </c>
      <c r="F21" s="1198">
        <v>0</v>
      </c>
      <c r="G21" s="1060"/>
      <c r="H21" s="434"/>
      <c r="I21" s="495" t="s">
        <v>37</v>
      </c>
      <c r="J21" s="503" t="s">
        <v>10</v>
      </c>
      <c r="K21" s="959"/>
      <c r="L21" s="505"/>
      <c r="M21" s="505" t="s">
        <v>786</v>
      </c>
      <c r="N21" s="505"/>
      <c r="O21" s="960"/>
    </row>
    <row r="22" spans="1:15">
      <c r="A22" s="330" t="s">
        <v>216</v>
      </c>
      <c r="B22" s="322">
        <v>0</v>
      </c>
      <c r="C22" s="521"/>
      <c r="D22" s="1145"/>
      <c r="E22" s="1165" t="s">
        <v>778</v>
      </c>
      <c r="F22" s="1198">
        <v>0</v>
      </c>
      <c r="G22" s="1060"/>
      <c r="H22" s="434"/>
      <c r="I22" s="1208" t="s">
        <v>619</v>
      </c>
      <c r="J22" s="280" t="s">
        <v>10</v>
      </c>
      <c r="K22" s="961">
        <f>-PGL_Supplies!J7/1000</f>
        <v>0</v>
      </c>
      <c r="L22" s="264"/>
      <c r="M22" s="267"/>
      <c r="N22" s="264"/>
      <c r="O22" s="258"/>
    </row>
    <row r="23" spans="1:15" ht="18" customHeight="1" thickBot="1">
      <c r="A23" s="423" t="s">
        <v>214</v>
      </c>
      <c r="B23" s="1139">
        <v>0</v>
      </c>
      <c r="C23" s="548"/>
      <c r="D23" s="1146"/>
      <c r="E23" s="1166" t="s">
        <v>779</v>
      </c>
      <c r="F23" s="1218">
        <v>0</v>
      </c>
      <c r="G23" s="986"/>
      <c r="H23" s="1167"/>
      <c r="I23" s="1208" t="s">
        <v>423</v>
      </c>
      <c r="J23" s="280" t="s">
        <v>10</v>
      </c>
      <c r="K23" s="612">
        <f>K5+K6-K20</f>
        <v>40.418999999999983</v>
      </c>
      <c r="L23" s="264"/>
      <c r="M23" s="612" t="s">
        <v>10</v>
      </c>
      <c r="N23" s="264"/>
      <c r="O23" s="294"/>
    </row>
    <row r="24" spans="1:15" ht="16.5" thickBot="1">
      <c r="A24" s="1140" t="s">
        <v>768</v>
      </c>
      <c r="B24" s="1127">
        <f>SUM(B4)</f>
        <v>0</v>
      </c>
      <c r="C24" s="1141"/>
      <c r="D24" s="1142"/>
      <c r="E24" s="549" t="s">
        <v>780</v>
      </c>
      <c r="F24" s="1230">
        <f>PGL_Requirements!H7/1000*0.5</f>
        <v>66.8</v>
      </c>
      <c r="G24" s="1048"/>
      <c r="H24" s="1031"/>
      <c r="I24" s="1210" t="s">
        <v>424</v>
      </c>
      <c r="J24" s="280" t="s">
        <v>10</v>
      </c>
      <c r="K24" s="612"/>
      <c r="L24" s="295" t="s">
        <v>10</v>
      </c>
      <c r="M24" s="962"/>
      <c r="N24" s="295" t="s">
        <v>10</v>
      </c>
      <c r="O24" s="294"/>
    </row>
    <row r="25" spans="1:15" ht="16.5" thickBot="1">
      <c r="A25" s="553" t="s">
        <v>10</v>
      </c>
      <c r="B25" s="554" t="s">
        <v>10</v>
      </c>
      <c r="C25" s="1250" t="s">
        <v>68</v>
      </c>
      <c r="D25" s="1150"/>
      <c r="E25" s="1168" t="s">
        <v>781</v>
      </c>
      <c r="F25" s="1219"/>
      <c r="G25" s="1169"/>
      <c r="H25" s="1170"/>
      <c r="I25" s="1208" t="s">
        <v>425</v>
      </c>
      <c r="J25" s="963" t="s">
        <v>10</v>
      </c>
      <c r="K25" s="964">
        <f>SUM(B20+B22+B23)</f>
        <v>0.91500000000000004</v>
      </c>
      <c r="L25" s="965"/>
      <c r="M25" s="1247"/>
      <c r="N25" s="966" t="s">
        <v>10</v>
      </c>
      <c r="O25" s="258"/>
    </row>
    <row r="26" spans="1:15" ht="17.25" thickTop="1" thickBot="1">
      <c r="A26" s="423" t="s">
        <v>444</v>
      </c>
      <c r="B26" s="322">
        <f>PGL_Supplies!D7/1000</f>
        <v>0</v>
      </c>
      <c r="C26" s="350"/>
      <c r="D26" s="1143"/>
      <c r="E26" s="121"/>
      <c r="F26" s="1078"/>
      <c r="G26" s="121"/>
      <c r="H26" s="160"/>
      <c r="I26" s="1211" t="s">
        <v>426</v>
      </c>
      <c r="J26" s="967" t="s">
        <v>10</v>
      </c>
      <c r="K26" s="968">
        <f>SUM(K23:K25)</f>
        <v>41.333999999999982</v>
      </c>
      <c r="L26" s="967" t="s">
        <v>10</v>
      </c>
      <c r="M26" s="612"/>
      <c r="N26" s="969" t="s">
        <v>10</v>
      </c>
      <c r="O26" s="970" t="s">
        <v>10</v>
      </c>
    </row>
    <row r="27" spans="1:15" ht="15.75" customHeight="1" thickTop="1" thickBot="1">
      <c r="A27" s="423" t="s">
        <v>772</v>
      </c>
      <c r="B27" s="981">
        <f>PGL_Supplies!D7/1000</f>
        <v>0</v>
      </c>
      <c r="C27" s="1226"/>
      <c r="D27" s="1143"/>
      <c r="E27" s="1163" t="s">
        <v>782</v>
      </c>
      <c r="F27" s="1217"/>
      <c r="G27" s="1048"/>
      <c r="H27" s="1164"/>
      <c r="I27" s="1212" t="s">
        <v>716</v>
      </c>
      <c r="J27" s="971"/>
      <c r="K27" s="961">
        <f>SUM(-PGL_Supplies!M7/1000)</f>
        <v>0</v>
      </c>
      <c r="L27" s="1051"/>
      <c r="M27" s="1052"/>
      <c r="N27" s="512"/>
      <c r="O27" s="974"/>
    </row>
    <row r="28" spans="1:15" ht="15.75">
      <c r="A28" s="423" t="s">
        <v>107</v>
      </c>
      <c r="B28" s="981">
        <f>PGL_Supplies!AA7/1000</f>
        <v>7</v>
      </c>
      <c r="C28" s="311"/>
      <c r="D28" s="1143"/>
      <c r="E28" s="121"/>
      <c r="F28" s="1078"/>
      <c r="G28" s="121"/>
      <c r="H28" s="160"/>
      <c r="I28" s="1208" t="s">
        <v>434</v>
      </c>
      <c r="J28" s="975"/>
      <c r="K28" s="973">
        <f>PGL_Requirements!O7/1000</f>
        <v>0</v>
      </c>
      <c r="L28" s="305"/>
      <c r="M28" s="956" t="s">
        <v>10</v>
      </c>
      <c r="N28" s="512"/>
      <c r="O28" s="972" t="s">
        <v>10</v>
      </c>
    </row>
    <row r="29" spans="1:15" ht="15.75" thickBot="1">
      <c r="A29" s="423" t="s">
        <v>773</v>
      </c>
      <c r="B29" s="322">
        <f>PGL_Supplies!S7/1000</f>
        <v>0</v>
      </c>
      <c r="C29" s="350"/>
      <c r="D29" s="1143"/>
      <c r="E29" s="1171" t="s">
        <v>467</v>
      </c>
      <c r="F29" s="1218"/>
      <c r="G29" s="986"/>
      <c r="H29" s="1172"/>
      <c r="I29" s="1208" t="s">
        <v>435</v>
      </c>
      <c r="J29" s="976"/>
      <c r="K29" s="1180">
        <f>-PGL_Supplies!L7/1000</f>
        <v>0</v>
      </c>
      <c r="L29" s="305"/>
      <c r="M29" s="973" t="s">
        <v>10</v>
      </c>
      <c r="N29" s="512"/>
      <c r="O29" s="977" t="s">
        <v>10</v>
      </c>
    </row>
    <row r="30" spans="1:15" ht="16.5" thickBot="1">
      <c r="A30" s="557" t="s">
        <v>441</v>
      </c>
      <c r="B30" s="979">
        <f>-B26+B27+B28+B29</f>
        <v>7</v>
      </c>
      <c r="C30" s="980"/>
      <c r="D30" s="530"/>
      <c r="E30" s="1174" t="s">
        <v>783</v>
      </c>
      <c r="F30" s="1198"/>
      <c r="G30" s="1060"/>
      <c r="H30" s="1147"/>
      <c r="I30" s="1213" t="s">
        <v>195</v>
      </c>
      <c r="J30" s="1177"/>
      <c r="K30" s="1077">
        <f>-PGL_Supplies!AC7/1000</f>
        <v>-41.338000000000001</v>
      </c>
      <c r="L30" s="1178"/>
      <c r="M30" s="1077">
        <f>-PGL_Supplies!AC7/1000</f>
        <v>-41.338000000000001</v>
      </c>
      <c r="N30" s="1179"/>
      <c r="O30" s="1243">
        <f>-PGL_Supplies!AC7/1000</f>
        <v>-41.338000000000001</v>
      </c>
    </row>
    <row r="31" spans="1:15" ht="16.5" thickBot="1">
      <c r="A31" s="356" t="s">
        <v>10</v>
      </c>
      <c r="B31" s="1244" t="s">
        <v>419</v>
      </c>
      <c r="C31" s="357"/>
      <c r="D31" s="358"/>
      <c r="E31" s="159" t="s">
        <v>784</v>
      </c>
      <c r="F31" s="1220"/>
      <c r="G31" s="1058"/>
      <c r="H31" s="1173"/>
      <c r="I31" s="327" t="s">
        <v>200</v>
      </c>
      <c r="J31" s="326"/>
      <c r="K31" s="1186"/>
      <c r="L31" s="1187"/>
      <c r="M31" s="329"/>
      <c r="N31" s="329"/>
      <c r="O31" s="329"/>
    </row>
    <row r="32" spans="1:15" ht="16.5" thickBot="1">
      <c r="A32" s="368" t="s">
        <v>478</v>
      </c>
      <c r="B32" s="386">
        <f>PGL_Requirements!E7/1000</f>
        <v>50.4</v>
      </c>
      <c r="C32" s="538"/>
      <c r="D32" s="386" t="s">
        <v>10</v>
      </c>
      <c r="E32" s="549" t="s">
        <v>785</v>
      </c>
      <c r="F32" s="1221"/>
      <c r="G32" s="428"/>
      <c r="H32" s="1031"/>
      <c r="I32" s="1212" t="s">
        <v>458</v>
      </c>
      <c r="J32" s="521"/>
      <c r="K32" s="1251"/>
      <c r="L32" s="1228" t="s">
        <v>791</v>
      </c>
      <c r="M32" s="121"/>
      <c r="N32" s="1258"/>
      <c r="O32" s="1256"/>
    </row>
    <row r="33" spans="1:15">
      <c r="A33" s="368" t="s">
        <v>479</v>
      </c>
      <c r="B33" s="981">
        <f>PGL_Supplies!E7/1000</f>
        <v>0</v>
      </c>
      <c r="C33" s="981" t="s">
        <v>10</v>
      </c>
      <c r="D33" s="982" t="s">
        <v>10</v>
      </c>
      <c r="E33" s="121"/>
      <c r="F33" s="121"/>
      <c r="G33" s="121"/>
      <c r="H33" s="160"/>
      <c r="I33" s="1214" t="s">
        <v>459</v>
      </c>
      <c r="J33" s="1255"/>
      <c r="K33" s="1252"/>
      <c r="L33" s="1188" t="s">
        <v>467</v>
      </c>
      <c r="M33" s="1061"/>
      <c r="N33" s="1059"/>
      <c r="O33" s="805"/>
    </row>
    <row r="34" spans="1:15">
      <c r="A34" s="423" t="s">
        <v>107</v>
      </c>
      <c r="B34" s="981">
        <f>PGL_Supplies!AB7/1000+NSG_Supplies!N7/1000</f>
        <v>232.06399999999999</v>
      </c>
      <c r="C34" s="981" t="s">
        <v>10</v>
      </c>
      <c r="D34" s="982" t="s">
        <v>10</v>
      </c>
      <c r="E34" s="121"/>
      <c r="F34" s="121"/>
      <c r="G34" s="121"/>
      <c r="H34" s="160"/>
      <c r="I34" s="1215" t="s">
        <v>460</v>
      </c>
      <c r="J34" s="547"/>
      <c r="K34" s="1253"/>
      <c r="L34" s="1188" t="s">
        <v>468</v>
      </c>
      <c r="M34" s="1061"/>
      <c r="N34" s="1059"/>
      <c r="O34" s="805"/>
    </row>
    <row r="35" spans="1:15" ht="15.75" thickBot="1">
      <c r="A35" s="1134" t="s">
        <v>614</v>
      </c>
      <c r="B35" s="981">
        <f>PGL_Supplies!T7/1000</f>
        <v>95</v>
      </c>
      <c r="C35" s="981" t="s">
        <v>10</v>
      </c>
      <c r="D35" s="985"/>
      <c r="E35" s="121"/>
      <c r="F35" s="121"/>
      <c r="G35" s="121"/>
      <c r="H35" s="160"/>
      <c r="I35" s="1215" t="s">
        <v>461</v>
      </c>
      <c r="J35" s="547"/>
      <c r="K35" s="1252"/>
      <c r="L35" s="1189" t="s">
        <v>469</v>
      </c>
      <c r="M35" s="1061"/>
      <c r="N35" s="1059"/>
      <c r="O35" s="805"/>
    </row>
    <row r="36" spans="1:15" ht="16.5" thickBot="1">
      <c r="A36" s="1191" t="s">
        <v>679</v>
      </c>
      <c r="B36" s="1217">
        <f>-B32+B33+B34+B35*0.5</f>
        <v>229.16399999999999</v>
      </c>
      <c r="C36" s="1048"/>
      <c r="D36" s="1033" t="s">
        <v>10</v>
      </c>
      <c r="E36" s="121"/>
      <c r="F36" s="121"/>
      <c r="G36" s="121"/>
      <c r="H36" s="160"/>
      <c r="I36" s="1215" t="s">
        <v>462</v>
      </c>
      <c r="J36" s="547"/>
      <c r="K36" s="1252"/>
      <c r="L36" s="1189" t="s">
        <v>401</v>
      </c>
      <c r="M36" s="1061"/>
      <c r="N36" s="1059"/>
      <c r="O36" s="805"/>
    </row>
    <row r="37" spans="1:15">
      <c r="A37" s="1129" t="s">
        <v>802</v>
      </c>
      <c r="B37" s="1036"/>
      <c r="C37" s="1036"/>
      <c r="D37" s="1034" t="s">
        <v>10</v>
      </c>
      <c r="E37" s="121"/>
      <c r="F37" s="121"/>
      <c r="G37" s="121"/>
      <c r="H37" s="121"/>
      <c r="I37" s="1240" t="s">
        <v>463</v>
      </c>
      <c r="J37" s="547"/>
      <c r="K37" s="1252"/>
      <c r="L37" s="1190" t="s">
        <v>470</v>
      </c>
      <c r="M37" s="1061"/>
      <c r="N37" s="1059"/>
      <c r="O37" s="805"/>
    </row>
    <row r="38" spans="1:15" ht="15.75" thickBot="1">
      <c r="A38" s="1130" t="s">
        <v>803</v>
      </c>
      <c r="B38" s="322">
        <f>B36-B37-B39</f>
        <v>162.36399999999998</v>
      </c>
      <c r="C38" s="1037" t="s">
        <v>10</v>
      </c>
      <c r="D38" s="1035" t="s">
        <v>10</v>
      </c>
      <c r="E38" s="121"/>
      <c r="F38" s="121"/>
      <c r="G38" s="121"/>
      <c r="H38" s="121"/>
      <c r="I38" s="1236" t="s">
        <v>464</v>
      </c>
      <c r="J38" s="547"/>
      <c r="K38" s="1252"/>
      <c r="L38" s="592" t="s">
        <v>471</v>
      </c>
      <c r="M38" s="121"/>
      <c r="N38" s="1105"/>
      <c r="O38" s="1257"/>
    </row>
    <row r="39" spans="1:15" ht="16.5" thickBot="1">
      <c r="A39" s="1131" t="s">
        <v>804</v>
      </c>
      <c r="B39" s="1241">
        <f>F24</f>
        <v>66.8</v>
      </c>
      <c r="C39" s="1059"/>
      <c r="D39" s="1123" t="s">
        <v>10</v>
      </c>
      <c r="E39" s="121"/>
      <c r="F39" s="121"/>
      <c r="G39" s="121"/>
      <c r="H39" s="121"/>
      <c r="I39" s="1237" t="s">
        <v>465</v>
      </c>
      <c r="J39" s="582"/>
      <c r="K39" s="1254"/>
      <c r="L39" s="549" t="s">
        <v>222</v>
      </c>
      <c r="M39" s="428"/>
      <c r="N39" s="428"/>
      <c r="O39" s="430"/>
    </row>
    <row r="40" spans="1:15" ht="16.5" thickBot="1">
      <c r="A40" s="1136" t="s">
        <v>2</v>
      </c>
      <c r="B40" s="1242">
        <f>B37+B38+B39</f>
        <v>229.16399999999999</v>
      </c>
      <c r="C40" s="1137"/>
      <c r="D40" s="1138" t="s">
        <v>10</v>
      </c>
      <c r="E40" s="119"/>
      <c r="F40" s="119"/>
      <c r="G40" s="119"/>
      <c r="H40" s="119"/>
      <c r="I40" s="119"/>
      <c r="J40" s="990" t="s">
        <v>792</v>
      </c>
      <c r="K40" s="1192"/>
      <c r="L40" s="1196" t="s">
        <v>793</v>
      </c>
      <c r="M40" s="119"/>
      <c r="N40" s="119" t="s">
        <v>794</v>
      </c>
      <c r="O40" s="1193"/>
    </row>
    <row r="41" spans="1:15" ht="15.75" thickTop="1">
      <c r="A41" s="782"/>
      <c r="B41" s="782"/>
      <c r="C41" s="782"/>
      <c r="D41" s="782"/>
      <c r="E41" s="782"/>
      <c r="F41" s="782"/>
      <c r="G41" s="782"/>
      <c r="H41" s="782"/>
      <c r="I41" s="782"/>
      <c r="J41" s="1194"/>
      <c r="K41" s="1194"/>
      <c r="L41" s="1195"/>
      <c r="M41" s="782"/>
      <c r="N41" s="782"/>
      <c r="O41" s="782"/>
    </row>
    <row r="42" spans="1:15">
      <c r="A42" s="1132"/>
      <c r="B42" s="121"/>
      <c r="C42" s="121"/>
      <c r="D42" s="1133"/>
      <c r="I42" s="121"/>
      <c r="J42" s="1184"/>
      <c r="K42" s="592"/>
      <c r="L42" s="1185"/>
    </row>
    <row r="43" spans="1:15">
      <c r="I43" s="121"/>
      <c r="J43" s="1184"/>
      <c r="K43" s="592"/>
      <c r="L43" s="1185"/>
    </row>
    <row r="44" spans="1:15">
      <c r="I44" s="121"/>
      <c r="J44" s="8"/>
      <c r="K44" s="8"/>
      <c r="L44" s="118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topLeftCell="A6" zoomScale="75" workbookViewId="0">
      <selection activeCell="A13" sqref="A13"/>
    </sheetView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49" t="s">
        <v>10</v>
      </c>
      <c r="B1" s="636"/>
      <c r="C1" s="636" t="s">
        <v>10</v>
      </c>
      <c r="D1" s="637"/>
      <c r="E1" s="587" t="s">
        <v>171</v>
      </c>
      <c r="F1" s="587" t="str">
        <f>CHOOSE(WEEKDAY(G1),"SUN","MON","TUE","WED","THU","FRI","SAT")</f>
        <v>WED</v>
      </c>
      <c r="G1" s="1246">
        <f>Weather_Input!A5</f>
        <v>37055</v>
      </c>
      <c r="H1" s="587" t="s">
        <v>256</v>
      </c>
      <c r="I1" s="591"/>
    </row>
    <row r="2" spans="1:9" ht="20.25">
      <c r="A2" s="638" t="s">
        <v>10</v>
      </c>
      <c r="B2" s="786" t="s">
        <v>551</v>
      </c>
      <c r="C2" s="945">
        <v>82.7</v>
      </c>
      <c r="D2" s="788" t="s">
        <v>552</v>
      </c>
      <c r="E2" s="787"/>
      <c r="F2" s="788" t="s">
        <v>553</v>
      </c>
      <c r="G2" s="787"/>
      <c r="H2" s="789" t="s">
        <v>494</v>
      </c>
      <c r="I2" s="641"/>
    </row>
    <row r="3" spans="1:9" ht="20.25">
      <c r="A3" s="1041" t="s">
        <v>495</v>
      </c>
      <c r="B3" s="642" t="s">
        <v>22</v>
      </c>
      <c r="C3" s="643"/>
      <c r="D3" s="644" t="s">
        <v>22</v>
      </c>
      <c r="E3" s="643" t="s">
        <v>23</v>
      </c>
      <c r="F3" s="644" t="s">
        <v>22</v>
      </c>
      <c r="G3" s="644" t="s">
        <v>23</v>
      </c>
      <c r="H3" s="642" t="s">
        <v>22</v>
      </c>
      <c r="I3" s="645" t="s">
        <v>23</v>
      </c>
    </row>
    <row r="4" spans="1:9" ht="21" thickBot="1">
      <c r="A4" s="646"/>
      <c r="B4" s="647">
        <f>Weather_Input!B5</f>
        <v>91</v>
      </c>
      <c r="C4" s="754">
        <f>Weather_Input!C5</f>
        <v>73</v>
      </c>
      <c r="D4" s="648"/>
      <c r="E4" s="649"/>
      <c r="F4" s="648"/>
      <c r="G4" s="649"/>
      <c r="H4" s="650"/>
      <c r="I4" s="651"/>
    </row>
    <row r="5" spans="1:9" ht="24" thickBot="1">
      <c r="A5" s="652" t="s">
        <v>137</v>
      </c>
      <c r="B5" s="653"/>
      <c r="C5" s="654">
        <f>NSG_Deliveries!C5/1000</f>
        <v>34.5</v>
      </c>
      <c r="D5" s="653"/>
      <c r="E5" s="655"/>
      <c r="F5" s="653"/>
      <c r="G5" s="655" t="s">
        <v>10</v>
      </c>
      <c r="H5" s="653"/>
      <c r="I5" s="656"/>
    </row>
    <row r="6" spans="1:9" ht="12" customHeight="1" thickBot="1">
      <c r="A6" s="657" t="s">
        <v>10</v>
      </c>
      <c r="B6" s="658"/>
      <c r="C6" s="659"/>
      <c r="D6" s="660"/>
      <c r="E6" s="659"/>
      <c r="F6" s="660"/>
      <c r="G6" s="660"/>
      <c r="H6" s="658"/>
      <c r="I6" s="661"/>
    </row>
    <row r="7" spans="1:9" ht="24" thickBot="1">
      <c r="A7" s="662" t="s">
        <v>85</v>
      </c>
      <c r="B7" s="653"/>
      <c r="C7" s="759">
        <f>C5-C9-C11-C12</f>
        <v>0</v>
      </c>
      <c r="D7" s="663"/>
      <c r="E7" s="655"/>
      <c r="F7" s="663"/>
      <c r="G7" s="663" t="s">
        <v>10</v>
      </c>
      <c r="H7" s="653"/>
      <c r="I7" s="656"/>
    </row>
    <row r="8" spans="1:9" ht="12" customHeight="1" thickBot="1">
      <c r="A8" s="657"/>
      <c r="B8" s="664"/>
      <c r="C8" s="659"/>
      <c r="D8" s="660"/>
      <c r="E8" s="659"/>
      <c r="F8" s="660"/>
      <c r="G8" s="660"/>
      <c r="H8" s="658"/>
      <c r="I8" s="661"/>
    </row>
    <row r="9" spans="1:9" s="114" customFormat="1" ht="21" customHeight="1" thickBot="1">
      <c r="A9" s="821" t="s">
        <v>629</v>
      </c>
      <c r="B9" s="671"/>
      <c r="C9" s="1057">
        <f>B46</f>
        <v>8.1150000000000002</v>
      </c>
      <c r="D9" s="669"/>
      <c r="E9" s="670"/>
      <c r="F9" s="669"/>
      <c r="G9" s="669"/>
      <c r="H9" s="671"/>
      <c r="I9" s="672"/>
    </row>
    <row r="10" spans="1:9" ht="12" customHeight="1" thickBot="1">
      <c r="A10" s="817"/>
      <c r="B10" s="664"/>
      <c r="C10" s="659"/>
      <c r="D10" s="818"/>
      <c r="E10" s="665"/>
      <c r="F10" s="818"/>
      <c r="G10" s="818"/>
      <c r="H10" s="664"/>
      <c r="I10" s="819"/>
    </row>
    <row r="11" spans="1:9" ht="23.25">
      <c r="A11" s="666" t="s">
        <v>496</v>
      </c>
      <c r="B11" s="667"/>
      <c r="C11" s="668">
        <f>B38</f>
        <v>0</v>
      </c>
      <c r="D11" s="669"/>
      <c r="E11" s="670"/>
      <c r="F11" s="669"/>
      <c r="G11" s="669" t="s">
        <v>10</v>
      </c>
      <c r="H11" s="671"/>
      <c r="I11" s="672"/>
    </row>
    <row r="12" spans="1:9" ht="23.25">
      <c r="A12" s="673" t="s">
        <v>497</v>
      </c>
      <c r="B12" s="674"/>
      <c r="C12" s="675">
        <f>+C5-C9</f>
        <v>26.384999999999998</v>
      </c>
      <c r="D12" s="676"/>
      <c r="E12" s="677"/>
      <c r="F12" s="676"/>
      <c r="G12" s="676"/>
      <c r="H12" s="674"/>
      <c r="I12" s="678"/>
    </row>
    <row r="13" spans="1:9" ht="21" thickBot="1">
      <c r="A13" s="681" t="s">
        <v>97</v>
      </c>
      <c r="B13" s="679"/>
      <c r="C13" s="680"/>
      <c r="D13" s="676"/>
      <c r="E13" s="677"/>
      <c r="F13" s="676"/>
      <c r="G13" s="676"/>
      <c r="H13" s="674"/>
      <c r="I13" s="678"/>
    </row>
    <row r="14" spans="1:9" ht="21" thickBot="1">
      <c r="A14" s="681" t="s">
        <v>108</v>
      </c>
      <c r="B14" s="682"/>
      <c r="C14" s="683"/>
      <c r="D14" s="682"/>
      <c r="E14" s="683"/>
      <c r="F14" s="682"/>
      <c r="G14" s="682"/>
      <c r="H14" s="684"/>
      <c r="I14" s="685"/>
    </row>
    <row r="15" spans="1:9" ht="24" thickBot="1">
      <c r="A15" s="686" t="s">
        <v>498</v>
      </c>
      <c r="B15" s="687"/>
      <c r="C15" s="759">
        <v>0</v>
      </c>
      <c r="D15" s="689"/>
      <c r="E15" s="688"/>
      <c r="F15" s="689"/>
      <c r="G15" s="689" t="s">
        <v>10</v>
      </c>
      <c r="H15" s="687"/>
      <c r="I15" s="690"/>
    </row>
    <row r="16" spans="1:9" ht="21" thickBot="1">
      <c r="A16" s="691" t="s">
        <v>10</v>
      </c>
      <c r="B16" s="658"/>
      <c r="C16" s="659"/>
      <c r="D16" s="660"/>
      <c r="E16" s="659"/>
      <c r="F16" s="660"/>
      <c r="G16" s="660"/>
      <c r="H16" s="658"/>
      <c r="I16" s="661"/>
    </row>
    <row r="17" spans="1:9" ht="24" thickBot="1">
      <c r="A17" s="692" t="s">
        <v>499</v>
      </c>
      <c r="B17" s="693"/>
      <c r="C17" s="694" t="s">
        <v>10</v>
      </c>
      <c r="D17" s="695"/>
      <c r="E17" s="696"/>
      <c r="F17" s="695"/>
      <c r="G17" s="695"/>
      <c r="H17" s="693"/>
      <c r="I17" s="697"/>
    </row>
    <row r="18" spans="1:9" ht="21" thickBot="1">
      <c r="A18" s="698" t="s">
        <v>500</v>
      </c>
      <c r="B18" s="658"/>
      <c r="C18" s="659" t="s">
        <v>10</v>
      </c>
      <c r="D18" s="660"/>
      <c r="E18" s="659"/>
      <c r="F18" s="660"/>
      <c r="G18" s="505" t="s">
        <v>633</v>
      </c>
      <c r="H18" s="658"/>
      <c r="I18" s="822"/>
    </row>
    <row r="19" spans="1:9" ht="24" thickBot="1">
      <c r="A19" s="699" t="s">
        <v>426</v>
      </c>
      <c r="B19" s="700"/>
      <c r="C19" s="701">
        <f>C7+C12</f>
        <v>26.384999999999998</v>
      </c>
      <c r="D19" s="702"/>
      <c r="E19" s="703"/>
      <c r="F19" s="702"/>
      <c r="G19" s="702" t="s">
        <v>10</v>
      </c>
      <c r="H19" s="700"/>
      <c r="I19" s="704"/>
    </row>
    <row r="20" spans="1:9" ht="20.25">
      <c r="A20" s="705" t="s">
        <v>428</v>
      </c>
      <c r="B20" s="706"/>
      <c r="C20" s="707">
        <f>NSG_Requirements!C7/1000</f>
        <v>0</v>
      </c>
      <c r="D20" s="708"/>
      <c r="E20" s="707">
        <f>NSG_Requirements!C7/1000</f>
        <v>0</v>
      </c>
      <c r="F20" s="708"/>
      <c r="G20" s="707">
        <f>NSG_Requirements!C7/1000</f>
        <v>0</v>
      </c>
      <c r="H20" s="706"/>
      <c r="I20" s="768">
        <f>NSG_Requirements!C7/1000</f>
        <v>0</v>
      </c>
    </row>
    <row r="21" spans="1:9" ht="20.25">
      <c r="A21" s="709" t="s">
        <v>431</v>
      </c>
      <c r="B21" s="710"/>
      <c r="C21" s="707">
        <f>NSG_Requirements!R7/1000</f>
        <v>0</v>
      </c>
      <c r="D21" s="711"/>
      <c r="E21" s="707">
        <f>NSG_Requirements!R7/1000</f>
        <v>0</v>
      </c>
      <c r="F21" s="711"/>
      <c r="G21" s="707">
        <f>NSG_Requirements!R7/1000</f>
        <v>0</v>
      </c>
      <c r="H21" s="710"/>
      <c r="I21" s="769">
        <f>NSG_Requirements!R7/1000</f>
        <v>0</v>
      </c>
    </row>
    <row r="22" spans="1:9" ht="20.25">
      <c r="A22" s="709" t="s">
        <v>501</v>
      </c>
      <c r="B22" s="713"/>
      <c r="C22" s="707">
        <f>NSG_Supplies!K7/1000</f>
        <v>0</v>
      </c>
      <c r="D22" s="714"/>
      <c r="E22" s="707">
        <f>NSG_Supplies!K7/1000</f>
        <v>0</v>
      </c>
      <c r="F22" s="714"/>
      <c r="G22" s="707">
        <f>NSG_Supplies!K7/1000</f>
        <v>0</v>
      </c>
      <c r="H22" s="713"/>
      <c r="I22" s="770">
        <f>NSG_Supplies!K7/1000</f>
        <v>0</v>
      </c>
    </row>
    <row r="23" spans="1:9" ht="20.25">
      <c r="A23" s="705" t="s">
        <v>432</v>
      </c>
      <c r="B23" s="713"/>
      <c r="C23" s="785">
        <f>-(PGL_Requirements!$Y$7+PGL_Requirements!$Z$7+PGL_Requirements!$AA$7+PGL_Requirements!$AB$7)/1000+(NSG_Requirements!$Y$7+NSG_Requirements!$Z$7+NSG_Requirements!$AA$7)/1000</f>
        <v>0</v>
      </c>
      <c r="D23" s="639"/>
      <c r="E23" s="785">
        <f>-(PGL_Requirements!$Y$7+PGL_Requirements!$Z$7+PGL_Requirements!$AA$7+PGL_Requirements!$AB$7)/1000+(NSG_Requirements!$Y$7+NSG_Requirements!$Z$7+NSG_Requirements!$AA$7)/1000</f>
        <v>0</v>
      </c>
      <c r="F23" s="639"/>
      <c r="G23" s="785">
        <f>-(PGL_Requirements!$Y$7+PGL_Requirements!$Z$7+PGL_Requirements!$AA$7+PGL_Requirements!$AB$7)/1000+(NSG_Requirements!$Y$7+NSG_Requirements!$Z$7+NSG_Requirements!$AA$7)/1000</f>
        <v>0</v>
      </c>
      <c r="H23" s="710"/>
      <c r="I23" s="784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5" t="s">
        <v>434</v>
      </c>
      <c r="B24" s="713"/>
      <c r="C24" s="707">
        <f>NSG_Requirements!H7/1000</f>
        <v>2.5</v>
      </c>
      <c r="D24" s="714"/>
      <c r="E24" s="707" t="s">
        <v>10</v>
      </c>
      <c r="F24" s="714"/>
      <c r="G24" s="707" t="s">
        <v>10</v>
      </c>
      <c r="H24" s="713"/>
      <c r="I24" s="707" t="s">
        <v>10</v>
      </c>
    </row>
    <row r="25" spans="1:9" ht="20.25">
      <c r="A25" s="705" t="s">
        <v>435</v>
      </c>
      <c r="B25" s="710"/>
      <c r="C25" s="707">
        <f>-NSG_Supplies!F7/1000</f>
        <v>0</v>
      </c>
      <c r="D25" s="711"/>
      <c r="E25" s="707" t="s">
        <v>10</v>
      </c>
      <c r="F25" s="711"/>
      <c r="G25" s="707" t="s">
        <v>10</v>
      </c>
      <c r="H25" s="710"/>
      <c r="I25" s="707" t="s">
        <v>10</v>
      </c>
    </row>
    <row r="26" spans="1:9" ht="20.25">
      <c r="A26" s="705" t="s">
        <v>195</v>
      </c>
      <c r="B26" s="713"/>
      <c r="C26" s="707">
        <f>-NSG_Supplies!R7/1000</f>
        <v>-28.888999999999999</v>
      </c>
      <c r="D26" s="714"/>
      <c r="E26" s="707">
        <f>-NSG_Supplies!R7/1000</f>
        <v>-28.888999999999999</v>
      </c>
      <c r="F26" s="714"/>
      <c r="G26" s="707">
        <f>-NSG_Supplies!R7/1000</f>
        <v>-28.888999999999999</v>
      </c>
      <c r="H26" s="713"/>
      <c r="I26" s="770">
        <f>-NSG_Supplies!R7/1000</f>
        <v>-28.888999999999999</v>
      </c>
    </row>
    <row r="27" spans="1:9" ht="20.25">
      <c r="A27" s="705" t="s">
        <v>433</v>
      </c>
      <c r="B27" s="713"/>
      <c r="C27" s="707">
        <v>0</v>
      </c>
      <c r="D27" s="714"/>
      <c r="E27" s="707">
        <v>0</v>
      </c>
      <c r="F27" s="714"/>
      <c r="G27" s="707">
        <v>0</v>
      </c>
      <c r="H27" s="713"/>
      <c r="I27" s="770">
        <v>0</v>
      </c>
    </row>
    <row r="28" spans="1:9" ht="21" thickBot="1">
      <c r="A28" s="760" t="s">
        <v>528</v>
      </c>
      <c r="B28" s="716"/>
      <c r="C28" s="707">
        <f>-NSG_Supplies!H7/1000+NSG_Requirements!L7/1000</f>
        <v>0</v>
      </c>
      <c r="D28" s="711"/>
      <c r="E28" s="707">
        <f>-NSG_Supplies!H7/1000+NSG_Requirements!L7/1000</f>
        <v>0</v>
      </c>
      <c r="F28" s="711"/>
      <c r="G28" s="707">
        <f>-NSG_Supplies!H7/1000+NSG_Requirements!L7/1000</f>
        <v>0</v>
      </c>
      <c r="H28" s="716"/>
      <c r="I28" s="779">
        <f>-NSG_Supplies!H7/1000+NSG_Requirements!L7/1000</f>
        <v>0</v>
      </c>
    </row>
    <row r="29" spans="1:9" ht="24" thickBot="1">
      <c r="A29" s="718"/>
      <c r="B29" s="719"/>
      <c r="C29" s="720" t="s">
        <v>496</v>
      </c>
      <c r="D29" s="719"/>
      <c r="E29" s="721"/>
      <c r="F29" s="719"/>
      <c r="G29" s="722" t="s">
        <v>10</v>
      </c>
      <c r="H29" s="719"/>
      <c r="I29" s="723"/>
    </row>
    <row r="30" spans="1:9" ht="20.25">
      <c r="A30" s="777" t="s">
        <v>438</v>
      </c>
      <c r="B30" s="756">
        <f>NSG_Requirements!O7/1000</f>
        <v>0</v>
      </c>
      <c r="C30" s="725" t="s">
        <v>10</v>
      </c>
      <c r="D30" s="726"/>
      <c r="E30" s="727"/>
      <c r="F30" s="728" t="s">
        <v>281</v>
      </c>
      <c r="G30" s="729"/>
      <c r="H30" s="729"/>
      <c r="I30" s="730"/>
    </row>
    <row r="31" spans="1:9" ht="20.25">
      <c r="A31" s="778" t="s">
        <v>529</v>
      </c>
      <c r="B31" s="755">
        <f>NSG_Supplies!L7/1000+PGL_Requirements!V7/1000</f>
        <v>0</v>
      </c>
      <c r="C31" s="714"/>
      <c r="D31" s="732"/>
      <c r="E31" s="715"/>
      <c r="F31" s="639"/>
      <c r="G31" s="711"/>
      <c r="H31" s="711"/>
      <c r="I31" s="730"/>
    </row>
    <row r="32" spans="1:9" ht="20.25">
      <c r="A32" s="778" t="s">
        <v>530</v>
      </c>
      <c r="B32" s="755">
        <f>NSG_Supplies!M7/1000</f>
        <v>0</v>
      </c>
      <c r="C32" s="711"/>
      <c r="D32" s="733"/>
      <c r="E32" s="712"/>
      <c r="F32" s="639"/>
      <c r="G32" s="711"/>
      <c r="H32" s="711"/>
      <c r="I32" s="730"/>
    </row>
    <row r="33" spans="1:9" ht="20.25">
      <c r="A33" s="777" t="s">
        <v>502</v>
      </c>
      <c r="B33" s="757">
        <f>(NSG_Requirements!S7+NSG_Requirements!T7+NSG_Requirements!U7)/1000</f>
        <v>0</v>
      </c>
      <c r="C33" s="714"/>
      <c r="D33" s="732"/>
      <c r="E33" s="715"/>
      <c r="F33" s="639"/>
      <c r="G33" s="711"/>
      <c r="H33" s="711"/>
      <c r="I33" s="730"/>
    </row>
    <row r="34" spans="1:9" ht="20.25">
      <c r="A34" s="777" t="s">
        <v>88</v>
      </c>
      <c r="B34" s="755">
        <f>NSG_Requirements!D7/1000</f>
        <v>0</v>
      </c>
      <c r="C34" s="714"/>
      <c r="D34" s="732"/>
      <c r="E34" s="715"/>
      <c r="F34" s="639"/>
      <c r="G34" s="711"/>
      <c r="H34" s="711"/>
      <c r="I34" s="730"/>
    </row>
    <row r="35" spans="1:9" ht="20.25">
      <c r="A35" s="778" t="s">
        <v>514</v>
      </c>
      <c r="B35" s="757">
        <f>NSG_Requirements!B7/1000</f>
        <v>0</v>
      </c>
      <c r="C35" s="714"/>
      <c r="D35" s="732"/>
      <c r="E35" s="715"/>
      <c r="F35" s="639"/>
      <c r="G35" s="711"/>
      <c r="H35" s="711"/>
      <c r="I35" s="730"/>
    </row>
    <row r="36" spans="1:9" ht="20.25">
      <c r="A36" s="778" t="s">
        <v>515</v>
      </c>
      <c r="B36" s="757">
        <f>NSG_Supplies!B7/1000</f>
        <v>0</v>
      </c>
      <c r="C36" s="714"/>
      <c r="D36" s="732"/>
      <c r="E36" s="715"/>
      <c r="F36" s="639"/>
      <c r="G36" s="711"/>
      <c r="H36" s="711"/>
      <c r="I36" s="730"/>
    </row>
    <row r="37" spans="1:9" ht="21" thickBot="1">
      <c r="A37" s="777" t="s">
        <v>107</v>
      </c>
      <c r="B37" s="755">
        <f>NSG_Supplies!P7/1000</f>
        <v>0</v>
      </c>
      <c r="C37" s="735"/>
      <c r="D37" s="736"/>
      <c r="E37" s="717"/>
      <c r="F37" s="639"/>
      <c r="G37" s="711"/>
      <c r="H37" s="711"/>
      <c r="I37" s="730"/>
    </row>
    <row r="38" spans="1:9" ht="21" thickBot="1">
      <c r="A38" s="737" t="s">
        <v>503</v>
      </c>
      <c r="B38" s="758">
        <f>-B30+B31+B32-B33-B34-B35+B36+B37</f>
        <v>0</v>
      </c>
      <c r="C38" s="639"/>
      <c r="D38" s="738"/>
      <c r="E38" s="739"/>
      <c r="F38" s="639"/>
      <c r="G38" s="711"/>
      <c r="H38" s="711"/>
      <c r="I38" s="730"/>
    </row>
    <row r="39" spans="1:9" ht="24" thickBot="1">
      <c r="A39" s="718"/>
      <c r="B39" s="719"/>
      <c r="C39" s="823" t="s">
        <v>634</v>
      </c>
      <c r="D39" s="719"/>
      <c r="E39" s="721"/>
      <c r="F39" s="639"/>
      <c r="G39" s="711"/>
      <c r="H39" s="711"/>
      <c r="I39" s="730"/>
    </row>
    <row r="40" spans="1:9" ht="20.25">
      <c r="A40" s="705" t="s">
        <v>504</v>
      </c>
      <c r="B40" s="813">
        <v>0</v>
      </c>
      <c r="C40" s="639"/>
      <c r="D40" s="740"/>
      <c r="E40" s="741"/>
      <c r="F40" s="639"/>
      <c r="G40" s="711"/>
      <c r="H40" s="711"/>
      <c r="I40" s="730"/>
    </row>
    <row r="41" spans="1:9" ht="20.25">
      <c r="A41" s="705" t="s">
        <v>505</v>
      </c>
      <c r="B41" s="814">
        <f>NSG_Requirements!J7/1000</f>
        <v>7.1</v>
      </c>
      <c r="C41" s="714"/>
      <c r="D41" s="732"/>
      <c r="E41" s="715"/>
      <c r="F41" s="639"/>
      <c r="G41" s="711"/>
      <c r="H41" s="711"/>
      <c r="I41" s="730"/>
    </row>
    <row r="42" spans="1:9" ht="20.25">
      <c r="A42" s="705" t="s">
        <v>506</v>
      </c>
      <c r="B42" s="815">
        <f>NSG_Supplies!E7/1000</f>
        <v>0</v>
      </c>
      <c r="C42" s="639"/>
      <c r="D42" s="742"/>
      <c r="E42" s="743"/>
      <c r="F42" s="639"/>
      <c r="G42" s="711"/>
      <c r="H42" s="711"/>
      <c r="I42" s="730"/>
    </row>
    <row r="43" spans="1:9" ht="20.25">
      <c r="A43" s="705" t="s">
        <v>507</v>
      </c>
      <c r="B43" s="814">
        <v>0</v>
      </c>
      <c r="C43" s="714"/>
      <c r="D43" s="732"/>
      <c r="E43" s="715"/>
      <c r="F43" s="639"/>
      <c r="G43" s="711"/>
      <c r="H43" s="711"/>
      <c r="I43" s="730"/>
    </row>
    <row r="44" spans="1:9" ht="20.25">
      <c r="A44" s="705" t="s">
        <v>508</v>
      </c>
      <c r="B44" s="814">
        <v>0</v>
      </c>
      <c r="C44" s="714"/>
      <c r="D44" s="732"/>
      <c r="E44" s="715"/>
      <c r="F44" s="639"/>
      <c r="G44" s="711"/>
      <c r="H44" s="711"/>
      <c r="I44" s="730"/>
    </row>
    <row r="45" spans="1:9" ht="21" thickBot="1">
      <c r="A45" s="634" t="s">
        <v>630</v>
      </c>
      <c r="B45" s="815">
        <f>NSG_Supplies!Q7/1000</f>
        <v>15.215</v>
      </c>
      <c r="C45" s="639"/>
      <c r="D45" s="742"/>
      <c r="E45" s="743"/>
      <c r="F45" s="639"/>
      <c r="G45" s="711"/>
      <c r="H45" s="711"/>
      <c r="I45" s="730"/>
    </row>
    <row r="46" spans="1:9" ht="21" thickBot="1">
      <c r="A46" s="737" t="s">
        <v>503</v>
      </c>
      <c r="B46" s="816">
        <f>B45+B42-B41</f>
        <v>8.1150000000000002</v>
      </c>
      <c r="C46" s="745"/>
      <c r="D46" s="744"/>
      <c r="E46" s="746"/>
      <c r="F46" s="639"/>
      <c r="G46" s="711"/>
      <c r="H46" s="711"/>
      <c r="I46" s="730"/>
    </row>
    <row r="47" spans="1:9" ht="24" thickBot="1">
      <c r="A47" s="718"/>
      <c r="B47" s="719"/>
      <c r="C47" s="720" t="s">
        <v>68</v>
      </c>
      <c r="D47" s="719"/>
      <c r="E47" s="721"/>
      <c r="F47" s="639"/>
      <c r="G47" s="711"/>
      <c r="H47" s="711"/>
      <c r="I47" s="730"/>
    </row>
    <row r="48" spans="1:9" ht="20.25">
      <c r="A48" s="705" t="s">
        <v>509</v>
      </c>
      <c r="B48" s="724">
        <f>(NSG_Requirements!V7+NSG_Requirements!W7+NSG_Requirements!X7)/1000</f>
        <v>0</v>
      </c>
      <c r="C48" s="747"/>
      <c r="D48" s="732"/>
      <c r="E48" s="715"/>
      <c r="F48" s="639"/>
      <c r="G48" s="711"/>
      <c r="H48" s="711"/>
      <c r="I48" s="730"/>
    </row>
    <row r="49" spans="1:9" ht="20.25">
      <c r="A49" s="705" t="s">
        <v>510</v>
      </c>
      <c r="B49" s="731">
        <f>NSG_Requirements!M7/1000</f>
        <v>0</v>
      </c>
      <c r="C49" s="751"/>
      <c r="D49" s="751"/>
      <c r="E49" s="640"/>
      <c r="F49" s="639"/>
      <c r="G49" s="711"/>
      <c r="H49" s="711"/>
      <c r="I49" s="730"/>
    </row>
    <row r="50" spans="1:9" ht="20.25">
      <c r="A50" s="705" t="s">
        <v>88</v>
      </c>
      <c r="B50" s="731">
        <f>NSG_Requirements!E7/1000</f>
        <v>0</v>
      </c>
      <c r="C50" s="748"/>
      <c r="D50" s="742"/>
      <c r="E50" s="743"/>
      <c r="F50" s="639"/>
      <c r="G50" s="711"/>
      <c r="H50" s="711"/>
      <c r="I50" s="730"/>
    </row>
    <row r="51" spans="1:9" ht="21" thickBot="1">
      <c r="A51" s="705" t="s">
        <v>107</v>
      </c>
      <c r="B51" s="734">
        <f>NSG_Supplies!O7/1000</f>
        <v>0</v>
      </c>
      <c r="C51" s="747"/>
      <c r="D51" s="732"/>
      <c r="E51" s="715"/>
      <c r="F51" s="639"/>
      <c r="G51" s="711"/>
      <c r="H51" s="711"/>
      <c r="I51" s="730"/>
    </row>
    <row r="52" spans="1:9" ht="24" thickBot="1">
      <c r="A52" s="718"/>
      <c r="B52" s="719"/>
      <c r="C52" s="720" t="s">
        <v>511</v>
      </c>
      <c r="D52" s="719"/>
      <c r="E52" s="721"/>
      <c r="F52" s="639"/>
      <c r="G52" s="711"/>
      <c r="H52" s="711"/>
      <c r="I52" s="730"/>
    </row>
    <row r="53" spans="1:9" ht="20.25">
      <c r="A53" s="749" t="s">
        <v>512</v>
      </c>
      <c r="B53" s="750"/>
      <c r="C53" s="639"/>
      <c r="D53" s="740"/>
      <c r="E53" s="741"/>
      <c r="F53" s="639"/>
      <c r="G53" s="711"/>
      <c r="H53" s="711"/>
      <c r="I53" s="730"/>
    </row>
    <row r="54" spans="1:9" ht="21" thickBot="1">
      <c r="A54" s="752" t="s">
        <v>513</v>
      </c>
      <c r="B54" s="761"/>
      <c r="C54" s="762"/>
      <c r="D54" s="763"/>
      <c r="E54" s="764"/>
      <c r="F54" s="753"/>
      <c r="G54" s="765"/>
      <c r="H54" s="1043"/>
      <c r="I54" s="1042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7" t="s">
        <v>10</v>
      </c>
      <c r="B1" s="252"/>
      <c r="C1" s="252"/>
      <c r="D1" s="252"/>
      <c r="E1" s="253" t="s">
        <v>171</v>
      </c>
      <c r="F1" s="460">
        <f>Weather_Input!A5</f>
        <v>37055</v>
      </c>
      <c r="G1" s="254" t="s">
        <v>10</v>
      </c>
      <c r="H1" s="252"/>
      <c r="I1" s="255"/>
    </row>
    <row r="2" spans="1:9" ht="17.100000000000001" customHeight="1">
      <c r="A2" s="256" t="s">
        <v>10</v>
      </c>
      <c r="B2" s="257"/>
      <c r="C2" s="257"/>
      <c r="D2" s="257" t="s">
        <v>10</v>
      </c>
      <c r="E2" s="257"/>
      <c r="F2" s="257"/>
      <c r="G2" s="257"/>
      <c r="H2" s="257" t="s">
        <v>10</v>
      </c>
      <c r="I2" s="258"/>
    </row>
    <row r="3" spans="1:9" ht="17.100000000000001" customHeight="1" thickBot="1">
      <c r="A3" s="256"/>
      <c r="B3" s="455" t="s">
        <v>532</v>
      </c>
      <c r="C3" s="451">
        <v>44</v>
      </c>
      <c r="D3" s="257"/>
      <c r="E3" s="257"/>
      <c r="F3" s="451" t="s">
        <v>394</v>
      </c>
      <c r="G3" s="451"/>
      <c r="H3" s="259" t="s">
        <v>172</v>
      </c>
      <c r="I3" s="258"/>
    </row>
    <row r="4" spans="1:9" ht="17.100000000000001" customHeight="1">
      <c r="A4" s="260" t="s">
        <v>173</v>
      </c>
      <c r="B4" s="260" t="s">
        <v>173</v>
      </c>
      <c r="C4" s="261" t="s">
        <v>174</v>
      </c>
      <c r="D4" s="261" t="s">
        <v>22</v>
      </c>
      <c r="E4" s="261" t="s">
        <v>174</v>
      </c>
      <c r="F4" s="261" t="s">
        <v>22</v>
      </c>
      <c r="G4" s="261" t="s">
        <v>174</v>
      </c>
      <c r="H4" s="261" t="s">
        <v>22</v>
      </c>
      <c r="I4" s="262" t="s">
        <v>174</v>
      </c>
    </row>
    <row r="5" spans="1:9" ht="17.100000000000001" customHeight="1">
      <c r="A5" s="263" t="s">
        <v>175</v>
      </c>
      <c r="B5" s="264">
        <f>Weather_Input!B5</f>
        <v>91</v>
      </c>
      <c r="C5" s="264">
        <f>Weather_Input!C5</f>
        <v>73</v>
      </c>
      <c r="D5" s="264"/>
      <c r="E5" s="264"/>
      <c r="F5" s="264"/>
      <c r="G5" s="264"/>
      <c r="H5" s="264"/>
      <c r="I5" s="265"/>
    </row>
    <row r="6" spans="1:9" ht="17.100000000000001" customHeight="1">
      <c r="A6" s="263" t="s">
        <v>176</v>
      </c>
      <c r="B6" s="266"/>
      <c r="C6" s="267"/>
      <c r="D6" s="267"/>
      <c r="E6" s="267"/>
      <c r="F6" s="267"/>
      <c r="G6" s="267"/>
      <c r="H6" s="267"/>
      <c r="I6" s="265"/>
    </row>
    <row r="7" spans="1:9" ht="17.100000000000001" customHeight="1" thickBot="1">
      <c r="A7" s="256" t="s">
        <v>177</v>
      </c>
      <c r="B7" s="268"/>
      <c r="C7" s="269"/>
      <c r="D7" s="257"/>
      <c r="E7" s="268"/>
      <c r="F7" s="269"/>
      <c r="G7" s="269"/>
      <c r="H7" s="269"/>
      <c r="I7" s="258"/>
    </row>
    <row r="8" spans="1:9" ht="17.100000000000001" customHeight="1" thickBot="1">
      <c r="A8" s="270" t="s">
        <v>178</v>
      </c>
      <c r="B8" s="271">
        <f>PGL_Deliveries!C5/1000</f>
        <v>210</v>
      </c>
      <c r="C8" s="272">
        <f>NSG_Deliveries!C5/1000</f>
        <v>34.5</v>
      </c>
      <c r="D8" s="271" t="s">
        <v>10</v>
      </c>
      <c r="E8" s="273"/>
      <c r="F8" s="274"/>
      <c r="G8" s="274"/>
      <c r="H8" s="274"/>
      <c r="I8" s="255"/>
    </row>
    <row r="9" spans="1:9" ht="17.100000000000001" customHeight="1" thickTop="1" thickBot="1">
      <c r="A9" s="275"/>
      <c r="B9" s="454" t="s">
        <v>54</v>
      </c>
      <c r="C9" s="276" t="s">
        <v>82</v>
      </c>
      <c r="D9" s="277"/>
      <c r="E9" s="277"/>
      <c r="F9" s="277"/>
      <c r="G9" s="277"/>
      <c r="H9" s="277"/>
      <c r="I9" s="278"/>
    </row>
    <row r="10" spans="1:9" ht="17.100000000000001" customHeight="1" thickTop="1">
      <c r="A10" s="279" t="s">
        <v>67</v>
      </c>
      <c r="B10" s="280">
        <f>B62</f>
        <v>0</v>
      </c>
      <c r="C10" s="266"/>
      <c r="D10" s="264"/>
      <c r="E10" s="266"/>
      <c r="F10" s="266"/>
      <c r="G10" s="266"/>
      <c r="H10" s="266"/>
      <c r="I10" s="265" t="s">
        <v>10</v>
      </c>
    </row>
    <row r="11" spans="1:9" ht="17.100000000000001" customHeight="1">
      <c r="A11" s="281" t="s">
        <v>179</v>
      </c>
      <c r="B11" s="280">
        <f>+B54</f>
        <v>131.989</v>
      </c>
      <c r="C11" s="282" t="s">
        <v>10</v>
      </c>
      <c r="D11" s="264"/>
      <c r="E11" s="282" t="str">
        <f>+C11</f>
        <v xml:space="preserve"> </v>
      </c>
      <c r="F11" s="266"/>
      <c r="G11" s="282" t="str">
        <f>+C11</f>
        <v xml:space="preserve"> </v>
      </c>
      <c r="H11" s="266"/>
      <c r="I11" s="283" t="str">
        <f>+C11</f>
        <v xml:space="preserve"> </v>
      </c>
    </row>
    <row r="12" spans="1:9" ht="17.100000000000001" customHeight="1">
      <c r="A12" s="256" t="s">
        <v>180</v>
      </c>
      <c r="B12" s="280">
        <f>PGL_Supplies!K7/1000</f>
        <v>0</v>
      </c>
      <c r="C12" s="282"/>
      <c r="D12" s="264"/>
      <c r="E12" s="266"/>
      <c r="F12" s="266"/>
      <c r="G12" s="266"/>
      <c r="H12" s="266"/>
      <c r="I12" s="265"/>
    </row>
    <row r="13" spans="1:9" ht="17.100000000000001" customHeight="1">
      <c r="A13" s="281" t="s">
        <v>73</v>
      </c>
      <c r="B13" s="280">
        <f>PGL_Supplies!I7/1000</f>
        <v>15</v>
      </c>
      <c r="C13" s="266"/>
      <c r="D13" s="459"/>
      <c r="E13" s="266"/>
      <c r="F13" s="266"/>
      <c r="G13" s="266"/>
      <c r="H13" s="266"/>
      <c r="I13" s="265"/>
    </row>
    <row r="14" spans="1:9" ht="17.100000000000001" customHeight="1">
      <c r="A14" s="281" t="s">
        <v>181</v>
      </c>
      <c r="B14" s="284">
        <f>+B72</f>
        <v>31.887</v>
      </c>
      <c r="C14" s="266"/>
      <c r="D14" s="264"/>
      <c r="E14" s="266"/>
      <c r="F14" s="266"/>
      <c r="G14" s="266"/>
      <c r="H14" s="266"/>
      <c r="I14" s="265"/>
    </row>
    <row r="15" spans="1:9" ht="17.100000000000001" customHeight="1">
      <c r="A15" s="281" t="s">
        <v>182</v>
      </c>
      <c r="B15" s="280">
        <f>+B46</f>
        <v>1</v>
      </c>
      <c r="C15" s="266" t="s">
        <v>10</v>
      </c>
      <c r="D15" s="264" t="s">
        <v>10</v>
      </c>
      <c r="E15" s="266"/>
      <c r="F15" s="459"/>
      <c r="G15" s="266"/>
      <c r="H15" s="266"/>
      <c r="I15" s="265"/>
    </row>
    <row r="16" spans="1:9" ht="17.100000000000001" customHeight="1">
      <c r="A16" s="256" t="s">
        <v>183</v>
      </c>
      <c r="B16" s="280">
        <f>PGL_Requirements!G7/1000</f>
        <v>4.05</v>
      </c>
      <c r="C16" s="266"/>
      <c r="D16" s="264"/>
      <c r="E16" s="266"/>
      <c r="F16" s="304" t="s">
        <v>10</v>
      </c>
      <c r="G16" s="266"/>
      <c r="H16" s="266"/>
      <c r="I16" s="265"/>
    </row>
    <row r="17" spans="1:9" ht="17.100000000000001" customHeight="1" thickBot="1">
      <c r="A17" s="281" t="s">
        <v>184</v>
      </c>
      <c r="B17" s="280">
        <f>PGL_Supplies!B7/1000</f>
        <v>0</v>
      </c>
      <c r="C17" s="266"/>
      <c r="D17" s="257"/>
      <c r="E17" s="266"/>
      <c r="F17" s="266"/>
      <c r="G17" s="266"/>
      <c r="H17" s="266"/>
      <c r="I17" s="285"/>
    </row>
    <row r="18" spans="1:9" ht="17.100000000000001" customHeight="1" thickBot="1">
      <c r="A18" s="286" t="s">
        <v>397</v>
      </c>
      <c r="B18" s="456">
        <f>-B10-B11-B12-B13-B14-B15+B16-B17</f>
        <v>-175.82599999999999</v>
      </c>
      <c r="C18" s="287">
        <f>-I63</f>
        <v>0</v>
      </c>
      <c r="D18" s="288" t="s">
        <v>10</v>
      </c>
      <c r="E18" s="287">
        <f>-I63</f>
        <v>0</v>
      </c>
      <c r="F18" s="288" t="s">
        <v>10</v>
      </c>
      <c r="G18" s="287">
        <f>-I63</f>
        <v>0</v>
      </c>
      <c r="H18" s="288" t="s">
        <v>10</v>
      </c>
      <c r="I18" s="289"/>
    </row>
    <row r="19" spans="1:9" ht="17.100000000000001" customHeight="1">
      <c r="A19" s="290" t="s">
        <v>60</v>
      </c>
      <c r="B19" s="291">
        <f>-PGL_Supplies!J7/1000</f>
        <v>0</v>
      </c>
      <c r="C19" s="292">
        <f>-NSG_Supplies!U7/1000</f>
        <v>0</v>
      </c>
      <c r="D19" s="252"/>
      <c r="E19" s="273"/>
      <c r="F19" s="252"/>
      <c r="G19" s="273"/>
      <c r="H19" s="274"/>
      <c r="I19" s="265"/>
    </row>
    <row r="20" spans="1:9" ht="17.100000000000001" customHeight="1">
      <c r="A20" s="290" t="s">
        <v>185</v>
      </c>
      <c r="B20" s="280">
        <f>B8+B18+B19</f>
        <v>34.174000000000007</v>
      </c>
      <c r="C20" s="293">
        <f>C8+C18+C19</f>
        <v>34.5</v>
      </c>
      <c r="D20" s="264"/>
      <c r="E20" s="266"/>
      <c r="F20" s="264"/>
      <c r="G20" s="266"/>
      <c r="H20" s="267"/>
      <c r="I20" s="258"/>
    </row>
    <row r="21" spans="1:9" ht="17.100000000000001" customHeight="1">
      <c r="A21" s="290" t="s">
        <v>186</v>
      </c>
      <c r="B21" s="280">
        <v>0</v>
      </c>
      <c r="C21" s="266"/>
      <c r="D21" s="264"/>
      <c r="E21" s="266"/>
      <c r="F21" s="264"/>
      <c r="G21" s="266"/>
      <c r="H21" s="267"/>
      <c r="I21" s="294"/>
    </row>
    <row r="22" spans="1:9" ht="17.100000000000001" customHeight="1">
      <c r="A22" s="290" t="s">
        <v>187</v>
      </c>
      <c r="B22" s="280">
        <f>+B44</f>
        <v>0.91500000000000004</v>
      </c>
      <c r="C22" s="266"/>
      <c r="D22" s="264"/>
      <c r="E22" s="266"/>
      <c r="F22" s="295" t="s">
        <v>10</v>
      </c>
      <c r="G22" s="304"/>
      <c r="H22" s="296" t="s">
        <v>10</v>
      </c>
      <c r="I22" s="258"/>
    </row>
    <row r="23" spans="1:9" ht="17.100000000000001" customHeight="1">
      <c r="A23" s="297" t="s">
        <v>188</v>
      </c>
      <c r="B23" s="298">
        <f>B20+B21+B22</f>
        <v>35.089000000000006</v>
      </c>
      <c r="C23" s="299">
        <f>C20</f>
        <v>34.5</v>
      </c>
      <c r="D23" s="264"/>
      <c r="E23" s="266"/>
      <c r="F23" s="300"/>
      <c r="G23" s="266"/>
      <c r="H23" s="301" t="s">
        <v>10</v>
      </c>
      <c r="I23" s="302" t="s">
        <v>10</v>
      </c>
    </row>
    <row r="24" spans="1:9" ht="17.100000000000001" customHeight="1" thickBot="1">
      <c r="A24" s="303" t="s">
        <v>189</v>
      </c>
      <c r="B24" s="304">
        <f>-NSG_Requirements!$L$7/1000</f>
        <v>0</v>
      </c>
      <c r="C24" s="304">
        <f>NSG_Requirements!$L$7/1000</f>
        <v>0</v>
      </c>
      <c r="D24" s="305">
        <f>B24</f>
        <v>0</v>
      </c>
      <c r="E24" s="304">
        <f>C24</f>
        <v>0</v>
      </c>
      <c r="F24" s="305">
        <f>B24</f>
        <v>0</v>
      </c>
      <c r="G24" s="304">
        <f>C24</f>
        <v>0</v>
      </c>
      <c r="H24" s="450">
        <f>B24</f>
        <v>0</v>
      </c>
      <c r="I24" s="306">
        <f>C24</f>
        <v>0</v>
      </c>
    </row>
    <row r="25" spans="1:9" ht="17.100000000000001" customHeight="1" thickTop="1" thickBot="1">
      <c r="A25" s="275"/>
      <c r="B25" s="277"/>
      <c r="C25" s="486" t="s">
        <v>10</v>
      </c>
      <c r="D25" s="277"/>
      <c r="E25" s="277"/>
      <c r="F25" s="277"/>
      <c r="G25" s="277"/>
      <c r="H25" s="277"/>
      <c r="I25" s="278"/>
    </row>
    <row r="26" spans="1:9" ht="17.25" customHeight="1" thickTop="1">
      <c r="A26" s="307" t="s">
        <v>190</v>
      </c>
      <c r="B26" s="308">
        <f>PGL_Requirements!L7/1000</f>
        <v>0</v>
      </c>
      <c r="C26" s="308">
        <f>NSG_Requirements!C7/1000</f>
        <v>0</v>
      </c>
      <c r="D26" s="308">
        <f>B26</f>
        <v>0</v>
      </c>
      <c r="E26" s="308">
        <f>+C26</f>
        <v>0</v>
      </c>
      <c r="F26" s="308">
        <f>B26</f>
        <v>0</v>
      </c>
      <c r="G26" s="308">
        <f>+C26</f>
        <v>0</v>
      </c>
      <c r="H26" s="309">
        <f>B26</f>
        <v>0</v>
      </c>
      <c r="I26" s="310">
        <f>+C26</f>
        <v>0</v>
      </c>
    </row>
    <row r="27" spans="1:9" ht="17.25" customHeight="1">
      <c r="A27" s="307" t="s">
        <v>191</v>
      </c>
      <c r="B27" s="308">
        <f>PGL_Requirements!R7/1000</f>
        <v>0.72</v>
      </c>
      <c r="C27" s="308">
        <f>NSG_Requirements!P7/1000</f>
        <v>0</v>
      </c>
      <c r="D27" s="308">
        <f>PGL_Requirements!R7/1000</f>
        <v>0.72</v>
      </c>
      <c r="E27" s="308">
        <f>NSG_Requirements!P7/1000</f>
        <v>0</v>
      </c>
      <c r="F27" s="308">
        <f>PGL_Requirements!R7/1000</f>
        <v>0.72</v>
      </c>
      <c r="G27" s="308">
        <f>NSG_Requirements!P7/1000</f>
        <v>0</v>
      </c>
      <c r="H27" s="309">
        <f>+B27</f>
        <v>0.72</v>
      </c>
      <c r="I27" s="310">
        <f>+C27</f>
        <v>0</v>
      </c>
    </row>
    <row r="28" spans="1:9" ht="17.100000000000001" customHeight="1">
      <c r="A28" s="320" t="s">
        <v>192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f>C28</f>
        <v>0</v>
      </c>
      <c r="H28" s="318">
        <f>B28</f>
        <v>0</v>
      </c>
      <c r="I28" s="319">
        <f>C28</f>
        <v>0</v>
      </c>
    </row>
    <row r="29" spans="1:9" ht="17.100000000000001" customHeight="1">
      <c r="A29" s="320" t="s">
        <v>193</v>
      </c>
      <c r="B29" s="417">
        <f>-PGL_Supplies!N7/1000</f>
        <v>0</v>
      </c>
      <c r="C29" s="417">
        <f>-NSG_Supplies!I7/1000</f>
        <v>0</v>
      </c>
      <c r="D29" s="313">
        <f>-PGL_Supplies!N7/1000</f>
        <v>0</v>
      </c>
      <c r="E29" s="313">
        <f>-NSG_Supplies!I7/1000</f>
        <v>0</v>
      </c>
      <c r="F29" s="313">
        <f>-PGL_Supplies!N7/1000</f>
        <v>0</v>
      </c>
      <c r="G29" s="313">
        <f>-NSG_Supplies!I7/1000</f>
        <v>0</v>
      </c>
      <c r="H29" s="318">
        <f>-PGL_Supplies!N7/1000</f>
        <v>0</v>
      </c>
      <c r="I29" s="319">
        <f>-NSG_Supplies!I7/1000</f>
        <v>0</v>
      </c>
    </row>
    <row r="30" spans="1:9" ht="17.100000000000001" customHeight="1">
      <c r="A30" s="317" t="s">
        <v>403</v>
      </c>
      <c r="B30" s="313">
        <f>-PGL_Supplies!O7/1000</f>
        <v>0</v>
      </c>
      <c r="C30" s="313">
        <f>-NSG_Supplies!J7/1000</f>
        <v>0</v>
      </c>
      <c r="D30" s="313">
        <f>-PGL_Supplies!O7/1000</f>
        <v>0</v>
      </c>
      <c r="E30" s="313">
        <f>-NSG_Supplies!J7/1000</f>
        <v>0</v>
      </c>
      <c r="F30" s="313">
        <f>-PGL_Supplies!O7/1000</f>
        <v>0</v>
      </c>
      <c r="G30" s="313">
        <f>-NSG_Supplies!J7/1000</f>
        <v>0</v>
      </c>
      <c r="H30" s="318">
        <f>-PGL_Supplies!O7/1000</f>
        <v>0</v>
      </c>
      <c r="I30" s="319">
        <f>-NSG_Supplies!J7/1000</f>
        <v>0</v>
      </c>
    </row>
    <row r="31" spans="1:9" ht="17.100000000000001" customHeight="1">
      <c r="A31" s="312" t="s">
        <v>194</v>
      </c>
      <c r="B31" s="418">
        <f>(PGL_Requirements!$Y$7+PGL_Requirements!$Z$7+PGL_Requirements!$AA$7)/1000+(NSG_Requirements!$Y$7+NSG_Requirements!$Z$7+NSG_Requirements!$AA$7)/1000</f>
        <v>0</v>
      </c>
      <c r="C31" s="418">
        <f>-(PGL_Requirements!$Y$7+PGL_Requirements!$Z$7+PGL_Requirements!$AA$7)/1000+(NSG_Requirements!$Y$7+NSG_Requirements!$Z$7+NSG_Requirements!$AA$7)/1000</f>
        <v>0</v>
      </c>
      <c r="D31" s="308">
        <f>+B31</f>
        <v>0</v>
      </c>
      <c r="E31" s="313">
        <f>+C31</f>
        <v>0</v>
      </c>
      <c r="F31" s="308">
        <f>+B31</f>
        <v>0</v>
      </c>
      <c r="G31" s="313">
        <f>+E31</f>
        <v>0</v>
      </c>
      <c r="H31" s="309">
        <f>+B31</f>
        <v>0</v>
      </c>
      <c r="I31" s="310">
        <f>+C31</f>
        <v>0</v>
      </c>
    </row>
    <row r="32" spans="1:9" ht="17.100000000000001" customHeight="1">
      <c r="A32" s="320" t="s">
        <v>195</v>
      </c>
      <c r="B32" s="313">
        <f>-PGL_Supplies!AC7/1000</f>
        <v>-41.338000000000001</v>
      </c>
      <c r="C32" s="313">
        <f>-NSG_Supplies!R7/1000</f>
        <v>-28.888999999999999</v>
      </c>
      <c r="D32" s="313">
        <f>B32</f>
        <v>-41.338000000000001</v>
      </c>
      <c r="E32" s="313">
        <f>C32</f>
        <v>-28.888999999999999</v>
      </c>
      <c r="F32" s="313">
        <f>B32</f>
        <v>-41.338000000000001</v>
      </c>
      <c r="G32" s="313">
        <f>C32</f>
        <v>-28.888999999999999</v>
      </c>
      <c r="H32" s="318">
        <f>B32</f>
        <v>-41.338000000000001</v>
      </c>
      <c r="I32" s="319">
        <f>C32</f>
        <v>-28.888999999999999</v>
      </c>
    </row>
    <row r="33" spans="1:9" ht="17.100000000000001" customHeight="1">
      <c r="A33" s="317" t="s">
        <v>391</v>
      </c>
      <c r="B33" s="313">
        <f>-PGL_Supplies!X7/1000</f>
        <v>-0.2</v>
      </c>
      <c r="C33" s="313">
        <f>-NSG_Supplies!S7/1000</f>
        <v>-17.015000000000001</v>
      </c>
      <c r="D33" s="313">
        <f>B33</f>
        <v>-0.2</v>
      </c>
      <c r="E33" s="313">
        <f>C33</f>
        <v>-17.015000000000001</v>
      </c>
      <c r="F33" s="313">
        <f>B33</f>
        <v>-0.2</v>
      </c>
      <c r="G33" s="313">
        <f>C33</f>
        <v>-17.015000000000001</v>
      </c>
      <c r="H33" s="318">
        <f>B33</f>
        <v>-0.2</v>
      </c>
      <c r="I33" s="319">
        <f>C33</f>
        <v>-17.015000000000001</v>
      </c>
    </row>
    <row r="34" spans="1:9" ht="17.100000000000001" customHeight="1">
      <c r="A34" s="307" t="s">
        <v>196</v>
      </c>
      <c r="B34" s="308">
        <f>PGL_Requirements!S7/1000</f>
        <v>0</v>
      </c>
      <c r="C34" s="308" t="s">
        <v>10</v>
      </c>
      <c r="D34" s="308">
        <f>+B34</f>
        <v>0</v>
      </c>
      <c r="E34" s="311"/>
      <c r="F34" s="308">
        <f>+D34</f>
        <v>0</v>
      </c>
      <c r="G34" s="311"/>
      <c r="H34" s="309">
        <f>+B34</f>
        <v>0</v>
      </c>
      <c r="I34" s="310" t="str">
        <f>+C34</f>
        <v xml:space="preserve"> </v>
      </c>
    </row>
    <row r="35" spans="1:9" ht="17.100000000000001" customHeight="1">
      <c r="A35" s="314" t="s">
        <v>197</v>
      </c>
      <c r="B35" s="308">
        <f>PGL_Requirements!O7/1000</f>
        <v>0</v>
      </c>
      <c r="C35" s="308">
        <f>NSG_Requirements!H7/1000</f>
        <v>2.5</v>
      </c>
      <c r="D35" s="311"/>
      <c r="E35" s="311"/>
      <c r="F35" s="311"/>
      <c r="G35" s="311"/>
      <c r="H35" s="315"/>
      <c r="I35" s="316"/>
    </row>
    <row r="36" spans="1:9" ht="17.100000000000001" customHeight="1">
      <c r="A36" s="314" t="s">
        <v>198</v>
      </c>
      <c r="B36" s="313">
        <f>-PGL_Supplies!L7/1000</f>
        <v>0</v>
      </c>
      <c r="C36" s="313">
        <f>-NSG_Supplies!F7/1000</f>
        <v>0</v>
      </c>
      <c r="D36" s="311"/>
      <c r="E36" s="311"/>
      <c r="F36" s="311"/>
      <c r="G36" s="311"/>
      <c r="H36" s="315"/>
      <c r="I36" s="316"/>
    </row>
    <row r="37" spans="1:9" ht="17.100000000000001" customHeight="1">
      <c r="A37" s="317" t="s">
        <v>404</v>
      </c>
      <c r="B37" s="308">
        <f>PGL_Requirements!M7/1000</f>
        <v>0</v>
      </c>
      <c r="C37" s="321" t="s">
        <v>10</v>
      </c>
      <c r="D37" s="308">
        <f>PGL_Requirements!M7/1000</f>
        <v>0</v>
      </c>
      <c r="E37" s="311"/>
      <c r="F37" s="308">
        <f>PGL_Requirements!M7/1000</f>
        <v>0</v>
      </c>
      <c r="G37" s="308" t="s">
        <v>10</v>
      </c>
      <c r="H37" s="315"/>
      <c r="I37" s="331"/>
    </row>
    <row r="38" spans="1:9" ht="17.100000000000001" customHeight="1" thickBot="1">
      <c r="A38" s="323" t="s">
        <v>199</v>
      </c>
      <c r="B38" s="308" t="e">
        <f>PGL_Requirements!#REF!/1000</f>
        <v>#REF!</v>
      </c>
      <c r="C38" s="313">
        <f>NSG_Supplies!K7/1000</f>
        <v>0</v>
      </c>
      <c r="D38" s="311"/>
      <c r="E38" s="311"/>
      <c r="F38" s="311"/>
      <c r="G38" s="311"/>
      <c r="H38" s="322" t="e">
        <f>B38</f>
        <v>#REF!</v>
      </c>
      <c r="I38" s="331"/>
    </row>
    <row r="39" spans="1:9" ht="17.100000000000001" customHeight="1" thickBot="1">
      <c r="A39" s="324" t="s">
        <v>10</v>
      </c>
      <c r="B39" s="485" t="s">
        <v>411</v>
      </c>
      <c r="C39" s="483"/>
      <c r="D39" s="484"/>
      <c r="E39" s="326"/>
      <c r="F39" s="327" t="s">
        <v>200</v>
      </c>
      <c r="G39" s="326"/>
      <c r="H39" s="328"/>
      <c r="I39" s="329"/>
    </row>
    <row r="40" spans="1:9" ht="17.100000000000001" customHeight="1">
      <c r="A40" s="330" t="s">
        <v>201</v>
      </c>
      <c r="B40" s="313">
        <f>PGL_Requirements!P7/1000</f>
        <v>61</v>
      </c>
      <c r="C40" s="313" t="s">
        <v>10</v>
      </c>
      <c r="D40" s="394"/>
      <c r="E40" s="331"/>
      <c r="F40" s="332" t="s">
        <v>202</v>
      </c>
      <c r="G40" s="311"/>
      <c r="H40" s="333"/>
      <c r="I40" s="334"/>
    </row>
    <row r="41" spans="1:9" ht="17.100000000000001" customHeight="1">
      <c r="A41" s="330" t="s">
        <v>203</v>
      </c>
      <c r="B41" s="322">
        <f>PGL_Supplies!M7/1000</f>
        <v>0</v>
      </c>
      <c r="C41" s="313" t="s">
        <v>10</v>
      </c>
      <c r="D41" s="311"/>
      <c r="E41" s="331"/>
      <c r="F41" s="335" t="s">
        <v>204</v>
      </c>
      <c r="G41" s="311"/>
      <c r="H41" s="315"/>
      <c r="I41" s="334"/>
    </row>
    <row r="42" spans="1:9" ht="17.100000000000001" customHeight="1">
      <c r="A42" s="330" t="s">
        <v>205</v>
      </c>
      <c r="B42" s="313">
        <f>PGL_Requirements!B7/1000</f>
        <v>0</v>
      </c>
      <c r="C42" s="313" t="s">
        <v>10</v>
      </c>
      <c r="D42" s="311"/>
      <c r="E42" s="331"/>
      <c r="F42" s="335" t="s">
        <v>206</v>
      </c>
      <c r="G42" s="311"/>
      <c r="H42" s="315"/>
      <c r="I42" s="334"/>
    </row>
    <row r="43" spans="1:9" ht="17.100000000000001" customHeight="1">
      <c r="A43" s="330" t="s">
        <v>207</v>
      </c>
      <c r="B43" s="313">
        <f>PGL_Supplies!H7/1000</f>
        <v>1</v>
      </c>
      <c r="C43" s="311"/>
      <c r="D43" s="311"/>
      <c r="E43" s="331"/>
      <c r="F43" s="336" t="s">
        <v>208</v>
      </c>
      <c r="G43" s="311"/>
      <c r="H43" s="315"/>
      <c r="I43" s="334"/>
    </row>
    <row r="44" spans="1:9" ht="17.100000000000001" customHeight="1">
      <c r="A44" s="330" t="s">
        <v>187</v>
      </c>
      <c r="B44" s="337">
        <f>+B48+B47+B45</f>
        <v>0.91500000000000004</v>
      </c>
      <c r="C44" s="338"/>
      <c r="D44" s="311"/>
      <c r="E44" s="331"/>
      <c r="F44" s="335" t="s">
        <v>209</v>
      </c>
      <c r="G44" s="311"/>
      <c r="H44" s="315"/>
      <c r="I44" s="334"/>
    </row>
    <row r="45" spans="1:9" ht="17.100000000000001" customHeight="1">
      <c r="A45" s="330" t="s">
        <v>210</v>
      </c>
      <c r="B45" s="313">
        <f>PGL_Requirements!Q7/1000</f>
        <v>0.91500000000000004</v>
      </c>
      <c r="C45" s="311"/>
      <c r="D45" s="311"/>
      <c r="E45" s="331"/>
      <c r="F45" s="340" t="s">
        <v>211</v>
      </c>
      <c r="G45" s="311"/>
      <c r="H45" s="315"/>
      <c r="I45" s="334"/>
    </row>
    <row r="46" spans="1:9" ht="17.100000000000001" customHeight="1">
      <c r="A46" s="320" t="s">
        <v>212</v>
      </c>
      <c r="B46" s="313">
        <f>+B47+B43+B41</f>
        <v>1</v>
      </c>
      <c r="C46" s="311"/>
      <c r="D46" s="311"/>
      <c r="E46" s="331"/>
      <c r="F46" s="335" t="s">
        <v>213</v>
      </c>
      <c r="G46" s="311"/>
      <c r="H46" s="315"/>
      <c r="I46" s="334"/>
    </row>
    <row r="47" spans="1:9" ht="17.100000000000001" customHeight="1">
      <c r="A47" s="330" t="s">
        <v>214</v>
      </c>
      <c r="B47" s="339">
        <v>0</v>
      </c>
      <c r="C47" s="311"/>
      <c r="D47" s="311"/>
      <c r="E47" s="331"/>
      <c r="F47" s="335" t="s">
        <v>215</v>
      </c>
      <c r="G47" s="311"/>
      <c r="H47" s="315"/>
      <c r="I47" s="334"/>
    </row>
    <row r="48" spans="1:9" ht="17.100000000000001" customHeight="1" thickBot="1">
      <c r="A48" s="423" t="s">
        <v>216</v>
      </c>
      <c r="B48" s="341">
        <v>0</v>
      </c>
      <c r="C48" s="342"/>
      <c r="D48" s="342"/>
      <c r="E48" s="343"/>
      <c r="F48" s="336" t="s">
        <v>217</v>
      </c>
      <c r="G48" s="311"/>
      <c r="H48" s="315"/>
      <c r="I48" s="334"/>
    </row>
    <row r="49" spans="1:9" ht="17.100000000000001" customHeight="1" thickTop="1" thickBot="1">
      <c r="A49" s="344" t="s">
        <v>10</v>
      </c>
      <c r="B49" s="325" t="s">
        <v>368</v>
      </c>
      <c r="C49" s="345"/>
      <c r="D49" s="345"/>
      <c r="E49" s="345" t="s">
        <v>10</v>
      </c>
      <c r="F49" s="346" t="s">
        <v>218</v>
      </c>
      <c r="G49" s="347"/>
      <c r="H49" s="348"/>
      <c r="I49" s="334"/>
    </row>
    <row r="50" spans="1:9" ht="17.100000000000001" customHeight="1">
      <c r="A50" s="330" t="s">
        <v>408</v>
      </c>
      <c r="B50" s="322">
        <f>PGL_Supplies!V7/1000+PGL_Supplies!D7/1000</f>
        <v>124.989</v>
      </c>
      <c r="C50" s="311"/>
      <c r="D50" s="311"/>
      <c r="E50" s="311"/>
      <c r="F50" s="317" t="s">
        <v>400</v>
      </c>
      <c r="G50" s="349"/>
      <c r="H50" s="350"/>
      <c r="I50" s="334"/>
    </row>
    <row r="51" spans="1:9" ht="17.100000000000001" customHeight="1">
      <c r="A51" s="330" t="s">
        <v>219</v>
      </c>
      <c r="B51" s="322">
        <f>PGL_Supplies!AA7/1000</f>
        <v>7</v>
      </c>
      <c r="C51" s="338"/>
      <c r="D51" s="311"/>
      <c r="E51" s="311"/>
      <c r="F51" s="351" t="s">
        <v>220</v>
      </c>
      <c r="G51" s="349"/>
      <c r="H51" s="315"/>
      <c r="I51" s="334"/>
    </row>
    <row r="52" spans="1:9" ht="17.100000000000001" customHeight="1" thickBot="1">
      <c r="A52" s="330" t="s">
        <v>369</v>
      </c>
      <c r="B52" s="322">
        <f>NSG_Supplies!O7/1000+PGL_Supplies!Q7/1000</f>
        <v>0</v>
      </c>
      <c r="C52" s="311"/>
      <c r="D52" s="311"/>
      <c r="E52" s="311"/>
      <c r="F52" s="352" t="s">
        <v>221</v>
      </c>
      <c r="G52" s="353"/>
      <c r="H52" s="354"/>
      <c r="I52" s="334"/>
    </row>
    <row r="53" spans="1:9" ht="17.100000000000001" customHeight="1">
      <c r="A53" s="368" t="s">
        <v>231</v>
      </c>
      <c r="B53" s="322">
        <f>PGL_Requirements!J7/1000+NSG_Requirements!E7/1000</f>
        <v>0</v>
      </c>
      <c r="C53" s="311"/>
      <c r="D53" s="311"/>
      <c r="E53" s="311"/>
      <c r="F53" s="346" t="s">
        <v>222</v>
      </c>
      <c r="G53" s="355"/>
      <c r="H53" s="338"/>
      <c r="I53" s="334"/>
    </row>
    <row r="54" spans="1:9" ht="17.100000000000001" customHeight="1" thickBot="1">
      <c r="A54" s="320" t="s">
        <v>223</v>
      </c>
      <c r="B54" s="374">
        <f>SUM(B50+B51+B52-B53)</f>
        <v>131.989</v>
      </c>
      <c r="C54" s="322"/>
      <c r="D54" s="311"/>
      <c r="E54" s="311"/>
      <c r="F54" s="356" t="s">
        <v>224</v>
      </c>
      <c r="G54" s="357"/>
      <c r="H54" s="357"/>
      <c r="I54" s="358"/>
    </row>
    <row r="55" spans="1:9" ht="17.100000000000001" customHeight="1" thickBot="1">
      <c r="A55" s="344" t="s">
        <v>10</v>
      </c>
      <c r="B55" s="327" t="s">
        <v>67</v>
      </c>
      <c r="C55" s="345"/>
      <c r="D55" s="345"/>
      <c r="E55" s="345"/>
      <c r="F55" s="359" t="s">
        <v>225</v>
      </c>
      <c r="G55" s="311"/>
      <c r="H55" s="360"/>
      <c r="I55" s="319">
        <f>NSG_Supplies!P7/1000</f>
        <v>0</v>
      </c>
    </row>
    <row r="56" spans="1:9" ht="17.100000000000001" customHeight="1">
      <c r="A56" s="423" t="s">
        <v>391</v>
      </c>
      <c r="B56" s="322">
        <f>PGL_Supplies!U7/1000</f>
        <v>0</v>
      </c>
      <c r="C56" s="311"/>
      <c r="D56" s="311"/>
      <c r="E56" s="311"/>
      <c r="F56" s="359" t="s">
        <v>226</v>
      </c>
      <c r="G56" s="311"/>
      <c r="H56" s="361">
        <f>NSG_Requirements!B7/1000</f>
        <v>0</v>
      </c>
      <c r="I56" s="319">
        <f>NSG_Supplies!B7/1000</f>
        <v>0</v>
      </c>
    </row>
    <row r="57" spans="1:9" ht="17.100000000000001" customHeight="1">
      <c r="A57" s="330" t="s">
        <v>493</v>
      </c>
      <c r="B57" s="322">
        <f>PGL_Supplies!Z7/1000+PGL_Supplies!C7/1000-PGL_Requirements!C7/1000</f>
        <v>0</v>
      </c>
      <c r="C57" s="311"/>
      <c r="D57" s="311"/>
      <c r="E57" s="311"/>
      <c r="F57" s="359" t="s">
        <v>227</v>
      </c>
      <c r="G57" s="311"/>
      <c r="H57" s="361">
        <f>NSG_Requirements!S7/1000</f>
        <v>0</v>
      </c>
      <c r="I57" s="362"/>
    </row>
    <row r="58" spans="1:9" ht="17.100000000000001" customHeight="1">
      <c r="A58" s="330" t="s">
        <v>228</v>
      </c>
      <c r="B58" s="322">
        <f>PGL_Requirements!U7/1000</f>
        <v>0</v>
      </c>
      <c r="C58" s="311"/>
      <c r="D58" s="311"/>
      <c r="E58" s="311"/>
      <c r="F58" s="359" t="s">
        <v>229</v>
      </c>
      <c r="G58" s="311"/>
      <c r="H58" s="363"/>
      <c r="I58" s="364">
        <f>PGL_Requirements!V7/1000</f>
        <v>0</v>
      </c>
    </row>
    <row r="59" spans="1:9" ht="17.100000000000001" customHeight="1">
      <c r="A59" s="330" t="s">
        <v>230</v>
      </c>
      <c r="B59" s="322">
        <f>PGL_Supplies!R7/1000</f>
        <v>0</v>
      </c>
      <c r="C59" s="311"/>
      <c r="D59" s="311"/>
      <c r="E59" s="311"/>
      <c r="F59" s="365" t="s">
        <v>231</v>
      </c>
      <c r="G59" s="311"/>
      <c r="H59" s="366">
        <f>NSG_Requirements!D7/1000</f>
        <v>0</v>
      </c>
      <c r="I59" s="367"/>
    </row>
    <row r="60" spans="1:9" ht="17.100000000000001" customHeight="1">
      <c r="A60" s="368" t="s">
        <v>231</v>
      </c>
      <c r="B60" s="322">
        <f>PGL_Requirements!I7/1000</f>
        <v>0</v>
      </c>
      <c r="C60" s="311"/>
      <c r="D60" s="311"/>
      <c r="E60" s="311"/>
      <c r="F60" s="369" t="s">
        <v>232</v>
      </c>
      <c r="G60" s="349"/>
      <c r="H60" s="366">
        <f>NSG_Requirements!O7/1000</f>
        <v>0</v>
      </c>
      <c r="I60" s="319">
        <f>+NSG_Supplies!L7/1000</f>
        <v>0</v>
      </c>
    </row>
    <row r="61" spans="1:9" ht="17.100000000000001" customHeight="1" thickBot="1">
      <c r="A61" s="423" t="s">
        <v>413</v>
      </c>
      <c r="B61" s="370">
        <f>(NSG_Requirements!$S$7+NSG_Requirements!$T$7+NSG_Requirements!$U$7+NSG_Requirements!$N$7)/1000</f>
        <v>0</v>
      </c>
      <c r="C61" s="311"/>
      <c r="D61" s="311"/>
      <c r="E61" s="311"/>
      <c r="F61" s="371" t="s">
        <v>233</v>
      </c>
      <c r="G61" s="342"/>
      <c r="H61" s="372"/>
      <c r="I61" s="373">
        <f>NSG_Supplies!M7/1000</f>
        <v>0</v>
      </c>
    </row>
    <row r="62" spans="1:9" ht="17.100000000000001" customHeight="1" thickTop="1">
      <c r="A62" s="320" t="s">
        <v>223</v>
      </c>
      <c r="B62" s="374">
        <f>B56+B57-B58+B59-B60+B61</f>
        <v>0</v>
      </c>
      <c r="C62" s="375"/>
      <c r="D62" s="375"/>
      <c r="E62" s="375"/>
      <c r="F62" s="376" t="s">
        <v>234</v>
      </c>
      <c r="G62" s="311"/>
      <c r="H62" s="363"/>
      <c r="I62" s="377">
        <v>0</v>
      </c>
    </row>
    <row r="63" spans="1:9" ht="17.100000000000001" customHeight="1" thickBot="1">
      <c r="A63" s="344" t="s">
        <v>10</v>
      </c>
      <c r="B63" s="325"/>
      <c r="C63" s="325" t="s">
        <v>410</v>
      </c>
      <c r="D63" s="345"/>
      <c r="E63" s="481" t="s">
        <v>10</v>
      </c>
      <c r="F63" s="346" t="s">
        <v>235</v>
      </c>
      <c r="G63" s="311"/>
      <c r="H63" s="363"/>
      <c r="I63" s="310">
        <f>I58+I60+I56-H56</f>
        <v>0</v>
      </c>
    </row>
    <row r="64" spans="1:9" ht="17.100000000000001" customHeight="1" thickBot="1">
      <c r="A64" s="423" t="s">
        <v>391</v>
      </c>
      <c r="B64" s="322">
        <f>PGL_Supplies!Y7/1000</f>
        <v>92.887</v>
      </c>
      <c r="C64" s="311"/>
      <c r="D64" s="311"/>
      <c r="E64" s="378"/>
      <c r="F64" s="356" t="s">
        <v>236</v>
      </c>
      <c r="G64" s="357"/>
      <c r="H64" s="357"/>
      <c r="I64" s="358"/>
    </row>
    <row r="65" spans="1:10" ht="17.100000000000001" customHeight="1">
      <c r="A65" s="330" t="s">
        <v>492</v>
      </c>
      <c r="B65" s="322">
        <f>PGL_Supplies!AD7/1000+PGL_Supplies!G7/1000-PGL_Requirements!F7/1000</f>
        <v>0</v>
      </c>
      <c r="C65" s="379" t="s">
        <v>10</v>
      </c>
      <c r="D65" s="311"/>
      <c r="E65" s="380"/>
      <c r="F65" s="381" t="s">
        <v>237</v>
      </c>
      <c r="G65" s="382"/>
      <c r="H65" s="383"/>
      <c r="I65" s="384">
        <f>NSG_Supplies!O7/1000</f>
        <v>0</v>
      </c>
    </row>
    <row r="66" spans="1:10" ht="17.100000000000001" customHeight="1">
      <c r="A66" s="330" t="s">
        <v>238</v>
      </c>
      <c r="B66" s="322">
        <f>PGL_Supplies!AE7/1000</f>
        <v>0</v>
      </c>
      <c r="C66" s="379" t="s">
        <v>10</v>
      </c>
      <c r="D66" s="311"/>
      <c r="E66" s="380"/>
      <c r="F66" s="382" t="s">
        <v>239</v>
      </c>
      <c r="G66" s="382"/>
      <c r="H66" s="385">
        <f>NSG_Requirements!M7/1000</f>
        <v>0</v>
      </c>
      <c r="I66" s="362"/>
    </row>
    <row r="67" spans="1:10" ht="17.100000000000001" customHeight="1">
      <c r="A67" s="330" t="s">
        <v>240</v>
      </c>
      <c r="B67" s="386">
        <f>PGL_Requirements!T7/1000</f>
        <v>0</v>
      </c>
      <c r="C67" s="387" t="s">
        <v>10</v>
      </c>
      <c r="D67" s="311"/>
      <c r="E67" s="380"/>
      <c r="F67" s="382" t="s">
        <v>241</v>
      </c>
      <c r="G67" s="382"/>
      <c r="H67" s="388">
        <f>(NSG_Requirements!$Y$7+NSG_Requirements!$Z$7+NSG_Requirements!$AA$7)/1000</f>
        <v>0</v>
      </c>
      <c r="I67" s="389">
        <f>(PGL_Requirements!$AC$7+PGL_Requirements!$AD$7+PGL_Requirements!$AE$7)/1000</f>
        <v>0</v>
      </c>
    </row>
    <row r="68" spans="1:10" ht="17.100000000000001" customHeight="1" thickBot="1">
      <c r="A68" s="330" t="s">
        <v>242</v>
      </c>
      <c r="B68" s="322">
        <f>PGL_Supplies!P7/1000</f>
        <v>0</v>
      </c>
      <c r="C68" s="379" t="s">
        <v>10</v>
      </c>
      <c r="D68" s="311"/>
      <c r="E68" s="380"/>
      <c r="F68" s="390"/>
      <c r="G68" s="390"/>
      <c r="H68" s="391"/>
      <c r="I68" s="392"/>
    </row>
    <row r="69" spans="1:10" ht="17.100000000000001" customHeight="1">
      <c r="A69" s="368" t="s">
        <v>231</v>
      </c>
      <c r="B69" s="386">
        <f>PGL_Requirements!N7/1000</f>
        <v>0</v>
      </c>
      <c r="C69" s="387" t="s">
        <v>10</v>
      </c>
      <c r="D69" s="311"/>
      <c r="E69" s="489"/>
      <c r="F69" s="393" t="s">
        <v>243</v>
      </c>
      <c r="G69" s="383" t="s">
        <v>10</v>
      </c>
      <c r="H69" s="394" t="s">
        <v>396</v>
      </c>
      <c r="I69" s="380"/>
    </row>
    <row r="70" spans="1:10" ht="17.100000000000001" customHeight="1">
      <c r="A70" s="330" t="s">
        <v>244</v>
      </c>
      <c r="B70" s="386">
        <f>PGL_Requirements!P7/1000</f>
        <v>61</v>
      </c>
      <c r="C70" s="387" t="s">
        <v>10</v>
      </c>
      <c r="D70" s="311"/>
      <c r="E70" s="380"/>
      <c r="F70" s="393" t="s">
        <v>245</v>
      </c>
      <c r="G70" s="383" t="s">
        <v>10</v>
      </c>
      <c r="H70" s="422" t="s">
        <v>246</v>
      </c>
      <c r="I70" s="421"/>
    </row>
    <row r="71" spans="1:10" ht="17.100000000000001" customHeight="1">
      <c r="A71" s="330" t="s">
        <v>247</v>
      </c>
      <c r="B71" s="386">
        <f>PGL_Requirements!F7/1000</f>
        <v>4</v>
      </c>
      <c r="C71" s="379" t="s">
        <v>10</v>
      </c>
      <c r="D71" s="311"/>
      <c r="E71" s="380"/>
      <c r="F71" s="382" t="s">
        <v>248</v>
      </c>
      <c r="G71" s="383" t="s">
        <v>10</v>
      </c>
      <c r="H71" s="396"/>
      <c r="I71" s="380" t="s">
        <v>10</v>
      </c>
    </row>
    <row r="72" spans="1:10" ht="17.100000000000001" customHeight="1" thickBot="1">
      <c r="A72" s="397" t="s">
        <v>223</v>
      </c>
      <c r="B72" s="398">
        <f>+B65+B64+B66+B68-B67-B69-B70</f>
        <v>31.887</v>
      </c>
      <c r="C72" s="398" t="s">
        <v>10</v>
      </c>
      <c r="D72" s="399"/>
      <c r="E72" s="400"/>
      <c r="F72" s="395"/>
      <c r="G72" s="490"/>
      <c r="H72" s="401"/>
      <c r="I72" s="402"/>
    </row>
    <row r="73" spans="1:10" ht="17.100000000000001" customHeight="1" thickBot="1">
      <c r="A73" s="356" t="s">
        <v>249</v>
      </c>
      <c r="B73" s="357"/>
      <c r="C73" s="358"/>
      <c r="D73" s="338"/>
      <c r="E73" s="338"/>
      <c r="F73" s="420" t="s">
        <v>250</v>
      </c>
      <c r="G73" s="403" t="str">
        <f>CHOOSE(WEEKDAY(H73),"SUN","MON","TUE","WED","THU","FRI","SAT")</f>
        <v>WED</v>
      </c>
      <c r="H73" s="404">
        <f>Weather_Input!A5</f>
        <v>37055</v>
      </c>
      <c r="I73" s="405"/>
    </row>
    <row r="74" spans="1:10" ht="17.100000000000001" customHeight="1">
      <c r="A74" s="381" t="s">
        <v>251</v>
      </c>
      <c r="B74" s="311" t="s">
        <v>10</v>
      </c>
      <c r="C74" s="331"/>
      <c r="D74" s="406"/>
      <c r="E74" s="338"/>
      <c r="F74" s="338"/>
      <c r="G74" s="338"/>
      <c r="H74" s="338"/>
      <c r="I74" s="405"/>
    </row>
    <row r="75" spans="1:10" ht="17.100000000000001" customHeight="1">
      <c r="A75" s="359" t="s">
        <v>252</v>
      </c>
      <c r="B75" s="311"/>
      <c r="C75" s="331"/>
      <c r="D75" s="407"/>
      <c r="E75" s="382"/>
      <c r="F75" s="382"/>
      <c r="G75" s="382"/>
      <c r="H75" s="338"/>
      <c r="I75" s="405"/>
    </row>
    <row r="76" spans="1:10" ht="17.100000000000001" customHeight="1" thickBot="1">
      <c r="A76" s="408" t="s">
        <v>253</v>
      </c>
      <c r="B76" s="342"/>
      <c r="C76" s="343"/>
      <c r="D76" s="409" t="s">
        <v>254</v>
      </c>
      <c r="E76" s="410"/>
      <c r="F76" s="411" t="s">
        <v>255</v>
      </c>
      <c r="G76" s="412"/>
      <c r="H76" s="413" t="s">
        <v>256</v>
      </c>
      <c r="I76" s="414" t="s">
        <v>256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10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5" t="s">
        <v>418</v>
      </c>
      <c r="B90" s="586"/>
      <c r="C90" s="586"/>
      <c r="D90" s="586"/>
      <c r="E90" s="587" t="s">
        <v>171</v>
      </c>
      <c r="F90" s="588">
        <f>Weather_Input!L5</f>
        <v>1</v>
      </c>
      <c r="G90" s="589" t="s">
        <v>10</v>
      </c>
      <c r="H90" s="590"/>
      <c r="I90" s="591"/>
    </row>
    <row r="91" spans="1:9" ht="15.75">
      <c r="A91" s="256"/>
      <c r="B91" s="607" t="s">
        <v>415</v>
      </c>
      <c r="C91" s="267" t="s">
        <v>10</v>
      </c>
      <c r="D91" s="599" t="s">
        <v>486</v>
      </c>
      <c r="E91" s="606"/>
      <c r="F91" s="604" t="s">
        <v>487</v>
      </c>
      <c r="G91" s="605"/>
      <c r="H91" s="603" t="s">
        <v>172</v>
      </c>
      <c r="I91" s="258"/>
    </row>
    <row r="92" spans="1:9" ht="15">
      <c r="A92" s="491" t="s">
        <v>416</v>
      </c>
      <c r="B92" s="598" t="s">
        <v>407</v>
      </c>
      <c r="C92" s="259" t="s">
        <v>174</v>
      </c>
      <c r="D92" s="598" t="s">
        <v>22</v>
      </c>
      <c r="E92" s="259" t="s">
        <v>174</v>
      </c>
      <c r="F92" s="601" t="s">
        <v>22</v>
      </c>
      <c r="G92" s="259" t="s">
        <v>174</v>
      </c>
      <c r="H92" s="598" t="s">
        <v>22</v>
      </c>
      <c r="I92" s="492" t="s">
        <v>174</v>
      </c>
    </row>
    <row r="93" spans="1:9" ht="15.75">
      <c r="A93" s="256" t="s">
        <v>10</v>
      </c>
      <c r="B93" s="266"/>
      <c r="C93" s="264"/>
      <c r="D93" s="600"/>
      <c r="E93" s="600"/>
      <c r="F93" s="602"/>
      <c r="G93" s="267"/>
      <c r="H93" s="267"/>
      <c r="I93" s="265"/>
    </row>
    <row r="94" spans="1:9" ht="16.5" thickBot="1">
      <c r="A94" s="256" t="s">
        <v>417</v>
      </c>
      <c r="B94" s="499" t="s">
        <v>10</v>
      </c>
      <c r="C94" s="498" t="s">
        <v>10</v>
      </c>
      <c r="D94" s="493" t="s">
        <v>10</v>
      </c>
      <c r="E94" s="500"/>
      <c r="F94" s="501"/>
      <c r="G94" s="269"/>
      <c r="H94" s="501"/>
      <c r="I94" s="258"/>
    </row>
    <row r="95" spans="1:9" ht="16.5" thickBot="1">
      <c r="A95" s="494"/>
      <c r="B95" s="495" t="s">
        <v>10</v>
      </c>
      <c r="C95" s="495" t="s">
        <v>10</v>
      </c>
      <c r="D95" s="496"/>
      <c r="E95" s="496"/>
      <c r="F95" s="496"/>
      <c r="G95" s="496"/>
      <c r="H95" s="496"/>
      <c r="I95" s="497"/>
    </row>
    <row r="96" spans="1:9" ht="15">
      <c r="A96" s="491" t="s">
        <v>180</v>
      </c>
      <c r="B96" s="291" t="s">
        <v>10</v>
      </c>
      <c r="C96" s="621" t="e">
        <f>I150</f>
        <v>#REF!</v>
      </c>
      <c r="D96" s="617"/>
      <c r="E96" s="267"/>
      <c r="F96" s="617"/>
      <c r="G96" s="267"/>
      <c r="H96" s="617"/>
      <c r="I96" s="265" t="s">
        <v>10</v>
      </c>
    </row>
    <row r="97" spans="1:9" ht="15">
      <c r="A97" s="491" t="s">
        <v>67</v>
      </c>
      <c r="B97" s="280" t="s">
        <v>10</v>
      </c>
      <c r="C97" s="621">
        <f>B133</f>
        <v>0</v>
      </c>
      <c r="D97" s="600"/>
      <c r="E97" s="612">
        <f>+C97</f>
        <v>0</v>
      </c>
      <c r="F97" s="600"/>
      <c r="G97" s="612">
        <f>+C97</f>
        <v>0</v>
      </c>
      <c r="H97" s="600"/>
      <c r="I97" s="283">
        <f>+C97</f>
        <v>0</v>
      </c>
    </row>
    <row r="98" spans="1:9" ht="15">
      <c r="A98" s="491" t="s">
        <v>59</v>
      </c>
      <c r="B98" s="280" t="s">
        <v>10</v>
      </c>
      <c r="C98" s="621">
        <f>B149</f>
        <v>1</v>
      </c>
      <c r="D98" s="600"/>
      <c r="E98" s="267"/>
      <c r="F98" s="600"/>
      <c r="G98" s="267"/>
      <c r="H98" s="600"/>
      <c r="I98" s="265"/>
    </row>
    <row r="99" spans="1:9" ht="15">
      <c r="A99" s="491" t="s">
        <v>68</v>
      </c>
      <c r="B99" s="280" t="s">
        <v>10</v>
      </c>
      <c r="C99" s="621">
        <f>B141</f>
        <v>131.989</v>
      </c>
      <c r="D99" s="618"/>
      <c r="E99" s="267"/>
      <c r="F99" s="600"/>
      <c r="G99" s="267"/>
      <c r="H99" s="600"/>
      <c r="I99" s="265"/>
    </row>
    <row r="100" spans="1:9" ht="15">
      <c r="A100" s="491" t="s">
        <v>419</v>
      </c>
      <c r="B100" s="284" t="s">
        <v>10</v>
      </c>
      <c r="C100" s="621">
        <f>I157+I158</f>
        <v>0</v>
      </c>
      <c r="D100" s="600"/>
      <c r="E100" s="267"/>
      <c r="F100" s="600"/>
      <c r="G100" s="267"/>
      <c r="H100" s="600"/>
      <c r="I100" s="265"/>
    </row>
    <row r="101" spans="1:9" ht="15">
      <c r="A101" s="491" t="s">
        <v>420</v>
      </c>
      <c r="B101" s="280" t="s">
        <v>10</v>
      </c>
      <c r="C101" s="621" t="e">
        <f>I146</f>
        <v>#REF!</v>
      </c>
      <c r="D101" s="600" t="s">
        <v>10</v>
      </c>
      <c r="E101" s="267"/>
      <c r="F101" s="600"/>
      <c r="G101" s="267"/>
      <c r="H101" s="600"/>
      <c r="I101" s="265"/>
    </row>
    <row r="102" spans="1:9" ht="15">
      <c r="A102" s="491" t="s">
        <v>36</v>
      </c>
      <c r="B102" s="280" t="s">
        <v>170</v>
      </c>
      <c r="C102" s="621">
        <f>B162</f>
        <v>92.887</v>
      </c>
      <c r="D102" s="600"/>
      <c r="E102" s="267"/>
      <c r="F102" s="600"/>
      <c r="G102" s="267"/>
      <c r="H102" s="600"/>
      <c r="I102" s="265"/>
    </row>
    <row r="103" spans="1:9" ht="15">
      <c r="A103" s="491" t="s">
        <v>97</v>
      </c>
      <c r="B103" s="280" t="s">
        <v>10</v>
      </c>
      <c r="C103" s="621">
        <f>PGL_Requirements!G7/1000</f>
        <v>4.05</v>
      </c>
      <c r="D103" s="618"/>
      <c r="E103" s="267"/>
      <c r="F103" s="600"/>
      <c r="G103" s="267"/>
      <c r="H103" s="600"/>
      <c r="I103" s="265"/>
    </row>
    <row r="104" spans="1:9" ht="15.75" thickBot="1">
      <c r="A104" s="290" t="s">
        <v>108</v>
      </c>
      <c r="B104" s="613" t="s">
        <v>10</v>
      </c>
      <c r="C104" s="621">
        <f>PGL_Supplies!B7/1000</f>
        <v>0</v>
      </c>
      <c r="D104" s="599"/>
      <c r="E104" s="267"/>
      <c r="F104" s="600"/>
      <c r="G104" s="267"/>
      <c r="H104" s="600"/>
      <c r="I104" s="265"/>
    </row>
    <row r="105" spans="1:9" ht="16.5" thickBot="1">
      <c r="A105" s="614" t="s">
        <v>421</v>
      </c>
      <c r="B105" s="615" t="s">
        <v>10</v>
      </c>
      <c r="C105" s="509" t="s">
        <v>10</v>
      </c>
      <c r="D105" s="619" t="s">
        <v>10</v>
      </c>
      <c r="E105" s="616" t="s">
        <v>10</v>
      </c>
      <c r="F105" s="619" t="s">
        <v>10</v>
      </c>
      <c r="G105" s="616" t="s">
        <v>10</v>
      </c>
      <c r="H105" s="619" t="s">
        <v>10</v>
      </c>
      <c r="I105" s="620"/>
    </row>
    <row r="106" spans="1:9" ht="16.5" thickBot="1">
      <c r="A106" s="502" t="s">
        <v>37</v>
      </c>
      <c r="B106" s="503">
        <f>-PGL_Supplies!U7/1000</f>
        <v>0</v>
      </c>
      <c r="C106" s="504">
        <f>-NSG_Supplies!AF7/1000</f>
        <v>0</v>
      </c>
      <c r="D106" s="505"/>
      <c r="E106" s="506"/>
      <c r="F106" s="505"/>
      <c r="G106" s="506"/>
      <c r="H106" s="507"/>
      <c r="I106" s="508"/>
    </row>
    <row r="107" spans="1:9" ht="15">
      <c r="A107" s="491" t="s">
        <v>422</v>
      </c>
      <c r="B107" s="280" t="e">
        <f>B94+B105+B106</f>
        <v>#VALUE!</v>
      </c>
      <c r="C107" s="293" t="e">
        <f>C94+C105+C106</f>
        <v>#VALUE!</v>
      </c>
      <c r="D107" s="264"/>
      <c r="E107" s="266"/>
      <c r="F107" s="264"/>
      <c r="G107" s="266"/>
      <c r="H107" s="267"/>
      <c r="I107" s="258"/>
    </row>
    <row r="108" spans="1:9" ht="15">
      <c r="A108" s="491" t="s">
        <v>423</v>
      </c>
      <c r="B108" s="280">
        <v>0</v>
      </c>
      <c r="C108" s="266"/>
      <c r="D108" s="264"/>
      <c r="E108" s="266"/>
      <c r="F108" s="264"/>
      <c r="G108" s="266"/>
      <c r="H108" s="267"/>
      <c r="I108" s="294"/>
    </row>
    <row r="109" spans="1:9" ht="15">
      <c r="A109" s="491" t="s">
        <v>424</v>
      </c>
      <c r="B109" s="280">
        <f>+B129</f>
        <v>0.2</v>
      </c>
      <c r="C109" s="266"/>
      <c r="D109" s="264"/>
      <c r="E109" s="266"/>
      <c r="F109" s="295" t="s">
        <v>10</v>
      </c>
      <c r="G109" s="304"/>
      <c r="H109" s="296" t="s">
        <v>10</v>
      </c>
      <c r="I109" s="258"/>
    </row>
    <row r="110" spans="1:9" ht="15.75">
      <c r="A110" s="510" t="s">
        <v>425</v>
      </c>
      <c r="B110" s="298" t="e">
        <f>B107+B108+B109</f>
        <v>#VALUE!</v>
      </c>
      <c r="C110" s="299" t="e">
        <f>C107</f>
        <v>#VALUE!</v>
      </c>
      <c r="D110" s="264"/>
      <c r="E110" s="266"/>
      <c r="F110" s="300"/>
      <c r="G110" s="266"/>
      <c r="H110" s="301" t="s">
        <v>10</v>
      </c>
      <c r="I110" s="302" t="s">
        <v>10</v>
      </c>
    </row>
    <row r="111" spans="1:9" ht="16.5" thickBot="1">
      <c r="A111" s="511" t="s">
        <v>426</v>
      </c>
      <c r="B111" s="304">
        <f>-NSG_Requirements!$L$7/1000</f>
        <v>0</v>
      </c>
      <c r="C111" s="304">
        <f>NSG_Requirements!$L$7/1000</f>
        <v>0</v>
      </c>
      <c r="D111" s="305">
        <f>B111</f>
        <v>0</v>
      </c>
      <c r="E111" s="304">
        <f>C111</f>
        <v>0</v>
      </c>
      <c r="F111" s="305">
        <f>B111</f>
        <v>0</v>
      </c>
      <c r="G111" s="304">
        <f>C111</f>
        <v>0</v>
      </c>
      <c r="H111" s="450">
        <f>B111</f>
        <v>0</v>
      </c>
      <c r="I111" s="306">
        <f>C111</f>
        <v>0</v>
      </c>
    </row>
    <row r="112" spans="1:9" ht="15">
      <c r="A112" s="491" t="s">
        <v>427</v>
      </c>
      <c r="B112" s="304"/>
      <c r="C112" s="304"/>
      <c r="D112" s="305"/>
      <c r="E112" s="304"/>
      <c r="F112" s="305"/>
      <c r="G112" s="304"/>
      <c r="H112" s="512"/>
      <c r="I112" s="513"/>
    </row>
    <row r="113" spans="1:9" ht="15.75">
      <c r="A113" s="423" t="s">
        <v>428</v>
      </c>
      <c r="B113" s="308">
        <f>PGL_Requirements!V7/1000</f>
        <v>0</v>
      </c>
      <c r="C113" s="308">
        <f>NSG_Requirements!Q7/1000</f>
        <v>0</v>
      </c>
      <c r="D113" s="308">
        <f>B113</f>
        <v>0</v>
      </c>
      <c r="E113" s="308">
        <f>+C113</f>
        <v>0</v>
      </c>
      <c r="F113" s="308">
        <f>B113</f>
        <v>0</v>
      </c>
      <c r="G113" s="308">
        <f>+C113</f>
        <v>0</v>
      </c>
      <c r="H113" s="309">
        <f>B113</f>
        <v>0</v>
      </c>
      <c r="I113" s="310">
        <f>+C113</f>
        <v>0</v>
      </c>
    </row>
    <row r="114" spans="1:9" ht="15.75">
      <c r="A114" s="330" t="s">
        <v>429</v>
      </c>
      <c r="B114" s="308">
        <f>PGL_Requirements!AC7/1000</f>
        <v>0</v>
      </c>
      <c r="C114" s="308">
        <f>NSG_Requirements!AA7/1000</f>
        <v>0</v>
      </c>
      <c r="D114" s="308">
        <f>PGL_Requirements!AC7/1000</f>
        <v>0</v>
      </c>
      <c r="E114" s="308">
        <f>NSG_Requirements!AA7/1000</f>
        <v>0</v>
      </c>
      <c r="F114" s="308">
        <f>PGL_Requirements!AC7/1000</f>
        <v>0</v>
      </c>
      <c r="G114" s="308">
        <f>NSG_Requirements!AA7/1000</f>
        <v>0</v>
      </c>
      <c r="H114" s="309">
        <f>+B114</f>
        <v>0</v>
      </c>
      <c r="I114" s="310">
        <f>+C114</f>
        <v>0</v>
      </c>
    </row>
    <row r="115" spans="1:9" ht="15">
      <c r="A115" s="423" t="s">
        <v>430</v>
      </c>
      <c r="B115" s="313">
        <v>0</v>
      </c>
      <c r="C115" s="313">
        <v>0</v>
      </c>
      <c r="D115" s="313">
        <v>0</v>
      </c>
      <c r="E115" s="313">
        <v>0</v>
      </c>
      <c r="F115" s="313">
        <v>0</v>
      </c>
      <c r="G115" s="313">
        <f>C115</f>
        <v>0</v>
      </c>
      <c r="H115" s="318">
        <f>B115</f>
        <v>0</v>
      </c>
      <c r="I115" s="319">
        <f>C115</f>
        <v>0</v>
      </c>
    </row>
    <row r="116" spans="1:9" ht="15">
      <c r="A116" s="423" t="s">
        <v>431</v>
      </c>
      <c r="B116" s="417">
        <f>-PGL_Supplies!Z7/1000</f>
        <v>-0.2</v>
      </c>
      <c r="C116" s="417">
        <f>-NSG_Supplies!W7/1000</f>
        <v>0</v>
      </c>
      <c r="D116" s="313">
        <f>-PGL_Supplies!Z7/1000</f>
        <v>-0.2</v>
      </c>
      <c r="E116" s="313">
        <f>-NSG_Supplies!W7/1000</f>
        <v>0</v>
      </c>
      <c r="F116" s="313">
        <f>-PGL_Supplies!Z7/1000</f>
        <v>-0.2</v>
      </c>
      <c r="G116" s="313">
        <f>-NSG_Supplies!W7/1000</f>
        <v>0</v>
      </c>
      <c r="H116" s="318">
        <f>-PGL_Supplies!Z7/1000</f>
        <v>-0.2</v>
      </c>
      <c r="I116" s="319">
        <f>-NSG_Supplies!W7/1000</f>
        <v>0</v>
      </c>
    </row>
    <row r="117" spans="1:9" ht="15">
      <c r="A117" s="423" t="s">
        <v>432</v>
      </c>
      <c r="B117" s="313">
        <f>-PGL_Supplies!AA7/1000</f>
        <v>-7</v>
      </c>
      <c r="C117" s="313">
        <f>-NSG_Supplies!X7/1000</f>
        <v>0</v>
      </c>
      <c r="D117" s="313">
        <f>-PGL_Supplies!AA7/1000</f>
        <v>-7</v>
      </c>
      <c r="E117" s="313">
        <f>-NSG_Supplies!X7/1000</f>
        <v>0</v>
      </c>
      <c r="F117" s="313">
        <f>-PGL_Supplies!AA7/1000</f>
        <v>-7</v>
      </c>
      <c r="G117" s="313">
        <f>-NSG_Supplies!X7/1000</f>
        <v>0</v>
      </c>
      <c r="H117" s="318">
        <f>-PGL_Supplies!AA7/1000</f>
        <v>-7</v>
      </c>
      <c r="I117" s="319">
        <f>-NSG_Supplies!X7/1000</f>
        <v>0</v>
      </c>
    </row>
    <row r="118" spans="1:9" ht="15.75">
      <c r="A118" s="423" t="s">
        <v>434</v>
      </c>
      <c r="B118" s="418">
        <f>(PGL_Requirements!$Y$7+PGL_Requirements!$Z$7+PGL_Requirements!$AA$7)/1000+(NSG_Requirements!$V$7+NSG_Requirements!$W$7+NSG_Requirements!$X$7)/1000</f>
        <v>0</v>
      </c>
      <c r="C118" s="418">
        <f>-(PGL_Requirements!$Y$7+PGL_Requirements!$Z$7+PGL_Requirements!$AA$7)/1000+(NSG_Requirements!$V$7+NSG_Requirements!$W$7+NSG_Requirements!$X$7)/1000</f>
        <v>0</v>
      </c>
      <c r="D118" s="308">
        <f>+B118</f>
        <v>0</v>
      </c>
      <c r="E118" s="313">
        <f>+C118</f>
        <v>0</v>
      </c>
      <c r="F118" s="308">
        <f>+B118</f>
        <v>0</v>
      </c>
      <c r="G118" s="313">
        <f>+E118</f>
        <v>0</v>
      </c>
      <c r="H118" s="309">
        <f>+B118</f>
        <v>0</v>
      </c>
      <c r="I118" s="310">
        <f>+C118</f>
        <v>0</v>
      </c>
    </row>
    <row r="119" spans="1:9" ht="15">
      <c r="A119" s="423" t="s">
        <v>435</v>
      </c>
      <c r="B119" s="313">
        <f>-PGL_Supplies!AN7/1000</f>
        <v>0</v>
      </c>
      <c r="C119" s="313">
        <f>-NSG_Supplies!AD7/1000</f>
        <v>0</v>
      </c>
      <c r="D119" s="313">
        <f>B119</f>
        <v>0</v>
      </c>
      <c r="E119" s="313">
        <f>C119</f>
        <v>0</v>
      </c>
      <c r="F119" s="313">
        <f>B119</f>
        <v>0</v>
      </c>
      <c r="G119" s="313">
        <f>C119</f>
        <v>0</v>
      </c>
      <c r="H119" s="318">
        <f>B119</f>
        <v>0</v>
      </c>
      <c r="I119" s="319">
        <f>C119</f>
        <v>0</v>
      </c>
    </row>
    <row r="120" spans="1:9" ht="15">
      <c r="A120" s="423" t="s">
        <v>195</v>
      </c>
      <c r="B120" s="313">
        <f>-PGL_Supplies!AJ7/1000</f>
        <v>0</v>
      </c>
      <c r="C120" s="313">
        <f>-NSG_Supplies!AE7/1000</f>
        <v>0</v>
      </c>
      <c r="D120" s="313">
        <f>B120</f>
        <v>0</v>
      </c>
      <c r="E120" s="313">
        <f>C120</f>
        <v>0</v>
      </c>
      <c r="F120" s="313">
        <f>B120</f>
        <v>0</v>
      </c>
      <c r="G120" s="313">
        <f>C120</f>
        <v>0</v>
      </c>
      <c r="H120" s="318">
        <f>B120</f>
        <v>0</v>
      </c>
      <c r="I120" s="319">
        <f>C120</f>
        <v>0</v>
      </c>
    </row>
    <row r="121" spans="1:9" ht="15.75">
      <c r="A121" s="423" t="s">
        <v>433</v>
      </c>
      <c r="B121" s="308">
        <f>PGL_Requirements!AD7/1000</f>
        <v>0</v>
      </c>
      <c r="C121" s="308" t="s">
        <v>10</v>
      </c>
      <c r="D121" s="308">
        <f>+B121</f>
        <v>0</v>
      </c>
      <c r="E121" s="311"/>
      <c r="F121" s="308">
        <f>+D121</f>
        <v>0</v>
      </c>
      <c r="G121" s="311"/>
      <c r="H121" s="309">
        <f>+B121</f>
        <v>0</v>
      </c>
      <c r="I121" s="310" t="str">
        <f>+C121</f>
        <v xml:space="preserve"> </v>
      </c>
    </row>
    <row r="122" spans="1:9" ht="15.75">
      <c r="A122" s="423" t="s">
        <v>436</v>
      </c>
      <c r="B122" s="308">
        <f>PGL_Requirements!Y7/1000</f>
        <v>0</v>
      </c>
      <c r="C122" s="308">
        <f>NSG_Requirements!U7/1000</f>
        <v>0</v>
      </c>
      <c r="D122" s="311"/>
      <c r="E122" s="311"/>
      <c r="F122" s="311"/>
      <c r="G122" s="311"/>
      <c r="H122" s="315"/>
      <c r="I122" s="316"/>
    </row>
    <row r="123" spans="1:9" ht="15">
      <c r="A123" s="423" t="s">
        <v>437</v>
      </c>
      <c r="B123" s="313">
        <f>-PGL_Supplies!X7/1000</f>
        <v>-0.2</v>
      </c>
      <c r="C123" s="313">
        <f>-NSG_Supplies!S7/1000</f>
        <v>-17.015000000000001</v>
      </c>
      <c r="D123" s="311"/>
      <c r="E123" s="311"/>
      <c r="F123" s="311"/>
      <c r="G123" s="311"/>
      <c r="H123" s="315"/>
      <c r="I123" s="316"/>
    </row>
    <row r="124" spans="1:9" ht="16.5" thickBot="1">
      <c r="A124" s="324" t="s">
        <v>10</v>
      </c>
      <c r="B124" s="485" t="s">
        <v>10</v>
      </c>
      <c r="C124" s="514" t="s">
        <v>67</v>
      </c>
      <c r="D124" s="484"/>
      <c r="E124" s="326"/>
      <c r="F124" s="327" t="s">
        <v>200</v>
      </c>
      <c r="G124" s="326"/>
      <c r="H124" s="328"/>
      <c r="I124" s="329"/>
    </row>
    <row r="125" spans="1:9" ht="15">
      <c r="A125" s="423" t="s">
        <v>438</v>
      </c>
      <c r="B125" s="313">
        <f>PGL_Requirements!U7/1000</f>
        <v>0</v>
      </c>
      <c r="F125" s="540" t="s">
        <v>10</v>
      </c>
      <c r="G125" s="541"/>
      <c r="H125" s="608"/>
      <c r="I125" s="334"/>
    </row>
    <row r="126" spans="1:9" ht="15">
      <c r="A126" s="423" t="s">
        <v>395</v>
      </c>
      <c r="B126" s="322">
        <f>PGL_Supplies!R7/1000</f>
        <v>0</v>
      </c>
      <c r="C126" s="313" t="s">
        <v>10</v>
      </c>
      <c r="D126" s="311"/>
      <c r="E126" s="331"/>
      <c r="F126" s="423" t="s">
        <v>458</v>
      </c>
      <c r="G126" s="542"/>
      <c r="H126" s="547"/>
      <c r="I126" s="334"/>
    </row>
    <row r="127" spans="1:9" ht="15">
      <c r="A127" s="423" t="s">
        <v>488</v>
      </c>
      <c r="B127" s="313">
        <f>PGL_Requirements!O7/1000</f>
        <v>0</v>
      </c>
      <c r="C127" s="313" t="s">
        <v>10</v>
      </c>
      <c r="D127" s="311"/>
      <c r="E127" s="331"/>
      <c r="F127" s="423" t="s">
        <v>459</v>
      </c>
      <c r="G127" s="542"/>
      <c r="H127" s="315"/>
      <c r="I127" s="334"/>
    </row>
    <row r="128" spans="1:9" ht="15">
      <c r="A128" s="423" t="s">
        <v>428</v>
      </c>
      <c r="B128" s="313">
        <f>PGL_Requirements!I7/1000</f>
        <v>0</v>
      </c>
      <c r="C128" s="313" t="s">
        <v>10</v>
      </c>
      <c r="D128" s="311"/>
      <c r="E128" s="331"/>
      <c r="F128" s="423" t="s">
        <v>460</v>
      </c>
      <c r="G128" s="542"/>
      <c r="H128" s="315"/>
      <c r="I128" s="334"/>
    </row>
    <row r="129" spans="1:9" ht="15">
      <c r="A129" s="423" t="s">
        <v>439</v>
      </c>
      <c r="B129" s="313">
        <f>PGL_Requirements!C7/1000</f>
        <v>0.2</v>
      </c>
      <c r="C129" s="311"/>
      <c r="D129" s="311"/>
      <c r="E129" s="331"/>
      <c r="F129" s="423" t="s">
        <v>461</v>
      </c>
      <c r="G129" s="542"/>
      <c r="H129" s="315"/>
      <c r="I129" s="334"/>
    </row>
    <row r="130" spans="1:9" ht="15">
      <c r="A130" s="423" t="s">
        <v>440</v>
      </c>
      <c r="B130" s="313">
        <f>PGL_Requirements!AA7/1000</f>
        <v>0</v>
      </c>
      <c r="C130" s="592"/>
      <c r="D130" s="311"/>
      <c r="E130" s="331"/>
      <c r="F130" s="423" t="s">
        <v>462</v>
      </c>
      <c r="G130" s="542"/>
      <c r="H130" s="315"/>
      <c r="I130" s="334"/>
    </row>
    <row r="131" spans="1:9" ht="15">
      <c r="A131" s="415" t="s">
        <v>107</v>
      </c>
      <c r="B131" s="322">
        <f>PGL_Supplies!Z7/1000</f>
        <v>0.2</v>
      </c>
      <c r="C131" s="311"/>
      <c r="D131" s="311"/>
      <c r="E131" s="331"/>
      <c r="F131" s="368" t="s">
        <v>463</v>
      </c>
      <c r="G131" s="542"/>
      <c r="H131" s="315"/>
      <c r="I131" s="334"/>
    </row>
    <row r="132" spans="1:9" ht="15.75" thickBot="1">
      <c r="A132" s="423" t="s">
        <v>391</v>
      </c>
      <c r="B132" s="322">
        <f>PGL_Supplies!U7/1000</f>
        <v>0</v>
      </c>
      <c r="C132" s="347"/>
      <c r="D132" s="347"/>
      <c r="E132" s="552"/>
      <c r="F132" s="423" t="s">
        <v>464</v>
      </c>
      <c r="G132" s="542"/>
      <c r="H132" s="315"/>
      <c r="I132" s="334"/>
    </row>
    <row r="133" spans="1:9" ht="16.5" thickBot="1">
      <c r="A133" s="557" t="s">
        <v>441</v>
      </c>
      <c r="B133" s="564">
        <f>B126+B127+B130+B131+B132-B125-B128-B129</f>
        <v>0</v>
      </c>
      <c r="C133" s="529"/>
      <c r="D133" s="529"/>
      <c r="E133" s="519"/>
      <c r="F133" s="423" t="s">
        <v>465</v>
      </c>
      <c r="G133" s="542"/>
      <c r="H133" s="315"/>
      <c r="I133" s="334"/>
    </row>
    <row r="134" spans="1:9" ht="15.75" thickBot="1">
      <c r="A134" s="553" t="s">
        <v>10</v>
      </c>
      <c r="B134" s="554" t="s">
        <v>10</v>
      </c>
      <c r="C134" s="555" t="s">
        <v>68</v>
      </c>
      <c r="D134" s="556"/>
      <c r="E134" s="556" t="s">
        <v>10</v>
      </c>
      <c r="F134" s="544" t="s">
        <v>466</v>
      </c>
      <c r="G134" s="543"/>
      <c r="H134" s="315"/>
      <c r="I134" s="334"/>
    </row>
    <row r="135" spans="1:9" ht="15">
      <c r="A135" s="423" t="s">
        <v>428</v>
      </c>
      <c r="B135" s="134">
        <f>PGL_Requirements!J7</f>
        <v>0</v>
      </c>
      <c r="C135" s="8"/>
      <c r="D135" s="8"/>
      <c r="E135" s="8"/>
      <c r="F135" s="545" t="s">
        <v>467</v>
      </c>
      <c r="G135" s="543"/>
      <c r="H135" s="348"/>
      <c r="I135" s="334"/>
    </row>
    <row r="136" spans="1:9" ht="15">
      <c r="A136" s="423" t="s">
        <v>442</v>
      </c>
      <c r="B136" s="322">
        <f>NSG_Supplies!O7/1011</f>
        <v>0</v>
      </c>
      <c r="C136" s="311"/>
      <c r="D136" s="311"/>
      <c r="E136" s="311"/>
      <c r="F136" s="423" t="s">
        <v>468</v>
      </c>
      <c r="G136" s="542"/>
      <c r="H136" s="350"/>
      <c r="I136" s="334"/>
    </row>
    <row r="137" spans="1:9" ht="15">
      <c r="A137" s="423" t="s">
        <v>443</v>
      </c>
      <c r="B137" s="322">
        <f>PGL_Supplies!AA7/1000</f>
        <v>7</v>
      </c>
      <c r="C137" s="592"/>
      <c r="D137" s="311"/>
      <c r="E137" s="311"/>
      <c r="F137" s="423" t="s">
        <v>469</v>
      </c>
      <c r="G137" s="542"/>
      <c r="H137" s="315"/>
      <c r="I137" s="334"/>
    </row>
    <row r="138" spans="1:9" ht="15">
      <c r="A138" s="423" t="s">
        <v>444</v>
      </c>
      <c r="B138" s="134">
        <f>PGL_Requirements!D7</f>
        <v>0</v>
      </c>
      <c r="C138" s="311"/>
      <c r="D138" s="311"/>
      <c r="E138" s="311"/>
      <c r="F138" s="423" t="s">
        <v>401</v>
      </c>
      <c r="G138" s="542"/>
      <c r="H138" s="350"/>
      <c r="I138" s="334"/>
    </row>
    <row r="139" spans="1:9" ht="15">
      <c r="A139" s="423" t="s">
        <v>445</v>
      </c>
      <c r="B139" s="322">
        <f>PGL_Supplies!D7/1000</f>
        <v>0</v>
      </c>
      <c r="C139" s="311"/>
      <c r="D139" s="311"/>
      <c r="E139" s="311"/>
      <c r="F139" s="368" t="s">
        <v>470</v>
      </c>
      <c r="G139" s="546"/>
      <c r="H139" s="537"/>
      <c r="I139" s="334"/>
    </row>
    <row r="140" spans="1:9" ht="15.75" thickBot="1">
      <c r="A140" s="423" t="s">
        <v>391</v>
      </c>
      <c r="B140" s="322">
        <f>PGL_Supplies!V7/1000</f>
        <v>124.989</v>
      </c>
      <c r="C140" s="347"/>
      <c r="D140" s="347"/>
      <c r="E140" s="347"/>
      <c r="F140" s="368" t="s">
        <v>471</v>
      </c>
      <c r="G140" s="546"/>
      <c r="H140" s="548"/>
      <c r="I140" s="334"/>
    </row>
    <row r="141" spans="1:9" ht="16.5" thickBot="1">
      <c r="A141" s="557" t="s">
        <v>441</v>
      </c>
      <c r="B141" s="559">
        <f>-B135+B136+B137-B138+B139+B140</f>
        <v>131.989</v>
      </c>
      <c r="C141" s="560"/>
      <c r="D141" s="529"/>
      <c r="E141" s="530"/>
      <c r="F141" s="549" t="s">
        <v>222</v>
      </c>
      <c r="G141" s="550"/>
      <c r="H141" s="551"/>
      <c r="I141" s="334"/>
    </row>
    <row r="142" spans="1:9" ht="16.5" thickBot="1">
      <c r="A142" s="553" t="s">
        <v>10</v>
      </c>
      <c r="B142" s="558" t="s">
        <v>10</v>
      </c>
      <c r="C142" s="555" t="s">
        <v>59</v>
      </c>
      <c r="D142" s="556"/>
      <c r="E142" s="556"/>
      <c r="F142" s="526" t="s">
        <v>10</v>
      </c>
      <c r="G142" s="527" t="s">
        <v>472</v>
      </c>
      <c r="H142" s="527" t="s">
        <v>10</v>
      </c>
      <c r="I142" s="358"/>
    </row>
    <row r="143" spans="1:9" ht="15">
      <c r="A143" s="423" t="s">
        <v>71</v>
      </c>
      <c r="B143" s="322">
        <f>PGL_Requirements!P7/1000</f>
        <v>61</v>
      </c>
      <c r="C143" s="311"/>
      <c r="D143" s="311"/>
      <c r="E143" s="311"/>
      <c r="F143" s="566" t="s">
        <v>424</v>
      </c>
      <c r="G143" s="539"/>
      <c r="H143" s="561" t="s">
        <v>10</v>
      </c>
      <c r="I143" s="364">
        <f>NSG_Supplies!AC7/1000</f>
        <v>0</v>
      </c>
    </row>
    <row r="144" spans="1:9" ht="15">
      <c r="A144" s="423" t="s">
        <v>446</v>
      </c>
      <c r="B144" s="322">
        <f>PGL_Supplies!M7/1000</f>
        <v>0</v>
      </c>
      <c r="C144" s="311"/>
      <c r="D144" s="311"/>
      <c r="E144" s="311"/>
      <c r="F144" s="359" t="s">
        <v>473</v>
      </c>
      <c r="G144" s="311"/>
      <c r="H144" s="386" t="s">
        <v>10</v>
      </c>
      <c r="I144" s="364">
        <f>NSG_Supplies!O7/1000</f>
        <v>0</v>
      </c>
    </row>
    <row r="145" spans="1:9" ht="15.75" thickBot="1">
      <c r="A145" s="423" t="s">
        <v>447</v>
      </c>
      <c r="B145" s="322">
        <f>PGL_Requirements!B7/1000</f>
        <v>0</v>
      </c>
      <c r="C145" s="311"/>
      <c r="D145" s="311"/>
      <c r="E145" s="311"/>
      <c r="F145" s="535" t="s">
        <v>474</v>
      </c>
      <c r="G145" s="353"/>
      <c r="H145" s="524" t="s">
        <v>10</v>
      </c>
      <c r="I145" s="405"/>
    </row>
    <row r="146" spans="1:9" ht="15.75" thickBot="1">
      <c r="A146" s="423" t="s">
        <v>448</v>
      </c>
      <c r="B146" s="322">
        <f>PGL_Supplies!H7/1000</f>
        <v>1</v>
      </c>
      <c r="C146" s="311"/>
      <c r="D146" s="311"/>
      <c r="E146" s="311"/>
      <c r="F146" s="563" t="s">
        <v>450</v>
      </c>
      <c r="G146" s="529"/>
      <c r="H146" s="564" t="s">
        <v>10</v>
      </c>
      <c r="I146" s="565" t="e">
        <f>PGL_Requirements!#REF!/1000</f>
        <v>#REF!</v>
      </c>
    </row>
    <row r="147" spans="1:9" ht="16.5" thickBot="1">
      <c r="A147" s="368" t="s">
        <v>425</v>
      </c>
      <c r="B147" s="322" t="s">
        <v>10</v>
      </c>
      <c r="C147" s="311"/>
      <c r="D147" s="311"/>
      <c r="E147" s="311"/>
      <c r="F147" s="356" t="s">
        <v>475</v>
      </c>
      <c r="G147" s="357"/>
      <c r="H147" s="357"/>
      <c r="I147" s="358"/>
    </row>
    <row r="148" spans="1:9" ht="15.75" thickBot="1">
      <c r="A148" s="423" t="s">
        <v>449</v>
      </c>
      <c r="B148" s="322">
        <f>PGL_Requirements!Q7/1000</f>
        <v>0.91500000000000004</v>
      </c>
      <c r="C148" s="347"/>
      <c r="D148" s="347"/>
      <c r="E148" s="347"/>
      <c r="F148" s="540" t="s">
        <v>476</v>
      </c>
      <c r="G148" s="541"/>
      <c r="H148" s="567" t="s">
        <v>10</v>
      </c>
      <c r="I148" s="568">
        <f>+NSG_Supplies!Z7/1000</f>
        <v>0</v>
      </c>
    </row>
    <row r="149" spans="1:9" ht="16.5" thickBot="1">
      <c r="A149" s="516" t="s">
        <v>450</v>
      </c>
      <c r="B149" s="517">
        <f>B144+B146</f>
        <v>1</v>
      </c>
      <c r="C149" s="518"/>
      <c r="D149" s="518"/>
      <c r="E149" s="519"/>
      <c r="F149" s="423" t="s">
        <v>10</v>
      </c>
      <c r="G149" s="542"/>
      <c r="H149" s="569" t="s">
        <v>10</v>
      </c>
      <c r="I149" s="570">
        <f>NSG_Supplies!AA7/1000</f>
        <v>0</v>
      </c>
    </row>
    <row r="150" spans="1:9" ht="15.75" thickBot="1">
      <c r="A150" s="423" t="s">
        <v>216</v>
      </c>
      <c r="B150" s="520">
        <f>PGL_Deliveries!AE5</f>
        <v>0</v>
      </c>
      <c r="C150" s="521"/>
      <c r="D150" s="521"/>
      <c r="E150" s="522"/>
      <c r="F150" s="563" t="s">
        <v>450</v>
      </c>
      <c r="G150" s="529"/>
      <c r="H150" s="564" t="s">
        <v>10</v>
      </c>
      <c r="I150" s="565" t="e">
        <f>PGL_Requirements!#REF!/1000</f>
        <v>#REF!</v>
      </c>
    </row>
    <row r="151" spans="1:9" ht="16.5" thickBot="1">
      <c r="A151" s="423" t="s">
        <v>214</v>
      </c>
      <c r="B151" s="520">
        <f>PGL_Deliveries!AG5</f>
        <v>0</v>
      </c>
      <c r="C151" s="375"/>
      <c r="D151" s="375"/>
      <c r="E151" s="375"/>
      <c r="F151" s="356" t="s">
        <v>419</v>
      </c>
      <c r="G151" s="357"/>
      <c r="H151" s="357"/>
      <c r="I151" s="358"/>
    </row>
    <row r="152" spans="1:9" ht="15.75" thickBot="1">
      <c r="A152" s="344" t="s">
        <v>10</v>
      </c>
      <c r="B152" s="325"/>
      <c r="C152" s="515" t="s">
        <v>36</v>
      </c>
      <c r="D152" s="345"/>
      <c r="E152" s="481" t="s">
        <v>10</v>
      </c>
      <c r="F152" s="540" t="s">
        <v>477</v>
      </c>
      <c r="G152" s="541"/>
      <c r="H152" s="572"/>
      <c r="I152" s="386">
        <f>PGL_Requirements!T7/1000</f>
        <v>0</v>
      </c>
    </row>
    <row r="153" spans="1:9" ht="15">
      <c r="A153" s="423" t="s">
        <v>451</v>
      </c>
      <c r="B153" s="386">
        <f>PGL_Requirements!N7/1000</f>
        <v>0</v>
      </c>
      <c r="C153" s="311"/>
      <c r="D153" s="311"/>
      <c r="E153" s="378"/>
      <c r="F153" s="536" t="s">
        <v>478</v>
      </c>
      <c r="G153" s="543"/>
      <c r="H153" s="538"/>
      <c r="I153" s="386">
        <f>PGL_Requirements!T7/1000</f>
        <v>0</v>
      </c>
    </row>
    <row r="154" spans="1:9" ht="15">
      <c r="A154" s="423" t="s">
        <v>452</v>
      </c>
      <c r="B154" s="322">
        <f>PGL_Supplies!AE7/1000</f>
        <v>0</v>
      </c>
      <c r="C154" s="379" t="s">
        <v>10</v>
      </c>
      <c r="D154" s="311"/>
      <c r="E154" s="380"/>
      <c r="F154" s="535" t="s">
        <v>479</v>
      </c>
      <c r="G154" s="542"/>
      <c r="H154" s="538"/>
      <c r="I154" s="322">
        <f>PGL_Supplies!AL7/1000</f>
        <v>0</v>
      </c>
    </row>
    <row r="155" spans="1:9" ht="15">
      <c r="A155" s="423" t="s">
        <v>453</v>
      </c>
      <c r="B155" s="386">
        <f>PGL_Requirements!F7/1000</f>
        <v>4</v>
      </c>
      <c r="C155" s="379" t="s">
        <v>10</v>
      </c>
      <c r="D155" s="311"/>
      <c r="E155" s="380"/>
      <c r="F155" s="423" t="s">
        <v>107</v>
      </c>
      <c r="G155" s="571"/>
      <c r="H155" s="538"/>
      <c r="I155" s="322">
        <f>PGL_Supplies!AL8/1000</f>
        <v>0</v>
      </c>
    </row>
    <row r="156" spans="1:9" ht="15.75" thickBot="1">
      <c r="A156" s="423" t="s">
        <v>454</v>
      </c>
      <c r="B156" s="322">
        <f>PGL_Supplies!G7/1000</f>
        <v>0</v>
      </c>
      <c r="C156" s="387" t="s">
        <v>10</v>
      </c>
      <c r="D156" s="311"/>
      <c r="E156" s="380"/>
      <c r="F156" s="368" t="s">
        <v>391</v>
      </c>
      <c r="G156" s="571"/>
      <c r="H156" s="548"/>
      <c r="I156" s="322">
        <f>PGL_Supplies!AL9/1000</f>
        <v>0</v>
      </c>
    </row>
    <row r="157" spans="1:9" ht="15.75">
      <c r="A157" s="423" t="s">
        <v>455</v>
      </c>
      <c r="B157" s="386">
        <f>PGL_Requirements!T7/1000</f>
        <v>0</v>
      </c>
      <c r="C157" s="379" t="s">
        <v>10</v>
      </c>
      <c r="D157" s="311"/>
      <c r="E157" s="380"/>
      <c r="F157" s="573" t="s">
        <v>480</v>
      </c>
      <c r="G157" s="574"/>
      <c r="H157" s="572"/>
      <c r="I157" s="575">
        <v>0</v>
      </c>
    </row>
    <row r="158" spans="1:9" ht="15.75" thickBot="1">
      <c r="A158" s="423" t="s">
        <v>456</v>
      </c>
      <c r="B158" s="322">
        <f>PGL_Supplies!P7/1000</f>
        <v>0</v>
      </c>
      <c r="C158" s="387" t="s">
        <v>10</v>
      </c>
      <c r="D158" s="311"/>
      <c r="E158" s="489"/>
      <c r="F158" s="576" t="s">
        <v>481</v>
      </c>
      <c r="G158" s="390"/>
      <c r="H158" s="577"/>
      <c r="I158" s="578">
        <v>0</v>
      </c>
    </row>
    <row r="159" spans="1:9" ht="16.5" thickBot="1">
      <c r="A159" s="423" t="s">
        <v>107</v>
      </c>
      <c r="B159" s="322">
        <f>PGL_Supplies!AD7/1000</f>
        <v>4</v>
      </c>
      <c r="C159" s="387" t="s">
        <v>10</v>
      </c>
      <c r="D159" s="311"/>
      <c r="E159" s="380"/>
      <c r="F159" s="526" t="s">
        <v>249</v>
      </c>
      <c r="G159" s="527"/>
      <c r="H159" s="528"/>
      <c r="I159" s="358"/>
    </row>
    <row r="160" spans="1:9" ht="15.75" thickBot="1">
      <c r="A160" s="423" t="s">
        <v>391</v>
      </c>
      <c r="B160" s="609">
        <f>PGL_Supplies!Y7/1000</f>
        <v>92.887</v>
      </c>
      <c r="C160" s="525" t="s">
        <v>10</v>
      </c>
      <c r="D160" s="347"/>
      <c r="E160" s="523"/>
      <c r="F160" s="579" t="s">
        <v>482</v>
      </c>
      <c r="G160" s="539" t="s">
        <v>10</v>
      </c>
      <c r="H160" s="521"/>
      <c r="I160" s="584"/>
    </row>
    <row r="161" spans="1:9" ht="16.5" thickBot="1">
      <c r="A161" s="593" t="s">
        <v>457</v>
      </c>
      <c r="B161" s="611"/>
      <c r="C161" s="531" t="s">
        <v>10</v>
      </c>
      <c r="D161" s="532"/>
      <c r="E161" s="533"/>
      <c r="F161" s="562" t="s">
        <v>483</v>
      </c>
      <c r="G161" s="347"/>
      <c r="H161" s="582"/>
      <c r="I161" s="583" t="s">
        <v>10</v>
      </c>
    </row>
    <row r="162" spans="1:9" ht="16.5" thickBot="1">
      <c r="A162" s="397" t="s">
        <v>450</v>
      </c>
      <c r="B162" s="610">
        <f>B154+B156+B158+B159+B160-B153-B155-B157-B161</f>
        <v>92.887</v>
      </c>
      <c r="C162" s="398"/>
      <c r="D162" s="399"/>
      <c r="E162" s="534"/>
      <c r="F162" s="580" t="s">
        <v>253</v>
      </c>
      <c r="G162" s="529"/>
      <c r="H162" s="518"/>
      <c r="I162" s="581"/>
    </row>
    <row r="163" spans="1:9" ht="12.75" thickBot="1">
      <c r="A163" s="594"/>
      <c r="B163" s="595" t="s">
        <v>484</v>
      </c>
      <c r="C163" s="595"/>
      <c r="D163" s="595" t="s">
        <v>485</v>
      </c>
      <c r="E163" s="595"/>
      <c r="F163" s="595"/>
      <c r="G163" s="595"/>
      <c r="H163" s="596" t="s">
        <v>256</v>
      </c>
      <c r="I163" s="597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257</v>
      </c>
      <c r="B2" s="195" t="s">
        <v>257</v>
      </c>
      <c r="C2" s="195" t="s">
        <v>257</v>
      </c>
      <c r="D2" s="195" t="s">
        <v>257</v>
      </c>
      <c r="E2" s="195" t="s">
        <v>257</v>
      </c>
      <c r="F2" s="195" t="s">
        <v>257</v>
      </c>
      <c r="G2" s="195" t="s">
        <v>257</v>
      </c>
      <c r="H2" s="195" t="s">
        <v>257</v>
      </c>
      <c r="I2" s="195" t="s">
        <v>257</v>
      </c>
      <c r="J2" s="6"/>
    </row>
    <row r="14" spans="1:10" ht="30">
      <c r="A14" s="195" t="s">
        <v>264</v>
      </c>
      <c r="B14" s="195" t="s">
        <v>264</v>
      </c>
      <c r="C14" s="195" t="s">
        <v>264</v>
      </c>
      <c r="D14" s="195" t="s">
        <v>264</v>
      </c>
      <c r="E14" s="195" t="s">
        <v>264</v>
      </c>
      <c r="F14" s="195" t="s">
        <v>264</v>
      </c>
      <c r="G14" s="195" t="s">
        <v>264</v>
      </c>
      <c r="H14" s="195" t="s">
        <v>264</v>
      </c>
      <c r="I14" s="195" t="s">
        <v>264</v>
      </c>
      <c r="J14" s="6"/>
    </row>
    <row r="32" spans="1:9">
      <c r="A32" t="s">
        <v>10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10</v>
      </c>
    </row>
    <row r="2" spans="1:10" ht="30">
      <c r="A2" s="195" t="s">
        <v>257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258</v>
      </c>
      <c r="D5" s="124" t="s">
        <v>380</v>
      </c>
      <c r="F5" s="196" t="s">
        <v>259</v>
      </c>
      <c r="G5" s="124" t="s">
        <v>381</v>
      </c>
    </row>
    <row r="6" spans="1:10">
      <c r="D6" s="163" t="s">
        <v>260</v>
      </c>
      <c r="G6" s="163" t="s">
        <v>261</v>
      </c>
    </row>
    <row r="7" spans="1:10">
      <c r="D7" s="163" t="s">
        <v>261</v>
      </c>
    </row>
    <row r="8" spans="1:10">
      <c r="G8" s="124" t="s">
        <v>382</v>
      </c>
    </row>
    <row r="9" spans="1:10">
      <c r="D9" s="124" t="s">
        <v>384</v>
      </c>
      <c r="G9" s="124" t="s">
        <v>383</v>
      </c>
    </row>
    <row r="10" spans="1:10">
      <c r="D10" s="124" t="s">
        <v>385</v>
      </c>
    </row>
    <row r="11" spans="1:10" ht="15.75">
      <c r="D11" s="196" t="s">
        <v>262</v>
      </c>
    </row>
    <row r="12" spans="1:10" ht="15.75">
      <c r="D12" s="196" t="s">
        <v>263</v>
      </c>
    </row>
    <row r="14" spans="1:10" ht="30">
      <c r="A14" s="195" t="s">
        <v>264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265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266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267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389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268</v>
      </c>
      <c r="D22" s="165">
        <f ca="1">NOW()</f>
        <v>37056.186540509261</v>
      </c>
      <c r="F22" s="163" t="s">
        <v>269</v>
      </c>
      <c r="G22" s="190">
        <f ca="1">NOW()</f>
        <v>37056.186540509261</v>
      </c>
    </row>
    <row r="24" spans="2:9">
      <c r="B24" s="163" t="s">
        <v>270</v>
      </c>
      <c r="D24" s="227" t="s">
        <v>405</v>
      </c>
      <c r="E24" t="s">
        <v>10</v>
      </c>
      <c r="F24" s="163" t="s">
        <v>271</v>
      </c>
      <c r="G24" s="164" t="s">
        <v>272</v>
      </c>
    </row>
    <row r="25" spans="2:9" ht="15.75" thickBot="1"/>
    <row r="26" spans="2:9" ht="15.75" thickBot="1">
      <c r="B26" s="208" t="s">
        <v>10</v>
      </c>
      <c r="C26" s="163" t="s">
        <v>273</v>
      </c>
    </row>
    <row r="27" spans="2:9" ht="15.75" thickBot="1">
      <c r="B27" s="208" t="s">
        <v>10</v>
      </c>
      <c r="C27" s="163" t="s">
        <v>274</v>
      </c>
    </row>
    <row r="28" spans="2:9" ht="15.75" thickBot="1">
      <c r="B28" s="208" t="s">
        <v>406</v>
      </c>
      <c r="C28" s="124" t="s">
        <v>386</v>
      </c>
    </row>
    <row r="29" spans="2:9">
      <c r="B29" t="s">
        <v>10</v>
      </c>
      <c r="C29" s="163" t="s">
        <v>387</v>
      </c>
    </row>
    <row r="30" spans="2:9">
      <c r="C30" s="163" t="s">
        <v>10</v>
      </c>
    </row>
    <row r="32" spans="2:9">
      <c r="B32" s="163" t="s">
        <v>275</v>
      </c>
      <c r="E32" s="447">
        <v>35915</v>
      </c>
    </row>
    <row r="34" spans="2:8" ht="15.75">
      <c r="B34" s="163" t="s">
        <v>276</v>
      </c>
      <c r="E34" s="189">
        <v>0</v>
      </c>
      <c r="F34" t="s">
        <v>277</v>
      </c>
    </row>
    <row r="36" spans="2:8" ht="15.75">
      <c r="B36" s="163" t="s">
        <v>278</v>
      </c>
      <c r="E36" s="189">
        <v>0</v>
      </c>
      <c r="F36" t="s">
        <v>277</v>
      </c>
    </row>
    <row r="38" spans="2:8" ht="15.75">
      <c r="B38" t="s">
        <v>279</v>
      </c>
      <c r="E38" s="165">
        <f>+E32+1</f>
        <v>35916</v>
      </c>
      <c r="F38" s="189">
        <v>0</v>
      </c>
      <c r="G38" t="s">
        <v>277</v>
      </c>
    </row>
    <row r="39" spans="2:8" ht="15.75">
      <c r="E39" s="165">
        <f>+E38+1</f>
        <v>35917</v>
      </c>
      <c r="F39" s="189">
        <v>0</v>
      </c>
      <c r="G39" t="s">
        <v>277</v>
      </c>
    </row>
    <row r="40" spans="2:8" ht="15.75">
      <c r="E40" s="165">
        <f>+E39+1</f>
        <v>35918</v>
      </c>
      <c r="F40" s="189">
        <v>0</v>
      </c>
      <c r="G40" t="s">
        <v>277</v>
      </c>
    </row>
    <row r="41" spans="2:8" ht="15.75">
      <c r="E41" s="165">
        <f>+E40+1</f>
        <v>35919</v>
      </c>
      <c r="F41" s="189">
        <v>0</v>
      </c>
      <c r="G41" t="s">
        <v>277</v>
      </c>
    </row>
    <row r="42" spans="2:8" ht="15.75">
      <c r="E42" s="165">
        <f>+E41+1</f>
        <v>35920</v>
      </c>
      <c r="F42" s="189">
        <v>0</v>
      </c>
      <c r="G42" t="s">
        <v>277</v>
      </c>
    </row>
    <row r="44" spans="2:8">
      <c r="B44" s="163" t="s">
        <v>280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281</v>
      </c>
      <c r="C47" s="186" t="s">
        <v>10</v>
      </c>
      <c r="D47" s="188"/>
    </row>
    <row r="48" spans="2:8">
      <c r="B48" s="187"/>
      <c r="C48" s="186" t="s">
        <v>10</v>
      </c>
      <c r="D48" s="188"/>
    </row>
    <row r="49" spans="2:4">
      <c r="B49" s="187"/>
      <c r="C49" s="440" t="s">
        <v>388</v>
      </c>
      <c r="D49" s="188"/>
    </row>
    <row r="50" spans="2:4">
      <c r="B50" s="187"/>
      <c r="C50" s="186" t="s">
        <v>282</v>
      </c>
    </row>
    <row r="51" spans="2:4">
      <c r="B51" s="187"/>
      <c r="C51" s="186" t="s">
        <v>283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10</v>
      </c>
      <c r="B1" s="14"/>
      <c r="C1" s="15"/>
      <c r="D1" s="116" t="s">
        <v>10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12</v>
      </c>
      <c r="B3" s="20" t="s">
        <v>10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284</v>
      </c>
      <c r="E4" s="90"/>
      <c r="F4" s="90" t="s">
        <v>285</v>
      </c>
      <c r="G4" s="90"/>
      <c r="H4" s="93"/>
      <c r="I4" s="92" t="s">
        <v>286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37055</v>
      </c>
      <c r="C5" s="15"/>
      <c r="D5" s="22" t="s">
        <v>287</v>
      </c>
      <c r="E5" s="23">
        <f>Weather_Input!B5</f>
        <v>91</v>
      </c>
      <c r="F5" s="24" t="s">
        <v>288</v>
      </c>
      <c r="G5" s="25" t="str">
        <f>Weather_Input!H5</f>
        <v xml:space="preserve"> </v>
      </c>
      <c r="H5" s="26" t="s">
        <v>289</v>
      </c>
      <c r="I5" s="27">
        <f ca="1">G5-(VLOOKUP(B5,DD_Normal_Data,CELL("Col",B6),FALSE))</f>
        <v>-2</v>
      </c>
    </row>
    <row r="6" spans="1:109" ht="15">
      <c r="A6" s="18"/>
      <c r="B6" s="21"/>
      <c r="C6" s="15"/>
      <c r="D6" s="22" t="s">
        <v>174</v>
      </c>
      <c r="E6" s="23">
        <f>Weather_Input!C5</f>
        <v>73</v>
      </c>
      <c r="F6" s="24" t="s">
        <v>290</v>
      </c>
      <c r="G6" s="25" t="str">
        <f>Weather_Input!F5</f>
        <v xml:space="preserve"> </v>
      </c>
      <c r="H6" s="26" t="s">
        <v>291</v>
      </c>
      <c r="I6" s="27">
        <f ca="1">G6-(VLOOKUP(B5,DD_Normal_Data,CELL("Col",C7),FALSE))</f>
        <v>-40</v>
      </c>
      <c r="J6" s="28"/>
      <c r="DE6" s="14" t="s">
        <v>15</v>
      </c>
    </row>
    <row r="7" spans="1:109" ht="15">
      <c r="A7" s="18"/>
      <c r="B7" s="21"/>
      <c r="C7" s="15"/>
      <c r="D7" s="22" t="s">
        <v>292</v>
      </c>
      <c r="E7" s="29">
        <f>IF(Weather_Input!E5="N/A",(Weather_Input!C5+Weather_Input!B5)/2,Weather_Input!E5)</f>
        <v>82</v>
      </c>
      <c r="F7" s="24" t="s">
        <v>293</v>
      </c>
      <c r="G7" s="25">
        <f>Weather_Input!G5</f>
        <v>0</v>
      </c>
      <c r="H7" s="26" t="s">
        <v>293</v>
      </c>
      <c r="I7" s="122">
        <f ca="1">G7-(VLOOKUP(B5,DD_Normal_Data,CELL("Col",D4),FALSE))</f>
        <v>-6416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  MOSTLY SUNNY HOT AND HUMID. HIGH IN THE LOWER 90S.  WIND S 10 TO 20  MPH.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 PARTLY  CLOUDY   LOW 7O.  WIND S AT 10.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37056</v>
      </c>
      <c r="C10" s="15"/>
      <c r="D10" s="152" t="s">
        <v>287</v>
      </c>
      <c r="E10" s="23">
        <f>Weather_Input!B6</f>
        <v>92</v>
      </c>
      <c r="F10" s="24" t="s">
        <v>288</v>
      </c>
      <c r="G10" s="25">
        <f>IF(E12&lt;65,65-(Weather_Input!B6+Weather_Input!C6)/2,0)</f>
        <v>0</v>
      </c>
      <c r="H10" s="26" t="s">
        <v>289</v>
      </c>
      <c r="I10" s="27">
        <f ca="1">G10-(VLOOKUP(B10,DD_Normal_Data,CELL("Col",B11),FALSE))</f>
        <v>-1</v>
      </c>
    </row>
    <row r="11" spans="1:109" ht="15">
      <c r="A11" s="18"/>
      <c r="B11" s="21"/>
      <c r="C11" s="15"/>
      <c r="D11" s="22" t="s">
        <v>174</v>
      </c>
      <c r="E11" s="23">
        <f>Weather_Input!C6</f>
        <v>66</v>
      </c>
      <c r="F11" s="24" t="s">
        <v>290</v>
      </c>
      <c r="G11" s="25">
        <f>IF(DAY(B10)=1,G10,G6+G10)</f>
        <v>0</v>
      </c>
      <c r="H11" s="30" t="s">
        <v>291</v>
      </c>
      <c r="I11" s="27">
        <f ca="1">G11-(VLOOKUP(B10,DD_Normal_Data,CELL("Col",C12),FALSE))</f>
        <v>-41</v>
      </c>
      <c r="DE11" s="14" t="s">
        <v>294</v>
      </c>
    </row>
    <row r="12" spans="1:109" ht="15">
      <c r="A12" s="18"/>
      <c r="B12" s="20"/>
      <c r="C12" s="15"/>
      <c r="D12" s="22" t="s">
        <v>292</v>
      </c>
      <c r="E12" s="23">
        <f>(Weather_Input!C6+Weather_Input!B6)/2</f>
        <v>79</v>
      </c>
      <c r="F12" s="24" t="s">
        <v>293</v>
      </c>
      <c r="G12" s="25">
        <f>IF(AND(DAY(B10)=1,MONTH(B10)=8),G10,G7+G10)</f>
        <v>0</v>
      </c>
      <c r="H12" s="26" t="s">
        <v>293</v>
      </c>
      <c r="I12" s="27">
        <f ca="1">G12-(VLOOKUP(B10,DD_Normal_Data,CELL("Col",D9),FALSE))</f>
        <v>-6417</v>
      </c>
    </row>
    <row r="13" spans="1:109" ht="15">
      <c r="A13" s="18"/>
      <c r="B13" s="21"/>
      <c r="C13" s="15"/>
      <c r="D13" s="32" t="str">
        <f>IF(Weather_Input!I6=""," ",Weather_Input!I6)</f>
        <v xml:space="preserve">  PARTLY  SUNNY,    HIGH NEAR 90.     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THUR. NIGHT CHANCE OF T-STORM.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37057</v>
      </c>
      <c r="C15" s="15"/>
      <c r="D15" s="22" t="s">
        <v>287</v>
      </c>
      <c r="E15" s="23">
        <f>Weather_Input!B7</f>
        <v>80</v>
      </c>
      <c r="F15" s="24" t="s">
        <v>288</v>
      </c>
      <c r="G15" s="25">
        <f>IF(E17&lt;65,65-(Weather_Input!B7+Weather_Input!C7)/2,0)</f>
        <v>0</v>
      </c>
      <c r="H15" s="26" t="s">
        <v>289</v>
      </c>
      <c r="I15" s="27">
        <f ca="1">G15-(VLOOKUP(B15,DD_Normal_Data,CELL("Col",B16),FALSE))</f>
        <v>-1</v>
      </c>
    </row>
    <row r="16" spans="1:109" ht="15">
      <c r="A16" s="18"/>
      <c r="B16" s="20"/>
      <c r="C16" s="15"/>
      <c r="D16" s="22" t="s">
        <v>174</v>
      </c>
      <c r="E16" s="23">
        <f>Weather_Input!C7</f>
        <v>58</v>
      </c>
      <c r="F16" s="24" t="s">
        <v>290</v>
      </c>
      <c r="G16" s="25">
        <f>IF(DAY(B15)=1,G15,G11+G15)</f>
        <v>0</v>
      </c>
      <c r="H16" s="30" t="s">
        <v>291</v>
      </c>
      <c r="I16" s="27">
        <f ca="1">G16-(VLOOKUP(B15,DD_Normal_Data,CELL("Col",C17),FALSE))</f>
        <v>-42</v>
      </c>
      <c r="DE16" s="14" t="s">
        <v>33</v>
      </c>
    </row>
    <row r="17" spans="1:109" ht="15">
      <c r="A17" s="18"/>
      <c r="B17" s="21"/>
      <c r="C17" s="15"/>
      <c r="D17" s="22" t="s">
        <v>292</v>
      </c>
      <c r="E17" s="23">
        <f>(Weather_Input!C7+Weather_Input!B7)/2</f>
        <v>69</v>
      </c>
      <c r="F17" s="24" t="s">
        <v>293</v>
      </c>
      <c r="G17" s="25">
        <f>IF(AND(DAY(B15)=1,MONTH(B15)=8),G15,G12+G15)</f>
        <v>0</v>
      </c>
      <c r="H17" s="26" t="s">
        <v>293</v>
      </c>
      <c r="I17" s="27">
        <f ca="1">G17-(VLOOKUP(B15,DD_Normal_Data,CELL("Col",D14),FALSE))</f>
        <v>-6418</v>
      </c>
    </row>
    <row r="18" spans="1:109" ht="15">
      <c r="A18" s="18"/>
      <c r="B18" s="20"/>
      <c r="C18" s="15"/>
      <c r="D18" s="32" t="str">
        <f>IF(Weather_Input!I7=""," ",Weather_Input!I7)</f>
        <v xml:space="preserve">  CHANCE  OF  A.M.  SHOWERS AND T-STORMS.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37058</v>
      </c>
      <c r="C20" s="15"/>
      <c r="D20" s="22" t="s">
        <v>287</v>
      </c>
      <c r="E20" s="23">
        <f>Weather_Input!B8</f>
        <v>79</v>
      </c>
      <c r="F20" s="24" t="s">
        <v>288</v>
      </c>
      <c r="G20" s="25">
        <f>IF(E22&lt;65,65-(Weather_Input!B8+Weather_Input!C8)/2,0)</f>
        <v>0</v>
      </c>
      <c r="H20" s="26" t="s">
        <v>289</v>
      </c>
      <c r="I20" s="27">
        <f ca="1">G20-(VLOOKUP(B20,DD_Normal_Data,CELL("Col",B21),FALSE))</f>
        <v>-1</v>
      </c>
    </row>
    <row r="21" spans="1:109" ht="15">
      <c r="A21" s="18"/>
      <c r="B21" s="21"/>
      <c r="C21" s="15"/>
      <c r="D21" s="22" t="s">
        <v>174</v>
      </c>
      <c r="E21" s="23">
        <f>Weather_Input!C8</f>
        <v>58</v>
      </c>
      <c r="F21" s="24" t="s">
        <v>290</v>
      </c>
      <c r="G21" s="25">
        <f>IF(DAY(B20)=1,G20,G16+G20)</f>
        <v>0</v>
      </c>
      <c r="H21" s="30" t="s">
        <v>291</v>
      </c>
      <c r="I21" s="27">
        <f ca="1">G21-(VLOOKUP(B20,DD_Normal_Data,CELL("Col",C22),FALSE))</f>
        <v>-43</v>
      </c>
      <c r="DE21" s="14" t="s">
        <v>295</v>
      </c>
    </row>
    <row r="22" spans="1:109" ht="15">
      <c r="A22" s="18"/>
      <c r="B22" s="21"/>
      <c r="C22" s="15"/>
      <c r="D22" s="22" t="s">
        <v>292</v>
      </c>
      <c r="E22" s="23">
        <f>(Weather_Input!C8+Weather_Input!B8)/2</f>
        <v>68.5</v>
      </c>
      <c r="F22" s="24" t="s">
        <v>293</v>
      </c>
      <c r="G22" s="25">
        <f>IF(AND(DAY(B20)=1,MONTH(B20)=8),G20,G17+G20)</f>
        <v>0</v>
      </c>
      <c r="H22" s="26" t="s">
        <v>293</v>
      </c>
      <c r="I22" s="27">
        <f ca="1">G22-(VLOOKUP(B20,DD_Normal_Data,CELL("Col",D19),FALSE))</f>
        <v>-6419</v>
      </c>
    </row>
    <row r="23" spans="1:109" ht="15">
      <c r="A23" s="18"/>
      <c r="B23" s="21"/>
      <c r="C23" s="15"/>
      <c r="D23" s="32" t="str">
        <f>IF(Weather_Input!I8=""," ",Weather_Input!I8)</f>
        <v xml:space="preserve">  PARTLY CLOUDY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37059</v>
      </c>
      <c r="C25" s="15"/>
      <c r="D25" s="22" t="s">
        <v>287</v>
      </c>
      <c r="E25" s="23">
        <f>Weather_Input!B9</f>
        <v>80</v>
      </c>
      <c r="F25" s="24" t="s">
        <v>288</v>
      </c>
      <c r="G25" s="25">
        <f>IF(E27&lt;65,65-(Weather_Input!B9+Weather_Input!C9)/2,0)</f>
        <v>0</v>
      </c>
      <c r="H25" s="26" t="s">
        <v>289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174</v>
      </c>
      <c r="E26" s="23">
        <f>Weather_Input!C9</f>
        <v>62</v>
      </c>
      <c r="F26" s="24" t="s">
        <v>290</v>
      </c>
      <c r="G26" s="25">
        <f>IF(DAY(B25)=1,G25,G21+G25)</f>
        <v>0</v>
      </c>
      <c r="H26" s="30" t="s">
        <v>291</v>
      </c>
      <c r="I26" s="27">
        <f ca="1">G26-(VLOOKUP(B25,DD_Normal_Data,CELL("Col",C27),FALSE))</f>
        <v>-44</v>
      </c>
      <c r="DE26" s="14" t="s">
        <v>296</v>
      </c>
    </row>
    <row r="27" spans="1:109" ht="15">
      <c r="A27" s="18"/>
      <c r="B27" s="20"/>
      <c r="C27" s="15"/>
      <c r="D27" s="22" t="s">
        <v>292</v>
      </c>
      <c r="E27" s="23">
        <f>(Weather_Input!C9+Weather_Input!B9)/2</f>
        <v>71</v>
      </c>
      <c r="F27" s="24" t="s">
        <v>293</v>
      </c>
      <c r="G27" s="25">
        <f>IF(AND(DAY(B25)=1,MONTH(B25)=8),G25,G22+G25)</f>
        <v>0</v>
      </c>
      <c r="H27" s="26" t="s">
        <v>293</v>
      </c>
      <c r="I27" s="27">
        <f ca="1">G27-(VLOOKUP(B25,DD_Normal_Data,CELL("Col",D24),FALSE))</f>
        <v>-6420</v>
      </c>
    </row>
    <row r="28" spans="1:109" ht="15">
      <c r="A28" s="18"/>
      <c r="B28" s="20"/>
      <c r="C28" s="15"/>
      <c r="D28" s="32" t="str">
        <f>IF(Weather_Input!I9=""," ",Weather_Input!I9)</f>
        <v xml:space="preserve">  PARTLY CLOUDY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37060</v>
      </c>
      <c r="C30" s="15"/>
      <c r="D30" s="22" t="s">
        <v>287</v>
      </c>
      <c r="E30" s="23">
        <f>Weather_Input!B10</f>
        <v>80</v>
      </c>
      <c r="F30" s="24" t="s">
        <v>288</v>
      </c>
      <c r="G30" s="25">
        <f>IF(E32&lt;65,65-(Weather_Input!B10+Weather_Input!C10)/2,0)</f>
        <v>0</v>
      </c>
      <c r="H30" s="26" t="s">
        <v>289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174</v>
      </c>
      <c r="E31" s="23">
        <f>Weather_Input!C10</f>
        <v>62</v>
      </c>
      <c r="F31" s="24" t="s">
        <v>290</v>
      </c>
      <c r="G31" s="25">
        <f>IF(DAY(B30)=1,G30,G26+G30)</f>
        <v>0</v>
      </c>
      <c r="H31" s="30" t="s">
        <v>291</v>
      </c>
      <c r="I31" s="27">
        <f ca="1">G31-(VLOOKUP(B30,DD_Normal_Data,CELL("Col",C32),FALSE))</f>
        <v>-45</v>
      </c>
      <c r="DE31" s="14" t="s">
        <v>32</v>
      </c>
    </row>
    <row r="32" spans="1:109" ht="15">
      <c r="A32" s="15"/>
      <c r="B32" s="15"/>
      <c r="C32" s="15"/>
      <c r="D32" s="22" t="s">
        <v>292</v>
      </c>
      <c r="E32" s="23">
        <f>(Weather_Input!C10+Weather_Input!B10)/2</f>
        <v>71</v>
      </c>
      <c r="F32" s="24" t="s">
        <v>293</v>
      </c>
      <c r="G32" s="25">
        <f>IF(AND(DAY(B30)=1,MONTH(B30)=8),G30,G27+G30)</f>
        <v>0</v>
      </c>
      <c r="H32" s="26" t="s">
        <v>293</v>
      </c>
      <c r="I32" s="27">
        <f ca="1">G32-(VLOOKUP(B30,DD_Normal_Data,CELL("Col",D29),FALSE))</f>
        <v>-6421</v>
      </c>
    </row>
    <row r="33" spans="1:9" ht="15">
      <c r="A33" s="15"/>
      <c r="B33" s="34"/>
      <c r="C33" s="15"/>
      <c r="D33" s="32" t="str">
        <f>IF(Weather_Input!I10=""," ",Weather_Input!I10)</f>
        <v xml:space="preserve">  PARTLY CLOUDY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297</v>
      </c>
      <c r="B35" s="18" t="s">
        <v>161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54</v>
      </c>
      <c r="B36" s="91">
        <f>B5</f>
        <v>37055</v>
      </c>
      <c r="C36" s="91">
        <f>B10</f>
        <v>37056</v>
      </c>
      <c r="D36" s="91">
        <f>B15</f>
        <v>37057</v>
      </c>
      <c r="E36" s="91">
        <f xml:space="preserve">       B20</f>
        <v>37058</v>
      </c>
      <c r="F36" s="91">
        <f>B25</f>
        <v>37059</v>
      </c>
      <c r="G36" s="91">
        <f>B30</f>
        <v>37060</v>
      </c>
      <c r="H36" s="14"/>
      <c r="I36" s="15"/>
    </row>
    <row r="37" spans="1:9" ht="15">
      <c r="A37" s="15" t="s">
        <v>55</v>
      </c>
      <c r="B37" s="41">
        <f ca="1">(VLOOKUP(B36,PGL_Sendouts,(CELL("COL",PGL_Deliveries!C6))))/1000</f>
        <v>210</v>
      </c>
      <c r="C37" s="41">
        <f ca="1">(VLOOKUP(C36,PGL_Sendouts,(CELL("COL",PGL_Deliveries!C7))))/1000</f>
        <v>210</v>
      </c>
      <c r="D37" s="41">
        <f ca="1">(VLOOKUP(D36,PGL_Sendouts,(CELL("COL",PGL_Deliveries!C8))))/1000</f>
        <v>200</v>
      </c>
      <c r="E37" s="41">
        <f ca="1">(VLOOKUP(E36,PGL_Sendouts,(CELL("COL",PGL_Deliveries!C9))))/1000</f>
        <v>185</v>
      </c>
      <c r="F37" s="41">
        <f ca="1">(VLOOKUP(F36,PGL_Sendouts,(CELL("COL",PGL_Deliveries!C10))))/1000</f>
        <v>200</v>
      </c>
      <c r="G37" s="41">
        <f ca="1">(VLOOKUP(G36,PGL_Sendouts,(CELL("COL",PGL_Deliveries!C10))))/1000</f>
        <v>215</v>
      </c>
      <c r="H37" s="14"/>
      <c r="I37" s="15"/>
    </row>
    <row r="38" spans="1:9" ht="15">
      <c r="A38" s="15" t="s">
        <v>298</v>
      </c>
      <c r="B38" s="41">
        <f>PGL_6_Day_Report!D30</f>
        <v>441.18500000000006</v>
      </c>
      <c r="C38" s="41">
        <f>PGL_6_Day_Report!E30</f>
        <v>469.96300000000002</v>
      </c>
      <c r="D38" s="41">
        <f>PGL_6_Day_Report!F30</f>
        <v>337.745</v>
      </c>
      <c r="E38" s="41">
        <f>PGL_6_Day_Report!G30</f>
        <v>322.745</v>
      </c>
      <c r="F38" s="41">
        <f>PGL_6_Day_Report!H30</f>
        <v>337.745</v>
      </c>
      <c r="G38" s="41">
        <f>PGL_6_Day_Report!I30</f>
        <v>352.745</v>
      </c>
      <c r="H38" s="14"/>
      <c r="I38" s="15"/>
    </row>
    <row r="39" spans="1:9" ht="15">
      <c r="A39" s="42" t="s">
        <v>107</v>
      </c>
      <c r="B39" s="41">
        <f>SUM(PGL_Supplies!Z7:AE7)/1000</f>
        <v>284.60199999999998</v>
      </c>
      <c r="C39" s="41">
        <f>SUM(PGL_Supplies!Z8:AE8)/1000</f>
        <v>204.32499999999999</v>
      </c>
      <c r="D39" s="41">
        <f>SUM(PGL_Supplies!Z9:AE9)/1000</f>
        <v>208.32499999999999</v>
      </c>
      <c r="E39" s="41">
        <f>SUM(PGL_Supplies!Z10:AE10)/1000</f>
        <v>208.32499999999999</v>
      </c>
      <c r="F39" s="41">
        <f>SUM(PGL_Supplies!Z11:AE11)/1000</f>
        <v>208.32499999999999</v>
      </c>
      <c r="G39" s="41">
        <f>SUM(PGL_Supplies!Z12:AE12)/1000</f>
        <v>208.32499999999999</v>
      </c>
      <c r="H39" s="14"/>
      <c r="I39" s="15"/>
    </row>
    <row r="40" spans="1:9" ht="15">
      <c r="A40" s="42" t="s">
        <v>299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300</v>
      </c>
      <c r="B41" s="41">
        <f>SUM(PGL_Requirements!R7:U7)/1000</f>
        <v>0.72</v>
      </c>
      <c r="C41" s="41">
        <f>SUM(PGL_Requirements!R7:U7)/1000</f>
        <v>0.72</v>
      </c>
      <c r="D41" s="41">
        <f>SUM(PGL_Requirements!R7:U7)/1000</f>
        <v>0.72</v>
      </c>
      <c r="E41" s="41">
        <f>SUM(PGL_Requirements!R7:U7)/1000</f>
        <v>0.72</v>
      </c>
      <c r="F41" s="41">
        <f>SUM(PGL_Requirements!R7:U7)/1000</f>
        <v>0.72</v>
      </c>
      <c r="G41" s="41">
        <f>SUM(PGL_Requirements!R7:U7)/1000</f>
        <v>0.72</v>
      </c>
      <c r="H41" s="14"/>
      <c r="I41" s="15"/>
    </row>
    <row r="42" spans="1:9" ht="15">
      <c r="A42" s="15" t="s">
        <v>130</v>
      </c>
      <c r="B42" s="41">
        <f>PGL_Supplies!V7/1000</f>
        <v>124.989</v>
      </c>
      <c r="C42" s="41">
        <f>PGL_Supplies!V8/1000</f>
        <v>119.514</v>
      </c>
      <c r="D42" s="41">
        <f>PGL_Supplies!V9/1000</f>
        <v>119.514</v>
      </c>
      <c r="E42" s="41">
        <f>PGL_Supplies!V10/1000</f>
        <v>119.514</v>
      </c>
      <c r="F42" s="41">
        <f>PGL_Supplies!V11/1000</f>
        <v>119.514</v>
      </c>
      <c r="G42" s="41">
        <f>PGL_Supplies!V12/1000</f>
        <v>119.514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82</v>
      </c>
      <c r="B44" s="91">
        <f t="shared" ref="B44:G44" si="0">B36</f>
        <v>37055</v>
      </c>
      <c r="C44" s="91">
        <f t="shared" si="0"/>
        <v>37056</v>
      </c>
      <c r="D44" s="91">
        <f t="shared" si="0"/>
        <v>37057</v>
      </c>
      <c r="E44" s="91">
        <f t="shared" si="0"/>
        <v>37058</v>
      </c>
      <c r="F44" s="91">
        <f t="shared" si="0"/>
        <v>37059</v>
      </c>
      <c r="G44" s="91">
        <f t="shared" si="0"/>
        <v>37060</v>
      </c>
      <c r="H44" s="14"/>
      <c r="I44" s="15"/>
    </row>
    <row r="45" spans="1:9" ht="15">
      <c r="A45" s="15" t="s">
        <v>55</v>
      </c>
      <c r="B45" s="41">
        <f ca="1">NSG_6_Day_Report!D6</f>
        <v>34.5</v>
      </c>
      <c r="C45" s="41">
        <f ca="1">NSG_6_Day_Report!E6</f>
        <v>35</v>
      </c>
      <c r="D45" s="41">
        <f ca="1">NSG_6_Day_Report!F6</f>
        <v>34</v>
      </c>
      <c r="E45" s="41">
        <f ca="1">NSG_6_Day_Report!G6</f>
        <v>32</v>
      </c>
      <c r="F45" s="41">
        <f ca="1">NSG_6_Day_Report!H6</f>
        <v>34</v>
      </c>
      <c r="G45" s="41">
        <f ca="1">NSG_6_Day_Report!I6</f>
        <v>36</v>
      </c>
      <c r="H45" s="14"/>
      <c r="I45" s="15"/>
    </row>
    <row r="46" spans="1:9" ht="15">
      <c r="A46" s="42" t="s">
        <v>298</v>
      </c>
      <c r="B46" s="41">
        <f ca="1">NSG_6_Day_Report!D19</f>
        <v>44.1</v>
      </c>
      <c r="C46" s="41">
        <f ca="1">NSG_6_Day_Report!E19</f>
        <v>37</v>
      </c>
      <c r="D46" s="41">
        <f ca="1">NSG_6_Day_Report!F19</f>
        <v>36</v>
      </c>
      <c r="E46" s="41">
        <f ca="1">NSG_6_Day_Report!G19</f>
        <v>34</v>
      </c>
      <c r="F46" s="41">
        <f ca="1">NSG_6_Day_Report!H19</f>
        <v>36</v>
      </c>
      <c r="G46" s="41">
        <f ca="1">NSG_6_Day_Report!I19</f>
        <v>38</v>
      </c>
      <c r="H46" s="14"/>
      <c r="I46" s="15"/>
    </row>
    <row r="47" spans="1:9" ht="15">
      <c r="A47" s="42" t="s">
        <v>107</v>
      </c>
      <c r="B47" s="41">
        <f>SUM(NSG_Supplies!P7:R7)/1000</f>
        <v>44.103999999999999</v>
      </c>
      <c r="C47" s="41">
        <f>SUM(NSG_Supplies!P8:R8)/1000</f>
        <v>43.904000000000003</v>
      </c>
      <c r="D47" s="41">
        <f>SUM(NSG_Supplies!P9:R9)/1000</f>
        <v>43.904000000000003</v>
      </c>
      <c r="E47" s="41">
        <f>SUM(NSG_Supplies!P10:R10)/1000</f>
        <v>43.904000000000003</v>
      </c>
      <c r="F47" s="41">
        <f>SUM(NSG_Supplies!P11:R11)/1000</f>
        <v>43.904000000000003</v>
      </c>
      <c r="G47" s="41">
        <f>SUM(NSG_Supplies!P12:R12)/1000</f>
        <v>43.904000000000003</v>
      </c>
      <c r="H47" s="14"/>
      <c r="I47" s="15"/>
    </row>
    <row r="48" spans="1:9" ht="15">
      <c r="A48" s="42" t="s">
        <v>299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300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130</v>
      </c>
      <c r="B50" s="41">
        <f>NSG_Supplies!S7/1000</f>
        <v>17.015000000000001</v>
      </c>
      <c r="C50" s="41">
        <f>NSG_Supplies!S8/1000</f>
        <v>16.815000000000001</v>
      </c>
      <c r="D50" s="41">
        <f>NSG_Supplies!S9/1000</f>
        <v>16.815000000000001</v>
      </c>
      <c r="E50" s="41">
        <f>NSG_Supplies!S10/1000</f>
        <v>16.815000000000001</v>
      </c>
      <c r="F50" s="41">
        <f>NSG_Supplies!S11/1000</f>
        <v>16.815000000000001</v>
      </c>
      <c r="G50" s="41">
        <f>NSG_Supplies!S12/1000</f>
        <v>16.815000000000001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301</v>
      </c>
      <c r="B52" s="91">
        <f t="shared" ref="B52:G52" si="1">B36</f>
        <v>37055</v>
      </c>
      <c r="C52" s="91">
        <f t="shared" si="1"/>
        <v>37056</v>
      </c>
      <c r="D52" s="91">
        <f t="shared" si="1"/>
        <v>37057</v>
      </c>
      <c r="E52" s="91">
        <f t="shared" si="1"/>
        <v>37058</v>
      </c>
      <c r="F52" s="91">
        <f t="shared" si="1"/>
        <v>37059</v>
      </c>
      <c r="G52" s="91">
        <f t="shared" si="1"/>
        <v>37060</v>
      </c>
      <c r="H52" s="14"/>
      <c r="I52" s="15"/>
    </row>
    <row r="53" spans="1:9" ht="15">
      <c r="A53" s="94" t="s">
        <v>302</v>
      </c>
      <c r="B53" s="41">
        <f>PGL_Requirements!P7/1000</f>
        <v>61</v>
      </c>
      <c r="C53" s="41">
        <f>PGL_Requirements!P8/1000</f>
        <v>135</v>
      </c>
      <c r="D53" s="41">
        <f>PGL_Requirements!P9/1000</f>
        <v>135</v>
      </c>
      <c r="E53" s="41">
        <f>PGL_Requirements!P10/1000</f>
        <v>135</v>
      </c>
      <c r="F53" s="41">
        <f>PGL_Requirements!P11/1000</f>
        <v>135</v>
      </c>
      <c r="G53" s="41">
        <f>PGL_Requirements!P12/1000</f>
        <v>135</v>
      </c>
      <c r="H53" s="14"/>
      <c r="I53" s="15"/>
    </row>
    <row r="54" spans="1:9" ht="15">
      <c r="A54" s="15" t="s">
        <v>303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053" t="s">
        <v>717</v>
      </c>
    </row>
    <row r="57" spans="1:9">
      <c r="A57" s="157" t="s">
        <v>304</v>
      </c>
    </row>
    <row r="58" spans="1:9">
      <c r="A58" s="157" t="s">
        <v>305</v>
      </c>
      <c r="G58" s="158"/>
    </row>
    <row r="59" spans="1:9">
      <c r="A59" s="157" t="s">
        <v>306</v>
      </c>
    </row>
    <row r="60" spans="1:9">
      <c r="A60" s="157" t="s">
        <v>307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8" t="s">
        <v>10</v>
      </c>
      <c r="B1" s="97"/>
      <c r="C1" s="97" t="s">
        <v>10</v>
      </c>
      <c r="D1" s="97"/>
      <c r="E1" s="97"/>
      <c r="F1" s="6"/>
    </row>
    <row r="2" spans="1:8" ht="15.75">
      <c r="A2" t="s">
        <v>10</v>
      </c>
      <c r="C2" s="96"/>
      <c r="D2" s="96"/>
      <c r="E2" s="96"/>
      <c r="F2" s="1081"/>
    </row>
    <row r="3" spans="1:8" ht="15.75" thickBot="1">
      <c r="A3" s="98" t="s">
        <v>308</v>
      </c>
    </row>
    <row r="4" spans="1:8">
      <c r="A4" s="99"/>
      <c r="B4" s="1082" t="str">
        <f>Six_Day_Summary!A10</f>
        <v>Thursday</v>
      </c>
      <c r="C4" s="1083" t="str">
        <f>Six_Day_Summary!A15</f>
        <v>Friday</v>
      </c>
      <c r="D4" s="1083" t="str">
        <f>Six_Day_Summary!A20</f>
        <v>Saturday</v>
      </c>
      <c r="E4" s="1083" t="str">
        <f>Six_Day_Summary!A25</f>
        <v>Sunday</v>
      </c>
      <c r="F4" s="1084" t="str">
        <f>Six_Day_Summary!A30</f>
        <v>Monday</v>
      </c>
      <c r="G4" s="100"/>
    </row>
    <row r="5" spans="1:8">
      <c r="A5" s="103" t="s">
        <v>309</v>
      </c>
      <c r="B5" s="1085">
        <f>Weather_Input!A6</f>
        <v>37056</v>
      </c>
      <c r="C5" s="1086">
        <f>Weather_Input!A7</f>
        <v>37057</v>
      </c>
      <c r="D5" s="1086">
        <f>Weather_Input!A8</f>
        <v>37058</v>
      </c>
      <c r="E5" s="1086">
        <f>Weather_Input!A9</f>
        <v>37059</v>
      </c>
      <c r="F5" s="1087">
        <f>Weather_Input!A10</f>
        <v>37060</v>
      </c>
      <c r="G5" s="100"/>
    </row>
    <row r="6" spans="1:8">
      <c r="A6" s="100" t="s">
        <v>310</v>
      </c>
      <c r="B6" s="1088">
        <f>PGL_Supplies!AC8/1000+PGL_Supplies!L8/1000-PGL_Requirements!O8/1000-PGL_Requirements!T8/1000+B8</f>
        <v>47.667000000000002</v>
      </c>
      <c r="C6" s="1088">
        <f>PGL_Supplies!AC9/1000+PGL_Supplies!L9/1000-PGL_Requirements!O9/1000+C15-PGL_Requirements!T9/1000</f>
        <v>51.667000000000002</v>
      </c>
      <c r="D6" s="1088">
        <f>PGL_Supplies!AC10/1000+PGL_Supplies!L10/1000-PGL_Requirements!O10/1000+D15-PGL_Requirements!T10/1000</f>
        <v>51.667000000000002</v>
      </c>
      <c r="E6" s="1088">
        <f>PGL_Supplies!AC11/1000+PGL_Supplies!L11/1000-PGL_Requirements!O11/1000+E15-PGL_Requirements!T11/1000</f>
        <v>51.667000000000002</v>
      </c>
      <c r="F6" s="1089">
        <f>PGL_Supplies!AC12/1000+PGL_Supplies!L12/1000-PGL_Requirements!O12/1000+F15-PGL_Requirements!T12/1000</f>
        <v>51.667000000000002</v>
      </c>
      <c r="G6" s="100"/>
      <c r="H6" t="s">
        <v>10</v>
      </c>
    </row>
    <row r="7" spans="1:8">
      <c r="A7" s="100" t="s">
        <v>311</v>
      </c>
      <c r="B7" s="1088">
        <f>PGL_Supplies!N8/1000</f>
        <v>0</v>
      </c>
      <c r="C7" s="1088">
        <f>PGL_Supplies!N9/1000</f>
        <v>0</v>
      </c>
      <c r="D7" s="1088">
        <f>PGL_Supplies!N10/1000</f>
        <v>0</v>
      </c>
      <c r="E7" s="1088">
        <f>PGL_Supplies!N11/1000</f>
        <v>0</v>
      </c>
      <c r="F7" s="1090">
        <f>PGL_Supplies!N12/1000</f>
        <v>0</v>
      </c>
      <c r="G7" s="100"/>
    </row>
    <row r="8" spans="1:8">
      <c r="A8" s="100" t="s">
        <v>312</v>
      </c>
      <c r="B8" s="1088">
        <f>PGL_Supplies!O8/1000</f>
        <v>0</v>
      </c>
      <c r="C8" s="1088">
        <f>PGL_Supplies!O9/1000</f>
        <v>0</v>
      </c>
      <c r="D8" s="1088">
        <f>PGL_Supplies!O10/1000</f>
        <v>0</v>
      </c>
      <c r="E8" s="1088">
        <f>PGL_Supplies!O11/1000</f>
        <v>0</v>
      </c>
      <c r="F8" s="1090">
        <f>PGL_Supplies!O12/1000</f>
        <v>0</v>
      </c>
      <c r="G8" s="100"/>
    </row>
    <row r="9" spans="1:8">
      <c r="A9" s="100" t="s">
        <v>313</v>
      </c>
      <c r="B9" s="1088">
        <v>0</v>
      </c>
      <c r="C9" s="1088">
        <v>0</v>
      </c>
      <c r="D9" s="1088">
        <v>0</v>
      </c>
      <c r="E9" s="1088">
        <v>0</v>
      </c>
      <c r="F9" s="1090">
        <v>0</v>
      </c>
      <c r="G9" s="100"/>
    </row>
    <row r="10" spans="1:8">
      <c r="A10" s="101"/>
      <c r="B10" s="1091"/>
      <c r="C10" s="1091"/>
      <c r="D10" s="1091"/>
      <c r="E10" s="1091"/>
      <c r="F10" s="1092"/>
      <c r="G10" s="100"/>
    </row>
    <row r="11" spans="1:8">
      <c r="A11" s="100" t="s">
        <v>314</v>
      </c>
      <c r="B11" s="1088">
        <v>0</v>
      </c>
      <c r="C11" s="1088">
        <v>0</v>
      </c>
      <c r="D11" s="1088">
        <v>0</v>
      </c>
      <c r="E11" s="1088">
        <v>0</v>
      </c>
      <c r="F11" s="1090">
        <v>0</v>
      </c>
      <c r="G11" s="100"/>
      <c r="H11" s="121" t="s">
        <v>10</v>
      </c>
    </row>
    <row r="12" spans="1:8">
      <c r="A12" s="100" t="s">
        <v>315</v>
      </c>
      <c r="B12" s="1088">
        <f>PGL_Requirements!S8/1000</f>
        <v>0</v>
      </c>
      <c r="C12" s="1088">
        <f>PGL_Requirements!S9/1000</f>
        <v>0</v>
      </c>
      <c r="D12" s="1088">
        <f>PGL_Requirements!S10/1000</f>
        <v>0</v>
      </c>
      <c r="E12" s="1088">
        <f>PGL_Requirements!S11/1000</f>
        <v>0</v>
      </c>
      <c r="F12" s="1090">
        <f>PGL_Requirements!S12/1000</f>
        <v>0</v>
      </c>
      <c r="G12" s="100"/>
    </row>
    <row r="13" spans="1:8">
      <c r="A13" s="100" t="s">
        <v>316</v>
      </c>
      <c r="B13" s="1088">
        <v>0</v>
      </c>
      <c r="C13" s="1088">
        <v>0</v>
      </c>
      <c r="D13" s="1088">
        <v>0</v>
      </c>
      <c r="E13" s="1088">
        <v>0</v>
      </c>
      <c r="F13" s="1090">
        <v>0</v>
      </c>
      <c r="G13" s="100"/>
    </row>
    <row r="14" spans="1:8">
      <c r="A14" s="100" t="s">
        <v>187</v>
      </c>
      <c r="B14" s="1088">
        <v>0</v>
      </c>
      <c r="C14" s="1094"/>
      <c r="D14" s="1094"/>
      <c r="E14" s="1094"/>
      <c r="F14" s="1090"/>
      <c r="G14" s="100"/>
    </row>
    <row r="15" spans="1:8">
      <c r="A15" s="100" t="s">
        <v>703</v>
      </c>
      <c r="B15" s="1093">
        <v>0</v>
      </c>
      <c r="C15" s="1093">
        <v>0</v>
      </c>
      <c r="D15" s="1093">
        <v>0</v>
      </c>
      <c r="E15" s="1093">
        <v>0</v>
      </c>
      <c r="F15" s="1124">
        <v>0</v>
      </c>
      <c r="G15" s="121"/>
    </row>
    <row r="16" spans="1:8">
      <c r="A16" s="100" t="s">
        <v>317</v>
      </c>
      <c r="B16" s="1093">
        <v>0</v>
      </c>
      <c r="C16" s="1094"/>
      <c r="D16" s="1094"/>
      <c r="E16" s="1094"/>
      <c r="F16" s="1090"/>
      <c r="G16" s="100"/>
    </row>
    <row r="17" spans="1:7" ht="15.75" thickBot="1">
      <c r="A17" s="102" t="s">
        <v>761</v>
      </c>
      <c r="B17" s="1095">
        <v>0</v>
      </c>
      <c r="C17" s="1096"/>
      <c r="D17" s="1096"/>
      <c r="E17" s="1096"/>
      <c r="F17" s="1097"/>
      <c r="G17" s="100"/>
    </row>
    <row r="20" spans="1:7" ht="15.75" thickBot="1">
      <c r="A20" s="106" t="s">
        <v>318</v>
      </c>
      <c r="B20" s="105"/>
      <c r="C20" s="105"/>
      <c r="D20" s="105"/>
      <c r="E20" s="105"/>
      <c r="F20" s="105"/>
    </row>
    <row r="21" spans="1:7">
      <c r="A21" s="99"/>
      <c r="B21" s="1098" t="str">
        <f t="shared" ref="B21:F22" si="0">B4</f>
        <v>Thursday</v>
      </c>
      <c r="C21" s="1098" t="str">
        <f t="shared" si="0"/>
        <v>Friday</v>
      </c>
      <c r="D21" s="1098" t="str">
        <f t="shared" si="0"/>
        <v>Saturday</v>
      </c>
      <c r="E21" s="1098" t="str">
        <f t="shared" si="0"/>
        <v>Sunday</v>
      </c>
      <c r="F21" s="1099" t="str">
        <f t="shared" si="0"/>
        <v>Monday</v>
      </c>
      <c r="G21" s="100"/>
    </row>
    <row r="22" spans="1:7">
      <c r="A22" s="107" t="s">
        <v>309</v>
      </c>
      <c r="B22" s="1100">
        <f t="shared" si="0"/>
        <v>37056</v>
      </c>
      <c r="C22" s="1100">
        <f t="shared" si="0"/>
        <v>37057</v>
      </c>
      <c r="D22" s="1100">
        <f t="shared" si="0"/>
        <v>37058</v>
      </c>
      <c r="E22" s="1100">
        <f t="shared" si="0"/>
        <v>37059</v>
      </c>
      <c r="F22" s="1101">
        <f t="shared" si="0"/>
        <v>37060</v>
      </c>
      <c r="G22" s="100"/>
    </row>
    <row r="23" spans="1:7">
      <c r="A23" s="100" t="s">
        <v>310</v>
      </c>
      <c r="B23" s="1094">
        <f>NSG_Supplies!R8/1000+NSG_Supplies!F8/1000-NSG_Requirements!H8/1000</f>
        <v>26.689</v>
      </c>
      <c r="C23" s="1094">
        <f>NSG_Supplies!R9/1000+NSG_Supplies!F9/1000-NSG_Requirements!H9/1000</f>
        <v>26.689</v>
      </c>
      <c r="D23" s="1094">
        <f>NSG_Supplies!R10/1000+NSG_Supplies!F10/1000-NSG_Requirements!H10/1000</f>
        <v>26.689</v>
      </c>
      <c r="E23" s="1094">
        <f>NSG_Supplies!R12/1000+NSG_Supplies!F11/1000-NSG_Requirements!H11/1000</f>
        <v>26.689</v>
      </c>
      <c r="F23" s="1089">
        <f>NSG_Supplies!R12/1000+NSG_Supplies!F12/1000-NSG_Requirements!H12/1000</f>
        <v>26.689</v>
      </c>
      <c r="G23" s="100"/>
    </row>
    <row r="24" spans="1:7">
      <c r="A24" s="100" t="s">
        <v>319</v>
      </c>
      <c r="B24" s="1094">
        <f>NSG_Supplies!H8/1000</f>
        <v>0</v>
      </c>
      <c r="C24" s="1094">
        <f>NSG_Supplies!H9/1000</f>
        <v>0</v>
      </c>
      <c r="D24" s="1094">
        <f>NSG_Supplies!H10/1000</f>
        <v>0</v>
      </c>
      <c r="E24" s="1094">
        <f>NSG_Supplies!H11/1000</f>
        <v>0</v>
      </c>
      <c r="F24" s="1090">
        <f>NSG_Supplies!H12/1000</f>
        <v>0</v>
      </c>
      <c r="G24" s="100"/>
    </row>
    <row r="25" spans="1:7">
      <c r="A25" s="100" t="s">
        <v>311</v>
      </c>
      <c r="B25" s="1094">
        <f>NSG_Supplies!I8/1000</f>
        <v>0</v>
      </c>
      <c r="C25" s="1094">
        <f>NSG_Supplies!I9/1000</f>
        <v>0</v>
      </c>
      <c r="D25" s="1094">
        <f>NSG_Supplies!I10/1000</f>
        <v>0</v>
      </c>
      <c r="E25" s="1094">
        <f>NSG_Supplies!I11/1000</f>
        <v>0</v>
      </c>
      <c r="F25" s="1090">
        <f>NSG_Supplies!I12/1000</f>
        <v>0</v>
      </c>
      <c r="G25" s="100"/>
    </row>
    <row r="26" spans="1:7">
      <c r="A26" s="104" t="s">
        <v>312</v>
      </c>
      <c r="B26" s="1094">
        <f>NSG_Supplies!J8/1000</f>
        <v>0</v>
      </c>
      <c r="C26" s="1094">
        <f>NSG_Supplies!J9/1000</f>
        <v>0</v>
      </c>
      <c r="D26" s="1094">
        <f>NSG_Supplies!J10/1000</f>
        <v>0</v>
      </c>
      <c r="E26" s="1094">
        <f>NSG_Supplies!J11/1000</f>
        <v>0</v>
      </c>
      <c r="F26" s="1090">
        <f>NSG_Supplies!J12/1000</f>
        <v>0</v>
      </c>
      <c r="G26" s="100"/>
    </row>
    <row r="27" spans="1:7">
      <c r="A27" s="100" t="s">
        <v>313</v>
      </c>
      <c r="B27" s="1094">
        <f>NSG_Supplies!K8/1000</f>
        <v>0</v>
      </c>
      <c r="C27" s="1094">
        <f>NSG_Supplies!K9/1000</f>
        <v>0</v>
      </c>
      <c r="D27" s="1094">
        <f>NSG_Supplies!K10/1000</f>
        <v>0</v>
      </c>
      <c r="E27" s="1094">
        <f>NSG_Supplies!K11/1000</f>
        <v>0</v>
      </c>
      <c r="F27" s="1090">
        <f>NSG_Supplies!K12/1000</f>
        <v>0</v>
      </c>
      <c r="G27" s="100"/>
    </row>
    <row r="28" spans="1:7">
      <c r="A28" s="100" t="s">
        <v>320</v>
      </c>
      <c r="B28" s="1094" t="s">
        <v>10</v>
      </c>
      <c r="C28" s="1094"/>
      <c r="D28" s="1094"/>
      <c r="E28" s="1094"/>
      <c r="F28" s="1090"/>
      <c r="G28" s="100"/>
    </row>
    <row r="29" spans="1:7">
      <c r="A29" s="101"/>
      <c r="B29" s="1091"/>
      <c r="C29" s="1091"/>
      <c r="D29" s="1091"/>
      <c r="E29" s="1091"/>
      <c r="F29" s="1092"/>
      <c r="G29" s="100"/>
    </row>
    <row r="30" spans="1:7">
      <c r="A30" s="100" t="s">
        <v>314</v>
      </c>
      <c r="B30" s="1094">
        <f>NSG_Requirements!P8/1000</f>
        <v>0</v>
      </c>
      <c r="C30" s="1094">
        <f>NSG_Requirements!P9/1000</f>
        <v>0</v>
      </c>
      <c r="D30" s="1094">
        <f>NSG_Requirements!P10/1000</f>
        <v>0</v>
      </c>
      <c r="E30" s="1094">
        <f>NSG_Requirements!P11/1000</f>
        <v>0</v>
      </c>
      <c r="F30" s="1090">
        <f>NSG_Supplies!K12/1000</f>
        <v>0</v>
      </c>
      <c r="G30" s="100"/>
    </row>
    <row r="31" spans="1:7">
      <c r="A31" s="100" t="s">
        <v>315</v>
      </c>
      <c r="B31" s="1094">
        <f>NSG_Requirements!R8/1000</f>
        <v>0</v>
      </c>
      <c r="C31" s="1094">
        <f>NSG_Requirements!R9/1000</f>
        <v>0</v>
      </c>
      <c r="D31" s="1094">
        <f>NSG_Requirements!R10/1000</f>
        <v>0</v>
      </c>
      <c r="E31" s="1094">
        <f>NSG_Requirements!R11/1000</f>
        <v>0</v>
      </c>
      <c r="F31" s="1090">
        <f>NSG_Supplies!M12/1000</f>
        <v>0</v>
      </c>
      <c r="G31" s="100"/>
    </row>
    <row r="32" spans="1:7">
      <c r="A32" s="100" t="s">
        <v>316</v>
      </c>
      <c r="B32" s="1094">
        <f>NSG_Requirements!Q8/1000</f>
        <v>0</v>
      </c>
      <c r="C32" s="1094">
        <f>NSG_Requirements!Q9/1000</f>
        <v>0</v>
      </c>
      <c r="D32" s="1094">
        <f>NSG_Requirements!Q10/1000</f>
        <v>0</v>
      </c>
      <c r="E32" s="1094">
        <f>NSG_Requirements!Q11/1000</f>
        <v>0</v>
      </c>
      <c r="F32" s="1090">
        <f>NSG_Requirements!Q12/1000</f>
        <v>0</v>
      </c>
      <c r="G32" s="100"/>
    </row>
    <row r="33" spans="1:7" ht="15.75" thickBot="1">
      <c r="A33" s="102" t="s">
        <v>321</v>
      </c>
      <c r="B33" s="1096">
        <f>NSG_Requirements!L8/1000</f>
        <v>0</v>
      </c>
      <c r="C33" s="1096">
        <f>NSG_Requirements!L9/1000</f>
        <v>0</v>
      </c>
      <c r="D33" s="1096">
        <f>NSG_Requirements!L10/1000</f>
        <v>0</v>
      </c>
      <c r="E33" s="1096">
        <f>NSG_Requirements!L11/1000</f>
        <v>0</v>
      </c>
      <c r="F33" s="1097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3"/>
      <c r="B1" s="802" t="s">
        <v>379</v>
      </c>
      <c r="C1" s="901">
        <f>Weather_Input!A6</f>
        <v>37056</v>
      </c>
      <c r="D1" s="902" t="s">
        <v>370</v>
      </c>
      <c r="E1" s="803"/>
      <c r="F1" s="1030"/>
      <c r="G1" s="428"/>
      <c r="H1" s="428"/>
      <c r="I1" s="1031"/>
    </row>
    <row r="2" spans="1:11" ht="15.75" customHeight="1" thickBot="1">
      <c r="A2" s="431"/>
      <c r="B2" s="1028" t="s">
        <v>635</v>
      </c>
      <c r="E2" s="160"/>
      <c r="I2" s="160"/>
    </row>
    <row r="3" spans="1:11" ht="15.75" customHeight="1" thickTop="1">
      <c r="B3" s="171" t="s">
        <v>107</v>
      </c>
      <c r="C3" s="896">
        <f>NSG_Supplies!Q8/1000</f>
        <v>15.215</v>
      </c>
      <c r="E3" s="160"/>
      <c r="F3" s="783" t="s">
        <v>164</v>
      </c>
      <c r="G3" s="782"/>
      <c r="H3" s="797" t="s">
        <v>563</v>
      </c>
      <c r="I3" s="796" t="s">
        <v>562</v>
      </c>
    </row>
    <row r="4" spans="1:11" ht="15.75" customHeight="1" thickBot="1">
      <c r="A4" t="s">
        <v>10</v>
      </c>
      <c r="B4" s="100" t="s">
        <v>636</v>
      </c>
      <c r="C4" s="1078">
        <f>NSG_Supplies!E8/1000</f>
        <v>0</v>
      </c>
      <c r="D4" s="134">
        <f>NSG_Requirements!J8/1000</f>
        <v>0</v>
      </c>
      <c r="E4" s="795"/>
      <c r="F4" s="171" t="s">
        <v>542</v>
      </c>
      <c r="G4" s="60"/>
      <c r="H4" s="153">
        <f>PGL_Requirements!P8/1000</f>
        <v>135</v>
      </c>
      <c r="I4" s="175">
        <f>AVERAGE(H4/1.025)</f>
        <v>131.70731707317074</v>
      </c>
      <c r="J4" t="s">
        <v>10</v>
      </c>
    </row>
    <row r="5" spans="1:11" ht="15.75" customHeight="1" thickTop="1" thickBot="1">
      <c r="B5" s="435" t="s">
        <v>637</v>
      </c>
      <c r="C5" s="446">
        <f>C3+C4-D4</f>
        <v>15.215</v>
      </c>
      <c r="D5" s="436"/>
      <c r="E5" s="438">
        <f>AVERAGE(C5/24)</f>
        <v>0.63395833333333329</v>
      </c>
      <c r="F5" s="169" t="s">
        <v>446</v>
      </c>
      <c r="G5" s="209">
        <f>PGL_Supplies!M8/1000</f>
        <v>0</v>
      </c>
      <c r="H5" s="167"/>
      <c r="I5" s="989">
        <f>AVERAGE(G5/1.025)</f>
        <v>0</v>
      </c>
      <c r="K5" t="s">
        <v>10</v>
      </c>
    </row>
    <row r="6" spans="1:11" ht="15.75" customHeight="1" thickTop="1" thickBot="1">
      <c r="B6" s="899" t="s">
        <v>390</v>
      </c>
      <c r="C6" s="900"/>
      <c r="D6" s="121"/>
      <c r="E6" s="794"/>
      <c r="F6" t="s">
        <v>756</v>
      </c>
      <c r="G6" s="900">
        <f>AVERAGE(H4/24)</f>
        <v>5.625</v>
      </c>
      <c r="H6" s="428"/>
      <c r="I6" s="1031"/>
    </row>
    <row r="7" spans="1:11" ht="15.75" customHeight="1">
      <c r="B7" s="171" t="s">
        <v>371</v>
      </c>
      <c r="C7" s="153">
        <f>NSG_Supplies!L8/1000</f>
        <v>0</v>
      </c>
      <c r="D7" s="60"/>
      <c r="E7" s="448"/>
      <c r="F7" s="1028" t="s">
        <v>616</v>
      </c>
      <c r="G7" s="1029"/>
      <c r="H7" s="60"/>
      <c r="I7" s="160"/>
    </row>
    <row r="8" spans="1:11" ht="15.75" customHeight="1">
      <c r="B8" s="171" t="s">
        <v>523</v>
      </c>
      <c r="C8" s="153">
        <f>PGL_Requirements!V8/1000</f>
        <v>0</v>
      </c>
      <c r="D8" s="60"/>
      <c r="E8" s="448"/>
      <c r="F8" s="171" t="s">
        <v>615</v>
      </c>
      <c r="G8" s="153">
        <f>PGL_Supplies!T8/1000</f>
        <v>50</v>
      </c>
      <c r="H8" s="60"/>
      <c r="I8" s="160"/>
    </row>
    <row r="9" spans="1:11" ht="15.75" customHeight="1" thickBot="1">
      <c r="B9" s="171" t="s">
        <v>747</v>
      </c>
      <c r="C9" s="153">
        <f>NSG_Requirements!B8/1000</f>
        <v>0</v>
      </c>
      <c r="D9" s="60"/>
      <c r="E9" s="448"/>
      <c r="F9" s="1" t="s">
        <v>700</v>
      </c>
      <c r="G9" s="153">
        <f>PGL_Supplies!U8/1000</f>
        <v>0</v>
      </c>
      <c r="I9" s="160"/>
    </row>
    <row r="10" spans="1:11" ht="15.75" customHeight="1" thickTop="1" thickBot="1">
      <c r="B10" s="435" t="s">
        <v>547</v>
      </c>
      <c r="C10" s="446">
        <f>C7+C8-C9</f>
        <v>0</v>
      </c>
      <c r="D10" s="436"/>
      <c r="E10" s="438">
        <f>AVERAGE(C10/24)</f>
        <v>0</v>
      </c>
      <c r="F10" s="171" t="s">
        <v>443</v>
      </c>
      <c r="G10" s="153">
        <f>PGL_Supplies!AB8/1000</f>
        <v>152.458</v>
      </c>
      <c r="H10" s="153" t="s">
        <v>10</v>
      </c>
      <c r="I10" s="160"/>
    </row>
    <row r="11" spans="1:11" ht="15.75" customHeight="1" thickTop="1">
      <c r="A11" t="s">
        <v>10</v>
      </c>
      <c r="B11" s="1070" t="s">
        <v>730</v>
      </c>
      <c r="C11" s="153">
        <f>PGL_Supplies!Y8/1000</f>
        <v>98.6</v>
      </c>
      <c r="D11" s="782"/>
      <c r="E11" s="1071"/>
      <c r="F11" s="433" t="s">
        <v>376</v>
      </c>
      <c r="G11" s="445">
        <f>G8+G10</f>
        <v>202.458</v>
      </c>
      <c r="H11" s="432"/>
      <c r="I11" s="434"/>
    </row>
    <row r="12" spans="1:11" ht="15.75" customHeight="1">
      <c r="B12" s="247" t="s">
        <v>760</v>
      </c>
      <c r="C12" s="153">
        <v>0</v>
      </c>
      <c r="D12" s="121"/>
      <c r="E12" s="160"/>
      <c r="F12" s="172" t="s">
        <v>526</v>
      </c>
      <c r="G12" s="153">
        <f>PGL_Supplies!E8/1000</f>
        <v>0</v>
      </c>
      <c r="H12" s="60"/>
      <c r="I12" s="448"/>
    </row>
    <row r="13" spans="1:11" ht="15.75" customHeight="1" thickBot="1">
      <c r="B13" s="247" t="s">
        <v>731</v>
      </c>
      <c r="C13" s="121"/>
      <c r="D13" s="153">
        <f>PGL_Requirements!J8/1000</f>
        <v>0</v>
      </c>
      <c r="E13" s="160"/>
      <c r="F13" s="172" t="s">
        <v>527</v>
      </c>
      <c r="G13" s="60"/>
      <c r="H13" s="153">
        <f>PGL_Requirements!E8/1000</f>
        <v>0</v>
      </c>
      <c r="I13" s="160"/>
    </row>
    <row r="14" spans="1:11" ht="15.75" customHeight="1" thickTop="1" thickBot="1">
      <c r="B14" s="1072" t="s">
        <v>738</v>
      </c>
      <c r="C14" s="446">
        <f>C11-C12</f>
        <v>98.6</v>
      </c>
      <c r="D14" s="436"/>
      <c r="E14" s="438">
        <f>AVERAGE(C14/24)</f>
        <v>4.1083333333333334</v>
      </c>
      <c r="F14" s="776" t="s">
        <v>545</v>
      </c>
      <c r="G14" s="446">
        <v>0</v>
      </c>
      <c r="H14" s="436"/>
      <c r="I14" s="438">
        <f>AVERAGE(G14/24)</f>
        <v>0</v>
      </c>
    </row>
    <row r="15" spans="1:11" ht="15.75" customHeight="1" thickTop="1" thickBot="1">
      <c r="B15" s="171" t="s">
        <v>736</v>
      </c>
      <c r="C15" s="153">
        <f>PGL_Supplies!Z8/1000</f>
        <v>0.2</v>
      </c>
      <c r="D15" s="60"/>
      <c r="E15" s="160"/>
      <c r="F15" s="776" t="s">
        <v>554</v>
      </c>
      <c r="G15" s="445">
        <f>SUM(G11)-G16-G17</f>
        <v>48.421999999999997</v>
      </c>
      <c r="H15" s="436" t="s">
        <v>10</v>
      </c>
      <c r="I15" s="438">
        <f>AVERAGE(G15/24)</f>
        <v>2.0175833333333331</v>
      </c>
    </row>
    <row r="16" spans="1:11" ht="15.75" customHeight="1" thickTop="1" thickBot="1">
      <c r="B16" s="171" t="s">
        <v>696</v>
      </c>
      <c r="C16" s="153">
        <f>PGL_Supplies!R8/1000</f>
        <v>0</v>
      </c>
      <c r="D16" s="153">
        <f>PGL_Requirements!U8/1000</f>
        <v>0</v>
      </c>
      <c r="E16" s="160"/>
      <c r="F16" s="776" t="s">
        <v>559</v>
      </c>
      <c r="G16" s="446">
        <f>PGL_Requirements!H8/1000</f>
        <v>154.036</v>
      </c>
      <c r="H16" s="446" t="s">
        <v>10</v>
      </c>
      <c r="I16" s="438">
        <f>AVERAGE(G16/24)</f>
        <v>6.418166666666667</v>
      </c>
    </row>
    <row r="17" spans="1:9" ht="15.75" customHeight="1" thickTop="1" thickBot="1">
      <c r="B17" s="433" t="s">
        <v>376</v>
      </c>
      <c r="C17" s="445">
        <f>SUM(C15:C16)-SUM(D15:D16)</f>
        <v>0.2</v>
      </c>
      <c r="D17" s="432"/>
      <c r="E17" s="434"/>
      <c r="F17" s="1040" t="s">
        <v>701</v>
      </c>
      <c r="G17" s="1121">
        <v>0</v>
      </c>
      <c r="H17" s="1039"/>
      <c r="I17" s="1122">
        <f>AVERAGE(G17/24)</f>
        <v>0</v>
      </c>
    </row>
    <row r="18" spans="1:9" ht="15.75" customHeight="1">
      <c r="B18" s="171" t="s">
        <v>372</v>
      </c>
      <c r="C18" s="153">
        <f>PGL_Supplies!C8/1000</f>
        <v>0</v>
      </c>
      <c r="D18" s="60"/>
      <c r="E18" s="160"/>
      <c r="F18" s="1038" t="s">
        <v>543</v>
      </c>
      <c r="G18" s="60" t="s">
        <v>10</v>
      </c>
      <c r="H18" s="60"/>
      <c r="I18" s="160"/>
    </row>
    <row r="19" spans="1:9" ht="15.75" customHeight="1" thickBot="1">
      <c r="B19" s="171" t="s">
        <v>373</v>
      </c>
      <c r="C19" s="60"/>
      <c r="D19" s="153">
        <f>PGL_Requirements!C8/1000</f>
        <v>0.2</v>
      </c>
      <c r="E19" s="160"/>
      <c r="F19" s="169" t="s">
        <v>544</v>
      </c>
      <c r="G19" s="167"/>
      <c r="H19" s="209">
        <v>0</v>
      </c>
      <c r="I19" s="441"/>
    </row>
    <row r="20" spans="1:9" ht="15.75" customHeight="1" thickTop="1" thickBot="1">
      <c r="B20" s="435" t="s">
        <v>549</v>
      </c>
      <c r="C20" s="446">
        <f>C17+C18-D19</f>
        <v>0</v>
      </c>
      <c r="D20" s="439" t="s">
        <v>10</v>
      </c>
      <c r="E20" s="438">
        <f>AVERAGE(C20/24)</f>
        <v>0</v>
      </c>
      <c r="F20" s="437" t="s">
        <v>181</v>
      </c>
      <c r="G20" s="60">
        <v>0</v>
      </c>
      <c r="H20" s="153" t="s">
        <v>10</v>
      </c>
      <c r="I20" s="160"/>
    </row>
    <row r="21" spans="1:9" ht="15.75" customHeight="1" thickTop="1">
      <c r="B21" s="171" t="s">
        <v>737</v>
      </c>
      <c r="C21" s="153">
        <f>PGL_Supplies!AA8/1000</f>
        <v>0</v>
      </c>
      <c r="D21" s="153" t="s">
        <v>10</v>
      </c>
      <c r="E21" s="160"/>
      <c r="F21" s="171" t="s">
        <v>107</v>
      </c>
      <c r="G21" s="153">
        <f>PGL_Supplies!AD8/1000</f>
        <v>4</v>
      </c>
      <c r="H21" s="153" t="s">
        <v>10</v>
      </c>
      <c r="I21" s="160"/>
    </row>
    <row r="22" spans="1:9" ht="15.75" customHeight="1">
      <c r="B22" s="433" t="s">
        <v>376</v>
      </c>
      <c r="C22" s="445">
        <f>SUM(C21:C21)-SUM(D21)</f>
        <v>0</v>
      </c>
      <c r="D22" s="432"/>
      <c r="E22" s="434"/>
      <c r="F22" s="433" t="s">
        <v>376</v>
      </c>
      <c r="G22" s="445">
        <f>G21</f>
        <v>4</v>
      </c>
      <c r="H22" s="432"/>
      <c r="I22" s="434"/>
    </row>
    <row r="23" spans="1:9" ht="15.75" customHeight="1">
      <c r="B23" s="171" t="s">
        <v>374</v>
      </c>
      <c r="C23" s="153">
        <f>PGL_Supplies!D8/1000</f>
        <v>0</v>
      </c>
      <c r="D23" s="60"/>
      <c r="E23" s="160"/>
      <c r="F23" s="171" t="s">
        <v>377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375</v>
      </c>
      <c r="C24" s="60">
        <v>0</v>
      </c>
      <c r="D24" s="153">
        <f>PGL_Requirements!D8/1000</f>
        <v>0</v>
      </c>
      <c r="E24" s="160"/>
      <c r="F24" s="171" t="s">
        <v>378</v>
      </c>
      <c r="G24" s="60"/>
      <c r="H24" s="153">
        <f>PGL_Requirements!F8/1000</f>
        <v>0</v>
      </c>
      <c r="I24" s="160"/>
    </row>
    <row r="25" spans="1:9" ht="15.75" customHeight="1" thickTop="1" thickBot="1">
      <c r="B25" s="435" t="s">
        <v>548</v>
      </c>
      <c r="C25" s="446">
        <f>C22+C23-D24</f>
        <v>0</v>
      </c>
      <c r="D25" s="436"/>
      <c r="E25" s="438">
        <f>AVERAGE(C25/24)</f>
        <v>0</v>
      </c>
      <c r="F25" s="549" t="s">
        <v>546</v>
      </c>
      <c r="G25" s="897">
        <f>G22+G23-H24+G20</f>
        <v>4</v>
      </c>
      <c r="H25" s="428"/>
      <c r="I25" s="898">
        <f>AVERAGE(G25/24)</f>
        <v>0.16666666666666666</v>
      </c>
    </row>
    <row r="26" spans="1:9" ht="15.75" customHeight="1" thickTop="1">
      <c r="B26" t="s">
        <v>698</v>
      </c>
    </row>
    <row r="27" spans="1:9" ht="15.75" customHeight="1">
      <c r="B27" t="s">
        <v>697</v>
      </c>
    </row>
    <row r="28" spans="1:9" ht="15.75" customHeight="1">
      <c r="A28" t="s">
        <v>10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638</v>
      </c>
    </row>
    <row r="54" spans="1:1">
      <c r="A54" t="s">
        <v>10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96" customWidth="1"/>
    <col min="2" max="2" width="8.109375" style="996" customWidth="1"/>
    <col min="3" max="3" width="7.88671875" style="996" customWidth="1"/>
    <col min="4" max="4" width="5.88671875" style="996" customWidth="1"/>
    <col min="5" max="5" width="4.44140625" style="996" customWidth="1"/>
    <col min="6" max="6" width="5.21875" style="996" customWidth="1"/>
    <col min="7" max="7" width="9" style="996" customWidth="1"/>
    <col min="8" max="11" width="8.88671875" style="996"/>
    <col min="12" max="12" width="14.88671875" style="996" customWidth="1"/>
    <col min="13" max="13" width="5.6640625" style="996" customWidth="1"/>
    <col min="14" max="16384" width="8.88671875" style="996"/>
  </cols>
  <sheetData>
    <row r="1" spans="1:22" ht="22.5">
      <c r="A1" s="931"/>
      <c r="B1" s="927"/>
      <c r="C1" s="938" t="s">
        <v>642</v>
      </c>
      <c r="D1" s="935"/>
      <c r="E1" s="935" t="s">
        <v>643</v>
      </c>
      <c r="F1" s="935"/>
      <c r="G1" s="994" t="s">
        <v>322</v>
      </c>
      <c r="H1" s="995">
        <f>Weather_Input!A6</f>
        <v>37056</v>
      </c>
      <c r="I1" s="924"/>
      <c r="J1" s="926"/>
      <c r="K1" s="926"/>
    </row>
    <row r="2" spans="1:22" ht="16.5" customHeight="1">
      <c r="A2" s="944" t="s">
        <v>670</v>
      </c>
      <c r="C2" s="997">
        <v>358</v>
      </c>
      <c r="F2" s="998">
        <v>360</v>
      </c>
      <c r="H2" s="926"/>
      <c r="I2" s="924" t="s">
        <v>672</v>
      </c>
      <c r="J2" s="946">
        <f>NSG_Supplies!Q8/1000</f>
        <v>15.215</v>
      </c>
    </row>
    <row r="3" spans="1:22" ht="16.5" customHeight="1">
      <c r="A3" s="999">
        <f>PGL_Supplies!J8/1000</f>
        <v>0</v>
      </c>
      <c r="C3" s="996" t="s">
        <v>10</v>
      </c>
      <c r="G3" s="924"/>
      <c r="H3" s="926"/>
    </row>
    <row r="4" spans="1:22" ht="16.5" customHeight="1">
      <c r="A4" s="934" t="s">
        <v>644</v>
      </c>
      <c r="G4" s="952"/>
      <c r="H4" s="926"/>
      <c r="I4" s="924"/>
      <c r="J4" s="924" t="s">
        <v>668</v>
      </c>
      <c r="K4" s="946">
        <f>Billy_Sheet!C5</f>
        <v>15.215</v>
      </c>
      <c r="N4" s="946"/>
    </row>
    <row r="5" spans="1:22" ht="16.5" customHeight="1">
      <c r="A5" s="1000">
        <f>PGL_Supplies!K7/1000</f>
        <v>0</v>
      </c>
      <c r="B5" s="1001"/>
      <c r="G5" s="927"/>
      <c r="H5" s="946"/>
      <c r="U5" s="926"/>
      <c r="V5" s="926"/>
    </row>
    <row r="6" spans="1:22" ht="16.5" customHeight="1">
      <c r="A6" s="933" t="s">
        <v>640</v>
      </c>
      <c r="G6" s="927"/>
      <c r="H6" s="946"/>
      <c r="U6" s="926"/>
      <c r="V6" s="946"/>
    </row>
    <row r="7" spans="1:22" ht="18.75" customHeight="1">
      <c r="A7" s="946">
        <f>Billy_Sheet!G14</f>
        <v>0</v>
      </c>
      <c r="G7" s="927"/>
      <c r="H7" s="925"/>
      <c r="U7" s="926"/>
      <c r="V7" s="925"/>
    </row>
    <row r="8" spans="1:22" ht="14.45" customHeight="1">
      <c r="A8" s="924" t="s">
        <v>73</v>
      </c>
      <c r="G8" s="927"/>
      <c r="H8" s="924" t="s">
        <v>176</v>
      </c>
      <c r="I8" s="924"/>
      <c r="K8" s="924"/>
      <c r="L8" s="924"/>
      <c r="N8" s="924"/>
      <c r="O8" s="924"/>
      <c r="U8" s="926"/>
      <c r="V8" s="946"/>
    </row>
    <row r="9" spans="1:22" ht="14.45" customHeight="1">
      <c r="A9" s="946">
        <f>PGL_Supplies!I8/1000</f>
        <v>15</v>
      </c>
      <c r="H9" s="946">
        <v>0</v>
      </c>
      <c r="I9" s="1002"/>
      <c r="K9" s="924" t="s">
        <v>674</v>
      </c>
      <c r="L9" s="946">
        <f>NSG_Deliveries!C6/1000</f>
        <v>35</v>
      </c>
      <c r="N9" s="924"/>
      <c r="O9" s="946"/>
      <c r="U9" s="926"/>
      <c r="V9" s="946"/>
    </row>
    <row r="10" spans="1:22" ht="18" customHeight="1">
      <c r="A10" s="924" t="s">
        <v>67</v>
      </c>
      <c r="H10" s="953" t="s">
        <v>673</v>
      </c>
      <c r="U10" s="926"/>
      <c r="V10" s="946"/>
    </row>
    <row r="11" spans="1:22" ht="14.45" customHeight="1">
      <c r="A11" s="946">
        <f>Billy_Sheet!C20</f>
        <v>0</v>
      </c>
      <c r="B11" s="1002"/>
      <c r="H11" s="946">
        <f>NSG_Supplies!U8/1000</f>
        <v>0</v>
      </c>
      <c r="K11" s="927" t="s">
        <v>675</v>
      </c>
      <c r="L11" s="952">
        <f>SUM(K4+K17+K19+H11+H9-L9)</f>
        <v>6.9039999999999964</v>
      </c>
      <c r="N11" s="927"/>
      <c r="O11" s="952"/>
      <c r="U11" s="926"/>
      <c r="V11" s="940"/>
    </row>
    <row r="12" spans="1:22" ht="14.45" customHeight="1">
      <c r="A12" s="924" t="s">
        <v>727</v>
      </c>
      <c r="H12" s="946"/>
      <c r="U12" s="926"/>
      <c r="V12" s="946"/>
    </row>
    <row r="13" spans="1:22" ht="14.45" customHeight="1">
      <c r="A13" s="1000">
        <f>PGL_Supplies!Y8/1000</f>
        <v>98.6</v>
      </c>
      <c r="H13" s="946"/>
      <c r="U13" s="926"/>
      <c r="V13" s="946"/>
    </row>
    <row r="14" spans="1:22" ht="14.45" customHeight="1">
      <c r="H14" s="946"/>
      <c r="U14" s="926"/>
      <c r="V14" s="946"/>
    </row>
    <row r="15" spans="1:22" ht="15.6" customHeight="1">
      <c r="B15" s="996" t="s">
        <v>10</v>
      </c>
      <c r="C15" s="1003">
        <v>365</v>
      </c>
      <c r="F15" s="1003">
        <v>365</v>
      </c>
      <c r="H15" s="952"/>
      <c r="U15" s="936"/>
      <c r="V15" s="952"/>
    </row>
    <row r="16" spans="1:22" ht="42.75" customHeight="1">
      <c r="A16" s="937"/>
      <c r="B16" s="952"/>
      <c r="C16" s="1004"/>
      <c r="D16" s="1005"/>
      <c r="E16" s="1005"/>
      <c r="F16" s="1004"/>
    </row>
    <row r="17" spans="1:17" ht="38.25" customHeight="1">
      <c r="B17" s="1005"/>
      <c r="C17" s="1005"/>
      <c r="D17" s="1006"/>
      <c r="E17" s="1005"/>
      <c r="F17" s="1005"/>
      <c r="G17" s="1005"/>
      <c r="J17" s="924" t="s">
        <v>324</v>
      </c>
      <c r="K17" s="946">
        <f>NSG_Supplies!L8/1000</f>
        <v>0</v>
      </c>
      <c r="N17" s="946"/>
    </row>
    <row r="18" spans="1:17" ht="15" customHeight="1">
      <c r="A18" s="932"/>
      <c r="C18" s="1003">
        <v>593</v>
      </c>
      <c r="D18" s="1005"/>
      <c r="E18" s="1005"/>
      <c r="F18" s="998">
        <v>777</v>
      </c>
    </row>
    <row r="19" spans="1:17">
      <c r="A19" s="933" t="s">
        <v>641</v>
      </c>
      <c r="C19" s="996" t="s">
        <v>10</v>
      </c>
      <c r="J19" s="924" t="s">
        <v>669</v>
      </c>
      <c r="K19" s="946">
        <f>NSG_Supplies!R8/1000+NSG_Supplies!F8/1000-NSG_Requirements!H8/1000</f>
        <v>26.689</v>
      </c>
      <c r="N19" s="1008"/>
    </row>
    <row r="20" spans="1:17" ht="17.25" customHeight="1">
      <c r="A20" s="946">
        <f>Billy_Sheet!G15</f>
        <v>48.421999999999997</v>
      </c>
      <c r="G20" s="431"/>
      <c r="J20" s="924"/>
    </row>
    <row r="21" spans="1:17" ht="11.25" customHeight="1">
      <c r="G21" s="925"/>
      <c r="H21" s="925"/>
      <c r="I21" s="927"/>
      <c r="J21" s="952"/>
    </row>
    <row r="22" spans="1:17">
      <c r="A22" s="926" t="s">
        <v>179</v>
      </c>
      <c r="G22" s="924"/>
      <c r="I22" s="927"/>
      <c r="J22" s="924"/>
      <c r="M22" s="927"/>
      <c r="N22" s="952"/>
    </row>
    <row r="23" spans="1:17">
      <c r="A23" s="946">
        <f>Billy_Sheet!C25</f>
        <v>0</v>
      </c>
      <c r="G23" s="924" t="s">
        <v>739</v>
      </c>
      <c r="H23" s="926"/>
      <c r="I23" s="927"/>
      <c r="J23" s="952"/>
      <c r="M23" s="924"/>
      <c r="N23" s="952"/>
      <c r="Q23" s="1009"/>
    </row>
    <row r="24" spans="1:17" ht="9" customHeight="1">
      <c r="G24" s="946">
        <f>PGL_Requirements!K7/1000</f>
        <v>43.1</v>
      </c>
      <c r="H24" s="927"/>
      <c r="I24" s="927"/>
      <c r="J24" s="927"/>
    </row>
    <row r="25" spans="1:17" ht="10.5" customHeight="1">
      <c r="A25" s="926" t="s">
        <v>181</v>
      </c>
      <c r="B25" s="926"/>
      <c r="C25" s="926"/>
      <c r="D25" s="926"/>
      <c r="F25" s="926"/>
      <c r="G25" s="924" t="s">
        <v>677</v>
      </c>
      <c r="H25" s="927"/>
      <c r="I25" s="927"/>
      <c r="J25" s="927"/>
    </row>
    <row r="26" spans="1:17" ht="14.25" customHeight="1">
      <c r="A26" s="946">
        <f>Billy_Sheet!G25</f>
        <v>4</v>
      </c>
      <c r="B26" s="926"/>
      <c r="C26" s="927"/>
      <c r="D26" s="927"/>
      <c r="F26" s="927"/>
      <c r="G26" s="1007">
        <v>0</v>
      </c>
      <c r="H26" s="927"/>
      <c r="I26" s="927"/>
      <c r="J26" s="927" t="s">
        <v>564</v>
      </c>
      <c r="K26" s="1010">
        <f>PGL_Deliveries!C6/1000</f>
        <v>210</v>
      </c>
      <c r="L26" s="924" t="s">
        <v>674</v>
      </c>
      <c r="M26" s="946">
        <f>NSG_Deliveries!C6/1000</f>
        <v>35</v>
      </c>
      <c r="N26" s="946"/>
    </row>
    <row r="27" spans="1:17" ht="8.25" customHeight="1">
      <c r="A27" s="927"/>
      <c r="B27" s="948"/>
      <c r="C27" s="927"/>
      <c r="D27" s="927"/>
      <c r="F27" s="927"/>
      <c r="G27" s="927"/>
      <c r="H27" s="928"/>
      <c r="I27" s="927"/>
      <c r="J27" s="928"/>
    </row>
    <row r="28" spans="1:17" ht="12.75" customHeight="1">
      <c r="A28" s="935" t="s">
        <v>645</v>
      </c>
      <c r="B28" s="946"/>
      <c r="C28" s="926"/>
      <c r="D28" s="927"/>
      <c r="F28" s="924"/>
      <c r="G28" s="936" t="s">
        <v>650</v>
      </c>
      <c r="H28" s="431"/>
      <c r="J28" s="927" t="s">
        <v>676</v>
      </c>
      <c r="K28" s="952">
        <f>SUM(A42)</f>
        <v>-122.01400000000001</v>
      </c>
      <c r="L28" s="927" t="s">
        <v>719</v>
      </c>
      <c r="M28" s="952">
        <f>SUM(J2+K17+K19+H11+H9-M26)</f>
        <v>6.9039999999999964</v>
      </c>
      <c r="N28" s="952"/>
    </row>
    <row r="29" spans="1:17">
      <c r="A29" s="946">
        <f>PGL_Supplies!M8/1000</f>
        <v>0</v>
      </c>
      <c r="B29" s="946"/>
      <c r="C29" s="927"/>
      <c r="D29" s="1011"/>
      <c r="F29" s="1056">
        <f>PGL_Requirements!A7</f>
        <v>37055</v>
      </c>
      <c r="G29" s="946">
        <f>PGL_Requirements!H7/1000</f>
        <v>133.6</v>
      </c>
      <c r="H29" s="925"/>
      <c r="J29" s="927" t="s">
        <v>678</v>
      </c>
      <c r="K29" s="946">
        <f>PGL_Supplies!AC8/1000+PGL_Supplies!L8/1000-PGL_Requirements!O8/1000</f>
        <v>47.667000000000002</v>
      </c>
    </row>
    <row r="30" spans="1:17" ht="10.5" customHeight="1">
      <c r="A30" s="929"/>
      <c r="B30" s="946"/>
      <c r="C30" s="927"/>
      <c r="D30" s="946"/>
      <c r="F30" s="1056">
        <f>PGL_Requirements!A8</f>
        <v>37056</v>
      </c>
      <c r="G30" s="946">
        <f>PGL_Requirements!H8/1000</f>
        <v>154.036</v>
      </c>
    </row>
    <row r="31" spans="1:17" ht="17.25" customHeight="1">
      <c r="A31" s="935" t="s">
        <v>647</v>
      </c>
      <c r="B31" s="1012"/>
      <c r="C31" s="930"/>
      <c r="D31" s="952"/>
      <c r="G31" s="936" t="s">
        <v>648</v>
      </c>
      <c r="H31" s="952"/>
      <c r="J31" s="927" t="s">
        <v>675</v>
      </c>
      <c r="K31" s="952">
        <f>SUM(K28+K29-K26)</f>
        <v>-284.34699999999998</v>
      </c>
    </row>
    <row r="32" spans="1:17">
      <c r="A32" s="946">
        <f>PGL_Supplies!H8/1000</f>
        <v>1</v>
      </c>
      <c r="G32" s="946">
        <f>PGL_Requirements!P8/1000</f>
        <v>135</v>
      </c>
    </row>
    <row r="33" spans="1:11" ht="6.75" customHeight="1"/>
    <row r="34" spans="1:11">
      <c r="A34" s="924" t="s">
        <v>646</v>
      </c>
      <c r="G34" s="927" t="s">
        <v>649</v>
      </c>
    </row>
    <row r="35" spans="1:11">
      <c r="A35" s="1007">
        <v>0</v>
      </c>
      <c r="G35" s="946">
        <f>PGL_Requirements!B8/1000</f>
        <v>0</v>
      </c>
    </row>
    <row r="36" spans="1:11">
      <c r="G36" s="946"/>
    </row>
    <row r="37" spans="1:11">
      <c r="C37" s="924" t="s">
        <v>652</v>
      </c>
      <c r="F37" s="924" t="s">
        <v>653</v>
      </c>
      <c r="G37" s="946"/>
    </row>
    <row r="38" spans="1:11">
      <c r="C38" s="1003">
        <v>596</v>
      </c>
      <c r="F38" s="1003">
        <v>754</v>
      </c>
    </row>
    <row r="39" spans="1:11">
      <c r="A39" s="944" t="s">
        <v>718</v>
      </c>
      <c r="E39" s="926" t="s">
        <v>651</v>
      </c>
      <c r="F39" s="926"/>
    </row>
    <row r="40" spans="1:11">
      <c r="A40" s="952">
        <f>SUM(A3:A35)</f>
        <v>167.02199999999999</v>
      </c>
      <c r="B40" s="940"/>
      <c r="C40" s="939"/>
      <c r="D40" s="940"/>
      <c r="E40" s="940"/>
      <c r="F40" s="1013"/>
      <c r="G40" s="1013">
        <f>SUM(G30:G35)</f>
        <v>289.036</v>
      </c>
      <c r="H40" s="942"/>
      <c r="I40" s="941"/>
    </row>
    <row r="41" spans="1:11">
      <c r="A41" s="943" t="s">
        <v>667</v>
      </c>
      <c r="B41" s="946"/>
      <c r="C41" s="940"/>
      <c r="D41" s="940"/>
      <c r="E41" s="940"/>
      <c r="F41" s="940"/>
      <c r="G41" s="940"/>
      <c r="H41" s="940"/>
      <c r="I41" s="939"/>
    </row>
    <row r="42" spans="1:11">
      <c r="A42" s="946">
        <f>SUM(A40-G40)</f>
        <v>-122.01400000000001</v>
      </c>
      <c r="B42" s="946"/>
      <c r="C42" s="940"/>
      <c r="D42" s="940"/>
      <c r="E42" s="940"/>
      <c r="F42" s="949"/>
      <c r="G42" s="951" t="s">
        <v>671</v>
      </c>
      <c r="H42" s="1014"/>
      <c r="I42" s="1015"/>
      <c r="J42" s="1014"/>
      <c r="K42" s="1005"/>
    </row>
    <row r="43" spans="1:11" ht="14.25" customHeight="1">
      <c r="A43" s="946"/>
      <c r="B43" s="946"/>
      <c r="C43" s="946"/>
      <c r="D43" s="946"/>
      <c r="E43" s="949"/>
      <c r="F43" s="948" t="s">
        <v>666</v>
      </c>
      <c r="G43" s="949" t="s">
        <v>665</v>
      </c>
      <c r="I43" s="946"/>
    </row>
    <row r="44" spans="1:11" ht="12.75" customHeight="1">
      <c r="A44" s="943" t="s">
        <v>654</v>
      </c>
      <c r="B44" s="946" t="s">
        <v>659</v>
      </c>
      <c r="C44" s="946" t="s">
        <v>660</v>
      </c>
      <c r="D44" s="946" t="s">
        <v>661</v>
      </c>
      <c r="E44" s="947"/>
      <c r="F44" s="947" t="s">
        <v>662</v>
      </c>
      <c r="G44" s="940" t="s">
        <v>664</v>
      </c>
      <c r="H44" s="926" t="s">
        <v>663</v>
      </c>
      <c r="I44" s="946"/>
      <c r="K44" s="926"/>
    </row>
    <row r="45" spans="1:11">
      <c r="A45" s="943" t="s">
        <v>658</v>
      </c>
      <c r="B45" s="1016">
        <v>250</v>
      </c>
      <c r="C45" s="1016">
        <v>410</v>
      </c>
      <c r="D45" s="1017">
        <f>SUM(F2+F15)/2</f>
        <v>362.5</v>
      </c>
      <c r="E45" s="1018"/>
      <c r="F45" s="1019">
        <v>6.7000000000000004E-2</v>
      </c>
      <c r="G45" s="1020">
        <f>(C45-D45)*F45</f>
        <v>3.1825000000000001</v>
      </c>
      <c r="H45" s="1020">
        <f>(D45-B45)*F45</f>
        <v>7.5375000000000005</v>
      </c>
      <c r="I45" s="946"/>
      <c r="J45" s="1021"/>
    </row>
    <row r="46" spans="1:11">
      <c r="A46" s="926" t="s">
        <v>655</v>
      </c>
      <c r="B46" s="1022">
        <v>797</v>
      </c>
      <c r="C46" s="1016">
        <v>797</v>
      </c>
      <c r="D46" s="1017">
        <v>797</v>
      </c>
      <c r="E46" s="1018"/>
      <c r="F46" s="1019">
        <v>0.13900000000000001</v>
      </c>
      <c r="G46" s="1020">
        <f>(C46-D46)*F46</f>
        <v>0</v>
      </c>
      <c r="H46" s="1020">
        <f>(D46-B46)*F46</f>
        <v>0</v>
      </c>
      <c r="I46" s="946"/>
    </row>
    <row r="47" spans="1:11">
      <c r="A47" s="926" t="s">
        <v>656</v>
      </c>
      <c r="B47" s="1022">
        <v>250</v>
      </c>
      <c r="C47" s="1016">
        <v>410</v>
      </c>
      <c r="D47" s="1017">
        <f>SUM(C2+C15)/2</f>
        <v>361.5</v>
      </c>
      <c r="E47" s="1018"/>
      <c r="F47" s="1019">
        <v>0.14099999999999999</v>
      </c>
      <c r="G47" s="1020">
        <f>(C47-D47)*F47</f>
        <v>6.8384999999999989</v>
      </c>
      <c r="H47" s="1020">
        <f>(D47-B47)*F47</f>
        <v>15.721499999999999</v>
      </c>
      <c r="I47" s="946"/>
    </row>
    <row r="48" spans="1:11">
      <c r="A48" s="926" t="s">
        <v>657</v>
      </c>
      <c r="B48" s="1022">
        <v>285</v>
      </c>
      <c r="C48" s="1016">
        <v>750</v>
      </c>
      <c r="D48" s="1017">
        <f>SUM(C18+C38)/2</f>
        <v>594.5</v>
      </c>
      <c r="E48" s="1018"/>
      <c r="F48" s="1019">
        <v>0.161</v>
      </c>
      <c r="G48" s="1020">
        <f>(C48-D48)*F48</f>
        <v>25.035499999999999</v>
      </c>
      <c r="H48" s="1020">
        <f>(D48-B48)*F48</f>
        <v>49.829500000000003</v>
      </c>
    </row>
    <row r="49" spans="1:8">
      <c r="B49" s="1002"/>
      <c r="C49" s="1002"/>
      <c r="D49" s="1002"/>
      <c r="E49" s="1002"/>
      <c r="F49" s="950" t="s">
        <v>357</v>
      </c>
      <c r="G49" s="1020">
        <f>SUM(G45:G48)</f>
        <v>35.0565</v>
      </c>
      <c r="H49" s="1020">
        <f>SUM(H45:H48)</f>
        <v>73.08850000000001</v>
      </c>
    </row>
    <row r="55" spans="1:8">
      <c r="A55" s="1023"/>
      <c r="G55" s="1023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12</v>
      </c>
      <c r="AH1" s="15" t="s">
        <v>13</v>
      </c>
    </row>
    <row r="2" spans="1:34">
      <c r="E2" s="87" t="s">
        <v>14</v>
      </c>
      <c r="F2" s="87" t="s">
        <v>14</v>
      </c>
      <c r="G2" s="87" t="s">
        <v>14</v>
      </c>
      <c r="H2" s="87"/>
      <c r="L2" s="87"/>
      <c r="AH2" s="15" t="s">
        <v>15</v>
      </c>
    </row>
    <row r="3" spans="1:34">
      <c r="B3" s="87"/>
      <c r="C3" s="87"/>
      <c r="D3" s="87" t="s">
        <v>16</v>
      </c>
      <c r="E3" s="87" t="s">
        <v>16</v>
      </c>
      <c r="F3" s="87" t="s">
        <v>17</v>
      </c>
      <c r="G3" s="87" t="s">
        <v>18</v>
      </c>
      <c r="H3" s="87" t="s">
        <v>19</v>
      </c>
      <c r="L3" s="87" t="s">
        <v>20</v>
      </c>
      <c r="AH3" s="15" t="s">
        <v>21</v>
      </c>
    </row>
    <row r="4" spans="1:34">
      <c r="A4" s="16"/>
      <c r="B4" s="87" t="s">
        <v>22</v>
      </c>
      <c r="C4" s="87" t="s">
        <v>23</v>
      </c>
      <c r="D4" s="87" t="s">
        <v>24</v>
      </c>
      <c r="E4" s="87" t="s">
        <v>25</v>
      </c>
      <c r="F4" s="87" t="s">
        <v>26</v>
      </c>
      <c r="G4" s="87" t="s">
        <v>19</v>
      </c>
      <c r="H4" s="87" t="s">
        <v>27</v>
      </c>
      <c r="I4" s="149" t="s">
        <v>28</v>
      </c>
      <c r="J4" s="87" t="s">
        <v>29</v>
      </c>
      <c r="K4" s="87" t="s">
        <v>30</v>
      </c>
      <c r="L4" s="87" t="s">
        <v>31</v>
      </c>
      <c r="AH4" s="15" t="s">
        <v>32</v>
      </c>
    </row>
    <row r="5" spans="1:34" ht="16.5" customHeight="1">
      <c r="A5" s="88">
        <v>37055</v>
      </c>
      <c r="B5" s="11">
        <v>91</v>
      </c>
      <c r="C5" s="49">
        <v>73</v>
      </c>
      <c r="D5" s="49">
        <v>12</v>
      </c>
      <c r="E5" s="11" t="s">
        <v>808</v>
      </c>
      <c r="F5" s="11" t="s">
        <v>10</v>
      </c>
      <c r="G5" s="11"/>
      <c r="H5" s="11" t="s">
        <v>10</v>
      </c>
      <c r="I5" s="903" t="s">
        <v>812</v>
      </c>
      <c r="J5" s="903" t="s">
        <v>810</v>
      </c>
      <c r="K5" s="11">
        <v>3</v>
      </c>
      <c r="L5" s="11">
        <v>1</v>
      </c>
      <c r="N5" s="15" t="str">
        <f>I5&amp;" "&amp;I5</f>
        <v xml:space="preserve">  MOSTLY SUNNY HOT AND HUMID. HIGH IN THE LOWER 90S.  WIND S 10 TO 20  MPH.   MOSTLY SUNNY HOT AND HUMID. HIGH IN THE LOWER 90S.  WIND S 10 TO 20  MPH.</v>
      </c>
      <c r="AE5" s="15">
        <v>1</v>
      </c>
      <c r="AH5" s="15" t="s">
        <v>33</v>
      </c>
    </row>
    <row r="6" spans="1:34" ht="16.5" customHeight="1">
      <c r="A6" s="88">
        <f>A5+1</f>
        <v>37056</v>
      </c>
      <c r="B6" s="11">
        <v>92</v>
      </c>
      <c r="C6" s="49">
        <v>66</v>
      </c>
      <c r="D6" s="49">
        <v>14</v>
      </c>
      <c r="E6" s="11" t="s">
        <v>10</v>
      </c>
      <c r="F6" s="11" t="s">
        <v>10</v>
      </c>
      <c r="G6" s="11"/>
      <c r="H6" s="11" t="s">
        <v>10</v>
      </c>
      <c r="I6" s="903" t="s">
        <v>809</v>
      </c>
      <c r="J6" s="903" t="s">
        <v>811</v>
      </c>
      <c r="K6" s="11">
        <v>1</v>
      </c>
      <c r="L6" s="11" t="s">
        <v>617</v>
      </c>
      <c r="N6" s="15" t="str">
        <f>I6&amp;" "&amp;J6</f>
        <v xml:space="preserve">  PARTLY  SUNNY,    HIGH NEAR 90.       THUR. NIGHT CHANCE OF T-STORM.</v>
      </c>
      <c r="AE6" s="15">
        <v>1</v>
      </c>
      <c r="AH6" s="15" t="s">
        <v>34</v>
      </c>
    </row>
    <row r="7" spans="1:34" ht="16.5" customHeight="1">
      <c r="A7" s="88">
        <f>A6+1</f>
        <v>37057</v>
      </c>
      <c r="B7" s="11">
        <v>80</v>
      </c>
      <c r="C7" s="49">
        <v>58</v>
      </c>
      <c r="D7" s="49">
        <v>12</v>
      </c>
      <c r="E7" s="11" t="s">
        <v>10</v>
      </c>
      <c r="F7" s="11" t="s">
        <v>10</v>
      </c>
      <c r="G7" s="11"/>
      <c r="H7" s="11" t="s">
        <v>10</v>
      </c>
      <c r="I7" s="903" t="s">
        <v>813</v>
      </c>
      <c r="J7" s="903" t="s">
        <v>10</v>
      </c>
      <c r="K7" s="11">
        <v>3</v>
      </c>
      <c r="L7" s="11" t="s">
        <v>21</v>
      </c>
      <c r="N7" s="15" t="str">
        <f>I7&amp;" "&amp;J7</f>
        <v xml:space="preserve">  CHANCE  OF  A.M.  SHOWERS AND T-STORMS.  </v>
      </c>
    </row>
    <row r="8" spans="1:34" ht="16.5" customHeight="1">
      <c r="A8" s="88">
        <f>A7+1</f>
        <v>37058</v>
      </c>
      <c r="B8" s="11">
        <v>79</v>
      </c>
      <c r="C8" s="49">
        <v>58</v>
      </c>
      <c r="D8" s="49">
        <v>8</v>
      </c>
      <c r="E8" s="11" t="s">
        <v>10</v>
      </c>
      <c r="F8" s="11" t="s">
        <v>10</v>
      </c>
      <c r="G8" s="11"/>
      <c r="H8" s="11" t="s">
        <v>10</v>
      </c>
      <c r="I8" s="903" t="s">
        <v>814</v>
      </c>
      <c r="J8" s="903" t="s">
        <v>10</v>
      </c>
      <c r="K8" s="11">
        <v>6</v>
      </c>
      <c r="L8" s="11"/>
      <c r="N8" s="15" t="str">
        <f>I8&amp;" "&amp;J8</f>
        <v xml:space="preserve">  PARTLY CLOUDY   </v>
      </c>
    </row>
    <row r="9" spans="1:34" ht="16.5" customHeight="1">
      <c r="A9" s="88">
        <f>A8+1</f>
        <v>37059</v>
      </c>
      <c r="B9" s="11">
        <v>80</v>
      </c>
      <c r="C9" s="49">
        <v>62</v>
      </c>
      <c r="D9" s="49">
        <v>8</v>
      </c>
      <c r="E9" s="11" t="s">
        <v>10</v>
      </c>
      <c r="F9" s="11" t="s">
        <v>10</v>
      </c>
      <c r="G9" s="11"/>
      <c r="H9" s="11" t="s">
        <v>10</v>
      </c>
      <c r="I9" s="903" t="s">
        <v>814</v>
      </c>
      <c r="J9" s="903" t="s">
        <v>10</v>
      </c>
      <c r="K9" s="11">
        <v>3</v>
      </c>
      <c r="L9" s="11">
        <v>0</v>
      </c>
      <c r="M9" s="89"/>
      <c r="N9" s="15" t="str">
        <f>I9&amp;" "&amp;J9</f>
        <v xml:space="preserve">  PARTLY CLOUDY   </v>
      </c>
    </row>
    <row r="10" spans="1:34" ht="16.5" customHeight="1">
      <c r="A10" s="88">
        <f>A9+1</f>
        <v>37060</v>
      </c>
      <c r="B10" s="11">
        <v>80</v>
      </c>
      <c r="C10" s="49">
        <v>62</v>
      </c>
      <c r="D10" s="49">
        <v>8</v>
      </c>
      <c r="E10" s="11" t="s">
        <v>10</v>
      </c>
      <c r="F10" s="11" t="s">
        <v>10</v>
      </c>
      <c r="G10" s="11"/>
      <c r="H10" s="11" t="s">
        <v>10</v>
      </c>
      <c r="I10" s="903" t="s">
        <v>814</v>
      </c>
      <c r="J10" s="903" t="s">
        <v>10</v>
      </c>
      <c r="K10" s="11">
        <v>3</v>
      </c>
      <c r="L10" s="11" t="s">
        <v>412</v>
      </c>
      <c r="N10" s="15" t="str">
        <f>I10&amp;" "&amp;J10</f>
        <v xml:space="preserve">  PARTLY CLOUDY   </v>
      </c>
    </row>
    <row r="11" spans="1:34" ht="16.5" customHeight="1">
      <c r="G11"/>
    </row>
    <row r="12" spans="1:34" ht="15.75">
      <c r="E12" s="85"/>
      <c r="F12" s="85"/>
      <c r="G12" s="462"/>
      <c r="H12" s="85"/>
      <c r="I12" s="85"/>
      <c r="J12" s="85"/>
    </row>
    <row r="13" spans="1:34" ht="15">
      <c r="E13" s="85"/>
      <c r="F13" s="85"/>
      <c r="G13" s="480" t="s">
        <v>10</v>
      </c>
      <c r="H13" s="85"/>
      <c r="I13" s="85"/>
      <c r="J13" s="85"/>
    </row>
    <row r="14" spans="1:34" ht="15">
      <c r="E14" s="85"/>
      <c r="F14" s="85"/>
      <c r="G14" s="463"/>
      <c r="H14" s="85"/>
      <c r="I14" s="85"/>
      <c r="J14" s="85"/>
    </row>
    <row r="15" spans="1:34">
      <c r="E15" s="85"/>
      <c r="F15" s="85"/>
      <c r="G15" s="479" t="s">
        <v>10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10</v>
      </c>
      <c r="H1"/>
      <c r="I1"/>
      <c r="J1"/>
      <c r="K1"/>
      <c r="L1"/>
      <c r="M1"/>
    </row>
    <row r="2" spans="1:13" ht="16.5" thickBot="1">
      <c r="A2" s="123" t="s">
        <v>564</v>
      </c>
      <c r="B2" s="185">
        <f>PGL_Deliveries!U5/1000</f>
        <v>4.2709999999999999</v>
      </c>
      <c r="C2" s="60"/>
      <c r="D2" s="120" t="s">
        <v>322</v>
      </c>
      <c r="E2" s="424">
        <f>Weather_Input!A5</f>
        <v>37055</v>
      </c>
      <c r="F2" s="60"/>
      <c r="H2"/>
      <c r="I2"/>
      <c r="J2"/>
      <c r="K2"/>
      <c r="L2"/>
      <c r="M2"/>
    </row>
    <row r="3" spans="1:13" ht="15">
      <c r="A3" s="99" t="s">
        <v>565</v>
      </c>
      <c r="B3" s="630">
        <f>PGL_Supplies!J7/1000</f>
        <v>0</v>
      </c>
      <c r="C3" s="184"/>
      <c r="D3" s="1069" t="s">
        <v>748</v>
      </c>
      <c r="E3" s="800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1"/>
      <c r="E4" s="167"/>
      <c r="F4" s="166"/>
      <c r="H4"/>
      <c r="I4"/>
      <c r="J4"/>
      <c r="K4"/>
      <c r="L4"/>
      <c r="M4"/>
    </row>
    <row r="5" spans="1:13" ht="15">
      <c r="A5" s="182" t="s">
        <v>568</v>
      </c>
      <c r="B5" s="153">
        <f>PGL_Deliveries!D5/1000</f>
        <v>0</v>
      </c>
      <c r="C5" s="64"/>
      <c r="D5" s="59" t="s">
        <v>566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75" thickBot="1">
      <c r="A6" s="181" t="s">
        <v>252</v>
      </c>
      <c r="B6" s="153">
        <f>PGL_Deliveries!I5/1000</f>
        <v>0</v>
      </c>
      <c r="C6" s="168"/>
      <c r="D6" s="59" t="s">
        <v>567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5" thickBot="1">
      <c r="A7" s="180" t="s">
        <v>570</v>
      </c>
      <c r="B7" s="226">
        <f>SUM(B5:B6)</f>
        <v>0</v>
      </c>
      <c r="C7" s="168"/>
      <c r="D7" s="117" t="s">
        <v>206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2" t="s">
        <v>727</v>
      </c>
      <c r="B8" s="153">
        <f>PGL_Deliveries!V5/1000</f>
        <v>106.087</v>
      </c>
      <c r="C8" s="629"/>
      <c r="D8" s="117" t="s">
        <v>569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67</v>
      </c>
      <c r="B9" s="153">
        <f>PGL_Deliveries!W5/1000</f>
        <v>0</v>
      </c>
      <c r="C9" s="64"/>
      <c r="D9" s="117" t="s">
        <v>209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179</v>
      </c>
      <c r="B10" s="153">
        <f>PGL_Deliveries!X5/1000</f>
        <v>0</v>
      </c>
      <c r="C10" s="64"/>
      <c r="D10" s="117" t="s">
        <v>211</v>
      </c>
      <c r="E10" s="153">
        <f>PGL_Deliveries!S5/1000</f>
        <v>4.2709999999999999</v>
      </c>
      <c r="F10" s="170"/>
      <c r="H10"/>
      <c r="I10"/>
      <c r="J10"/>
      <c r="K10"/>
      <c r="L10"/>
      <c r="M10"/>
    </row>
    <row r="11" spans="1:13" ht="15">
      <c r="A11" s="172" t="s">
        <v>73</v>
      </c>
      <c r="B11" s="153">
        <f>(PGL_Deliveries!AJ5+PGL_Deliveries!AK5)/1000</f>
        <v>21.039000000000001</v>
      </c>
      <c r="C11" s="64"/>
      <c r="D11" s="117" t="s">
        <v>571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572</v>
      </c>
      <c r="B12" s="153">
        <f>PGL_Supplies!K7/1000</f>
        <v>0</v>
      </c>
      <c r="C12" s="64"/>
      <c r="D12" s="117" t="s">
        <v>215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573</v>
      </c>
      <c r="B13" s="153">
        <f>PGL_Deliveries!Y5/1000+PGL_Deliveries!Z5/1000+PGL_Deliveries!AA5/1000-PGL_Deliveries!BE5/1000-PGL_Deliveries!BF5/1000</f>
        <v>182.69</v>
      </c>
      <c r="C13" s="64"/>
      <c r="D13" s="117" t="s">
        <v>217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181</v>
      </c>
      <c r="B14" s="153">
        <f>PGL_Deliveries!AD5/1000</f>
        <v>0</v>
      </c>
      <c r="C14" s="64"/>
      <c r="D14" s="117" t="s">
        <v>218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182</v>
      </c>
      <c r="B15" s="153">
        <f>PGL_Deliveries!AH5/1000+PGL_Deliveries!AX5/1000+PGL_Deliveries!AT5/1000-PGL_Deliveries!AS5/1000-PGL_Deliveries!AU5/1000+PGL_Deliveries!AE5/1000+PGL_Deliveries!AF5/1000-PGL_Deliveries!AV5/1000</f>
        <v>-148.14400000000001</v>
      </c>
      <c r="C15" s="64"/>
      <c r="D15" s="59" t="s">
        <v>400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574</v>
      </c>
      <c r="B16" s="60"/>
      <c r="C16" s="224">
        <f>PGL_Deliveries!AO5/1000</f>
        <v>4.907</v>
      </c>
      <c r="D16" s="117" t="s">
        <v>221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75" thickBot="1">
      <c r="A17" s="169" t="s">
        <v>184</v>
      </c>
      <c r="B17" s="153">
        <f>PGL_Deliveries!AP5/1000</f>
        <v>0</v>
      </c>
      <c r="C17" s="168" t="s">
        <v>10</v>
      </c>
      <c r="D17" s="1103" t="s">
        <v>220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5" thickBot="1">
      <c r="A18" s="179" t="s">
        <v>575</v>
      </c>
      <c r="B18" s="897">
        <f>SUM(B8:B17)-C16</f>
        <v>156.76500000000001</v>
      </c>
      <c r="C18" s="168"/>
      <c r="D18" s="178" t="s">
        <v>576</v>
      </c>
      <c r="E18" s="177">
        <f>SUM(E5:E17)</f>
        <v>4.2709999999999999</v>
      </c>
      <c r="F18" s="166"/>
      <c r="H18"/>
      <c r="I18"/>
      <c r="J18"/>
      <c r="K18"/>
      <c r="L18"/>
      <c r="M18"/>
    </row>
    <row r="19" spans="1:13" ht="15">
      <c r="A19" s="442" t="s">
        <v>730</v>
      </c>
      <c r="B19" s="153">
        <f>PGL_Supplies!Y7/1000</f>
        <v>92.887</v>
      </c>
      <c r="C19" s="629"/>
      <c r="D19" s="117" t="s">
        <v>317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728</v>
      </c>
      <c r="B20" s="153">
        <f>PGL_Supplies!X7/1000</f>
        <v>0.2</v>
      </c>
      <c r="C20" s="64"/>
      <c r="D20" s="117" t="s">
        <v>187</v>
      </c>
      <c r="E20" s="153">
        <f>PGL_Deliveries!AW5/1000+B41</f>
        <v>2.2244999999999999</v>
      </c>
      <c r="F20" s="170"/>
      <c r="H20"/>
      <c r="I20"/>
      <c r="J20"/>
      <c r="K20"/>
      <c r="L20"/>
      <c r="M20"/>
    </row>
    <row r="21" spans="1:13" ht="16.5" thickBot="1">
      <c r="A21" s="171" t="s">
        <v>731</v>
      </c>
      <c r="C21" s="175">
        <f>PGL_Requirements!J7/1000</f>
        <v>0</v>
      </c>
      <c r="D21" s="628" t="s">
        <v>577</v>
      </c>
      <c r="E21" s="210">
        <f>SUM(E18:E20)</f>
        <v>6.4954999999999998</v>
      </c>
      <c r="F21" s="176"/>
      <c r="H21"/>
      <c r="I21"/>
      <c r="J21"/>
      <c r="K21"/>
      <c r="L21"/>
      <c r="M21"/>
    </row>
    <row r="22" spans="1:13" ht="15">
      <c r="A22" s="174" t="s">
        <v>357</v>
      </c>
      <c r="B22" s="1075">
        <f>+B19+B20-C21</f>
        <v>93.087000000000003</v>
      </c>
      <c r="C22" s="1068"/>
      <c r="D22" s="249" t="s">
        <v>578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225</v>
      </c>
      <c r="B23" s="153">
        <f>PGL_Supplies!Z7/1000</f>
        <v>0.2</v>
      </c>
      <c r="C23" s="64"/>
      <c r="D23" s="249" t="s">
        <v>579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741</v>
      </c>
      <c r="B24" s="631"/>
      <c r="C24" s="224">
        <f>PGL_Requirements!U7/1000</f>
        <v>0</v>
      </c>
      <c r="D24" s="60" t="s">
        <v>580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740</v>
      </c>
      <c r="B25" s="153">
        <f>PGL_Supplies!R7/1000</f>
        <v>0</v>
      </c>
      <c r="C25" s="64"/>
      <c r="D25" s="249" t="s">
        <v>582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231</v>
      </c>
      <c r="B26" s="68" t="s">
        <v>10</v>
      </c>
      <c r="C26" s="482" t="s">
        <v>10</v>
      </c>
      <c r="D26" s="60" t="s">
        <v>584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581</v>
      </c>
      <c r="B27" s="153">
        <f>PGL_Supplies!AA7/1000</f>
        <v>7</v>
      </c>
      <c r="C27" s="64"/>
      <c r="D27" s="60" t="s">
        <v>190</v>
      </c>
      <c r="E27" s="60" t="s">
        <v>10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583</v>
      </c>
      <c r="B28" s="153">
        <v>0</v>
      </c>
      <c r="C28" s="64"/>
      <c r="D28" s="249" t="s">
        <v>586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585</v>
      </c>
      <c r="B29" s="68"/>
      <c r="C29" s="482">
        <f>PGL_Requirements!J12/1000</f>
        <v>0</v>
      </c>
      <c r="D29" s="632" t="s">
        <v>194</v>
      </c>
      <c r="E29" s="233" t="s">
        <v>10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587</v>
      </c>
      <c r="B30" s="1032">
        <f>PGL_Supplies!AD7/1000</f>
        <v>4</v>
      </c>
      <c r="C30" s="64"/>
      <c r="D30" s="632" t="s">
        <v>589</v>
      </c>
      <c r="E30" s="60" t="s">
        <v>10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588</v>
      </c>
      <c r="B31" s="153">
        <f>PGL_Supplies!AE7/1000</f>
        <v>0</v>
      </c>
      <c r="C31" s="64"/>
      <c r="D31" s="249" t="s">
        <v>590</v>
      </c>
      <c r="E31" s="60" t="s">
        <v>10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8</v>
      </c>
      <c r="B32" s="60"/>
      <c r="C32" s="224">
        <v>0</v>
      </c>
      <c r="D32" s="173" t="s">
        <v>591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7</v>
      </c>
      <c r="B33" s="153">
        <f>PGL_Supplies!Q7/1000</f>
        <v>0</v>
      </c>
      <c r="C33" s="64"/>
      <c r="D33" s="249" t="s">
        <v>715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592</v>
      </c>
      <c r="B34" s="633">
        <f>(PGL_Deliveries!AB5+PGL_Deliveries!AC5+PGL_Deliveries!AD5)/1000</f>
        <v>0</v>
      </c>
      <c r="C34" s="64"/>
      <c r="D34" s="60" t="s">
        <v>195</v>
      </c>
      <c r="E34" s="153">
        <f>PGL_Supplies!AC7/1000</f>
        <v>41.338000000000001</v>
      </c>
      <c r="F34" s="170"/>
      <c r="H34"/>
      <c r="I34"/>
      <c r="J34"/>
      <c r="K34"/>
      <c r="L34"/>
      <c r="M34"/>
    </row>
    <row r="35" spans="1:13" ht="15">
      <c r="A35" s="171" t="s">
        <v>593</v>
      </c>
      <c r="B35" s="60"/>
      <c r="C35" s="64">
        <f>PGL_Deliveries!AC5/1000</f>
        <v>0</v>
      </c>
      <c r="D35" s="60" t="s">
        <v>594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595</v>
      </c>
      <c r="B36" s="68"/>
      <c r="C36" s="482">
        <f>PGL_Deliveries!AB5/1000</f>
        <v>0</v>
      </c>
      <c r="D36" s="173" t="s">
        <v>596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597</v>
      </c>
      <c r="B37" s="153" t="s">
        <v>10</v>
      </c>
      <c r="C37" s="224">
        <f>PGL_Requirements!P7/1000</f>
        <v>61</v>
      </c>
      <c r="D37" s="249" t="s">
        <v>598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599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600</v>
      </c>
      <c r="B39" s="60"/>
      <c r="C39" s="224">
        <f>PGL_Deliveries!AS5/1000</f>
        <v>0</v>
      </c>
      <c r="D39" s="211" t="s">
        <v>222</v>
      </c>
      <c r="E39" s="210">
        <f>SUM(E22:E37)-SUM(F23:F38)-E33</f>
        <v>41.338000000000001</v>
      </c>
      <c r="F39" s="166"/>
      <c r="G39" s="1" t="s">
        <v>10</v>
      </c>
      <c r="H39"/>
      <c r="I39"/>
      <c r="J39"/>
      <c r="K39"/>
      <c r="L39"/>
      <c r="M39"/>
    </row>
    <row r="40" spans="1:13" ht="15">
      <c r="A40" s="171" t="s">
        <v>207</v>
      </c>
      <c r="B40" s="153">
        <f>PGL_Deliveries!AT5/1000</f>
        <v>0.83599999999999997</v>
      </c>
      <c r="C40" s="64"/>
      <c r="D40" s="774" t="s">
        <v>601</v>
      </c>
      <c r="E40" s="800"/>
      <c r="F40" s="175">
        <f>PGL_Requirements!K7/1000</f>
        <v>43.1</v>
      </c>
      <c r="H40"/>
      <c r="I40"/>
      <c r="J40"/>
      <c r="K40"/>
      <c r="L40"/>
      <c r="M40"/>
    </row>
    <row r="41" spans="1:13" ht="15">
      <c r="A41" s="171" t="s">
        <v>214</v>
      </c>
      <c r="B41" s="153">
        <f>PGL_Deliveries!AG5/1000</f>
        <v>0</v>
      </c>
      <c r="C41" s="64"/>
      <c r="D41" s="249" t="s">
        <v>520</v>
      </c>
      <c r="E41" s="801">
        <f>PGL_Supplies!AB7/1000</f>
        <v>232.06399999999999</v>
      </c>
      <c r="F41" s="170"/>
      <c r="H41"/>
      <c r="I41"/>
      <c r="J41"/>
      <c r="K41"/>
      <c r="L41"/>
      <c r="M41"/>
    </row>
    <row r="42" spans="1:13" ht="15">
      <c r="A42" s="172" t="s">
        <v>602</v>
      </c>
      <c r="B42" s="153">
        <f>PGL_Deliveries!AF5/1000</f>
        <v>0</v>
      </c>
      <c r="C42" s="64"/>
      <c r="D42" s="60" t="s">
        <v>391</v>
      </c>
      <c r="E42" s="801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603</v>
      </c>
      <c r="B43" s="153">
        <f>PGL_Deliveries!AW5/1000</f>
        <v>2.2244999999999999</v>
      </c>
      <c r="C43" s="64"/>
      <c r="D43" s="60" t="s">
        <v>523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724</v>
      </c>
      <c r="B44" s="209" t="s">
        <v>10</v>
      </c>
      <c r="C44" s="224">
        <f>PGL_Requirements!R7/1000</f>
        <v>0.72</v>
      </c>
      <c r="D44" s="60" t="s">
        <v>524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2" t="s">
        <v>604</v>
      </c>
      <c r="B45" s="60">
        <f>Weather_Input!B5</f>
        <v>91</v>
      </c>
      <c r="C45" s="184"/>
      <c r="D45" s="60" t="s">
        <v>614</v>
      </c>
      <c r="E45" s="801">
        <f>PGL_Supplies!T7/1000</f>
        <v>95</v>
      </c>
      <c r="F45" s="170"/>
    </row>
    <row r="46" spans="1:13" ht="15">
      <c r="A46" s="171" t="s">
        <v>605</v>
      </c>
      <c r="B46" s="237">
        <f>Weather_Input!C5</f>
        <v>73</v>
      </c>
      <c r="C46" s="161"/>
      <c r="D46" s="74" t="s">
        <v>613</v>
      </c>
      <c r="E46" s="60"/>
      <c r="F46" s="175">
        <f>PGL_Deliveries!BE5/1000</f>
        <v>5.9530000000000003</v>
      </c>
    </row>
    <row r="47" spans="1:13" ht="15">
      <c r="A47" s="172" t="s">
        <v>606</v>
      </c>
      <c r="B47" s="60" t="str">
        <f>Weather_Input!E5</f>
        <v>N/A</v>
      </c>
      <c r="C47" s="161"/>
      <c r="D47" s="773" t="s">
        <v>765</v>
      </c>
      <c r="E47" s="68"/>
      <c r="F47" s="175">
        <f>PGL_Deliveries!BF5/1000</f>
        <v>0</v>
      </c>
    </row>
    <row r="48" spans="1:13" ht="15">
      <c r="A48" s="171" t="s">
        <v>607</v>
      </c>
      <c r="B48" s="225">
        <f>Weather_Input!D5</f>
        <v>12</v>
      </c>
      <c r="C48" s="161"/>
      <c r="D48" s="249" t="s">
        <v>243</v>
      </c>
      <c r="E48" s="153">
        <f>PGL_Deliveries!AI5/1000</f>
        <v>0</v>
      </c>
      <c r="F48" s="160"/>
    </row>
    <row r="49" spans="1:6" ht="15">
      <c r="A49" s="171" t="s">
        <v>608</v>
      </c>
      <c r="B49" s="153">
        <f>PGL_Deliveries!AM5/1000</f>
        <v>1.026</v>
      </c>
      <c r="C49" s="161"/>
      <c r="D49" s="60" t="s">
        <v>758</v>
      </c>
      <c r="E49" s="153">
        <f>PGL_Deliveries!AJ5/1000</f>
        <v>21.039000000000001</v>
      </c>
      <c r="F49" s="160"/>
    </row>
    <row r="50" spans="1:6" ht="15.75" outlineLevel="2" thickBot="1">
      <c r="A50" s="102" t="s">
        <v>609</v>
      </c>
      <c r="B50" s="162"/>
      <c r="C50" s="159"/>
      <c r="D50" s="167" t="s">
        <v>610</v>
      </c>
      <c r="E50" s="209">
        <f>PGL_Deliveries!AK5/1000</f>
        <v>0</v>
      </c>
      <c r="F50" s="441"/>
    </row>
    <row r="51" spans="1:6" ht="15" outlineLevel="2">
      <c r="A51" s="419" t="s">
        <v>611</v>
      </c>
      <c r="B51"/>
      <c r="C51"/>
      <c r="D51"/>
      <c r="E51"/>
      <c r="F51" s="121"/>
    </row>
    <row r="52" spans="1:6" ht="15" outlineLevel="2">
      <c r="A52" t="s">
        <v>10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10</v>
      </c>
      <c r="B61" s="225" t="s">
        <v>10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10</v>
      </c>
    </row>
    <row r="2" spans="1:11" ht="15">
      <c r="A2" s="121" t="s">
        <v>10</v>
      </c>
      <c r="B2" s="134"/>
      <c r="C2"/>
      <c r="D2"/>
      <c r="E2"/>
      <c r="F2"/>
      <c r="G2"/>
      <c r="J2"/>
      <c r="K2"/>
    </row>
    <row r="3" spans="1:11" ht="15.75" thickBot="1">
      <c r="A3" s="1076" t="s">
        <v>4</v>
      </c>
      <c r="B3" s="242">
        <f>NSG_Deliveries!H5/1000</f>
        <v>27.751000000000001</v>
      </c>
      <c r="C3" s="119"/>
      <c r="D3" s="228" t="s">
        <v>322</v>
      </c>
      <c r="E3" s="427">
        <f>Weather_Input!A5</f>
        <v>37055</v>
      </c>
      <c r="F3" s="119"/>
      <c r="G3"/>
      <c r="J3"/>
      <c r="K3"/>
    </row>
    <row r="4" spans="1:11" ht="15.75" thickTop="1">
      <c r="A4" s="247"/>
      <c r="B4" s="240"/>
      <c r="C4" s="131"/>
      <c r="D4" s="161"/>
      <c r="E4" s="161"/>
      <c r="F4" s="125"/>
      <c r="G4"/>
      <c r="J4"/>
      <c r="K4"/>
    </row>
    <row r="5" spans="1:11" ht="15">
      <c r="A5" s="248" t="s">
        <v>176</v>
      </c>
      <c r="B5" s="241">
        <f>NSG_Deliveries!E5/1000</f>
        <v>0</v>
      </c>
      <c r="C5" s="145"/>
      <c r="D5" s="220" t="s">
        <v>324</v>
      </c>
      <c r="E5" s="215">
        <f>NSG_Deliveries!D5/1000</f>
        <v>0</v>
      </c>
      <c r="F5" s="212"/>
      <c r="G5"/>
      <c r="J5"/>
      <c r="K5"/>
    </row>
    <row r="6" spans="1:11" ht="15" customHeight="1">
      <c r="A6" s="247"/>
      <c r="B6" s="240"/>
      <c r="C6" s="131"/>
      <c r="D6" s="161"/>
      <c r="E6" s="161"/>
      <c r="F6" s="126"/>
      <c r="G6"/>
    </row>
    <row r="7" spans="1:11" ht="15" customHeight="1">
      <c r="A7" s="248" t="s">
        <v>325</v>
      </c>
      <c r="B7" s="215">
        <f>NSG_Deliveries!G5/1000</f>
        <v>27.751000000000001</v>
      </c>
      <c r="C7" s="811"/>
      <c r="D7" s="220" t="s">
        <v>326</v>
      </c>
      <c r="E7" s="215">
        <f>NSG_Supplies!U7/1000</f>
        <v>0</v>
      </c>
      <c r="F7" s="115"/>
      <c r="G7"/>
    </row>
    <row r="8" spans="1:11" ht="15" customHeight="1">
      <c r="A8" s="235" t="s">
        <v>222</v>
      </c>
      <c r="B8" s="215">
        <f>B5+B7</f>
        <v>27.751000000000001</v>
      </c>
      <c r="C8" s="160"/>
      <c r="D8" s="812" t="s">
        <v>631</v>
      </c>
      <c r="E8" s="806">
        <f>NSG_Deliveries!F5/1000</f>
        <v>0</v>
      </c>
      <c r="F8" s="805"/>
      <c r="G8"/>
    </row>
    <row r="9" spans="1:11" ht="15" customHeight="1">
      <c r="A9" s="243" t="s">
        <v>321</v>
      </c>
      <c r="B9" s="216" t="s">
        <v>10</v>
      </c>
      <c r="C9" s="133">
        <f>NSG_Requirements!L7/1000</f>
        <v>0</v>
      </c>
      <c r="D9" s="1" t="s">
        <v>621</v>
      </c>
      <c r="E9" s="807" t="s">
        <v>10</v>
      </c>
      <c r="F9" s="991">
        <f>NSG_Deliveries!M5/1000</f>
        <v>7.9589999999999996</v>
      </c>
      <c r="G9" s="121"/>
    </row>
    <row r="10" spans="1:11" ht="15" customHeight="1">
      <c r="A10" s="127" t="s">
        <v>328</v>
      </c>
      <c r="B10" s="217">
        <f>NSG_Supplies!H7/1000</f>
        <v>0</v>
      </c>
      <c r="C10" s="132"/>
      <c r="D10" s="993" t="s">
        <v>622</v>
      </c>
      <c r="E10" s="444">
        <f>NSG_Deliveries!N5/1000</f>
        <v>0</v>
      </c>
      <c r="F10" s="808"/>
      <c r="G10"/>
    </row>
    <row r="11" spans="1:11" ht="15" customHeight="1" thickBot="1">
      <c r="A11" s="130" t="s">
        <v>329</v>
      </c>
      <c r="B11" s="425" t="s">
        <v>10</v>
      </c>
      <c r="C11" s="426"/>
      <c r="D11" s="169" t="s">
        <v>632</v>
      </c>
      <c r="E11" s="809">
        <f>NSG_Supplies!Q7/1000</f>
        <v>15.215</v>
      </c>
      <c r="F11" s="810"/>
      <c r="G11"/>
    </row>
    <row r="12" spans="1:11" ht="15" customHeight="1">
      <c r="A12" s="127" t="s">
        <v>392</v>
      </c>
      <c r="B12" s="217">
        <v>0</v>
      </c>
      <c r="C12" s="131"/>
      <c r="D12" t="s">
        <v>327</v>
      </c>
      <c r="E12" s="240"/>
      <c r="F12" s="791">
        <f>NSG_Requirements!K7/1000+NSG_Requirements!L7/1000+NSG_Requirements!M7/1000+NSG_Requirements!N7/1000</f>
        <v>0</v>
      </c>
      <c r="G12"/>
    </row>
    <row r="13" spans="1:11" ht="15" customHeight="1">
      <c r="A13" s="127" t="s">
        <v>332</v>
      </c>
      <c r="B13" s="217">
        <f>NSG_Supplies!R7/1000</f>
        <v>28.888999999999999</v>
      </c>
      <c r="C13" s="131"/>
      <c r="D13" s="245" t="s">
        <v>330</v>
      </c>
      <c r="E13" s="238"/>
      <c r="F13" s="246"/>
      <c r="G13"/>
    </row>
    <row r="14" spans="1:11" ht="15" customHeight="1">
      <c r="A14" s="127" t="s">
        <v>192</v>
      </c>
      <c r="B14" s="217">
        <f>NSG_Supplies!C7/1000</f>
        <v>0</v>
      </c>
      <c r="C14" s="131"/>
      <c r="D14" s="213" t="s">
        <v>331</v>
      </c>
      <c r="E14" s="244" t="s">
        <v>10</v>
      </c>
      <c r="F14" s="128">
        <f>NSG_Requirements!M7/1000</f>
        <v>0</v>
      </c>
    </row>
    <row r="15" spans="1:11" ht="15" customHeight="1">
      <c r="A15" s="129" t="s">
        <v>334</v>
      </c>
      <c r="B15" s="213"/>
      <c r="C15" s="133">
        <f>NSG_Deliveries!K5/1000</f>
        <v>0</v>
      </c>
      <c r="D15" s="236" t="s">
        <v>333</v>
      </c>
      <c r="E15" s="766">
        <f>+NSG_Supplies!O7/1000</f>
        <v>0</v>
      </c>
      <c r="F15" s="214"/>
    </row>
    <row r="16" spans="1:11" ht="15" customHeight="1" thickBot="1">
      <c r="A16" s="129" t="s">
        <v>335</v>
      </c>
      <c r="B16" s="444">
        <f>NSG_Deliveries!L5/1000</f>
        <v>0.16</v>
      </c>
      <c r="C16" s="992"/>
      <c r="D16" s="820" t="s">
        <v>241</v>
      </c>
      <c r="E16" s="234" t="s">
        <v>10</v>
      </c>
      <c r="F16" s="128">
        <f>NSG_Requirements!X7/1000</f>
        <v>0</v>
      </c>
    </row>
    <row r="17" spans="1:8" ht="15" customHeight="1" thickBot="1">
      <c r="A17" s="127" t="s">
        <v>336</v>
      </c>
      <c r="B17" s="213"/>
      <c r="C17" s="133">
        <f>NSG_Requirements!P7/1000</f>
        <v>0</v>
      </c>
      <c r="D17" s="429" t="s">
        <v>337</v>
      </c>
      <c r="E17" s="428"/>
      <c r="F17" s="430"/>
    </row>
    <row r="18" spans="1:8" ht="15" customHeight="1">
      <c r="A18" s="127" t="s">
        <v>338</v>
      </c>
      <c r="B18" s="217">
        <f>NSG_Supplies!I7/1000</f>
        <v>0</v>
      </c>
      <c r="C18" s="131"/>
      <c r="D18" s="64" t="s">
        <v>339</v>
      </c>
      <c r="E18" s="161"/>
      <c r="F18" s="128">
        <f>NSG_Requirements!N7/1000</f>
        <v>0</v>
      </c>
    </row>
    <row r="19" spans="1:8" ht="15" customHeight="1">
      <c r="A19" s="129" t="s">
        <v>489</v>
      </c>
      <c r="B19" s="444">
        <f>PGL_Requirements!Y7/1000+PGL_Requirements!AB7/1000</f>
        <v>0</v>
      </c>
      <c r="C19" s="443"/>
      <c r="D19" s="230" t="s">
        <v>340</v>
      </c>
      <c r="E19" s="161"/>
      <c r="F19" s="128">
        <f>NSG_Requirements!S7/1000</f>
        <v>0</v>
      </c>
    </row>
    <row r="20" spans="1:8" ht="15" customHeight="1">
      <c r="A20" s="129" t="s">
        <v>341</v>
      </c>
      <c r="B20" s="444">
        <f>PGL_Requirements!Z7/1000</f>
        <v>0</v>
      </c>
      <c r="C20" s="443" t="s">
        <v>10</v>
      </c>
      <c r="D20" s="213" t="s">
        <v>342</v>
      </c>
      <c r="E20" s="161"/>
      <c r="F20" s="128">
        <f>NSG_Requirements!O7/1000</f>
        <v>0</v>
      </c>
    </row>
    <row r="21" spans="1:8" ht="15" customHeight="1">
      <c r="A21" s="129" t="s">
        <v>516</v>
      </c>
      <c r="B21" s="444">
        <f>PGL_Requirements!AA7/1000</f>
        <v>0</v>
      </c>
      <c r="C21" s="443"/>
      <c r="D21" s="221" t="s">
        <v>343</v>
      </c>
      <c r="E21" s="217">
        <f>NSG_Supplies!L7/1000</f>
        <v>0</v>
      </c>
      <c r="F21" s="143"/>
    </row>
    <row r="22" spans="1:8" ht="15" customHeight="1">
      <c r="A22" s="127" t="s">
        <v>323</v>
      </c>
      <c r="B22" s="213"/>
      <c r="C22" s="133">
        <f>NSG_Requirements!C7/1000</f>
        <v>0</v>
      </c>
      <c r="D22" s="221" t="s">
        <v>367</v>
      </c>
      <c r="E22" s="217">
        <f>NSG_Supplies!M7/1000</f>
        <v>0</v>
      </c>
      <c r="F22" s="143"/>
    </row>
    <row r="23" spans="1:8" ht="15" customHeight="1">
      <c r="A23" s="127" t="s">
        <v>344</v>
      </c>
      <c r="B23" s="213"/>
      <c r="C23" s="133">
        <f>NSG_Requirements!R7/1000</f>
        <v>0</v>
      </c>
      <c r="D23" s="221" t="s">
        <v>345</v>
      </c>
      <c r="E23" s="217">
        <f>PGL_Supplies!S7/1000</f>
        <v>0</v>
      </c>
      <c r="F23" s="128" t="s">
        <v>10</v>
      </c>
    </row>
    <row r="24" spans="1:8" ht="15" customHeight="1">
      <c r="A24" s="127" t="s">
        <v>346</v>
      </c>
      <c r="B24" s="217">
        <f>NSG_Supplies!K7/1000</f>
        <v>0</v>
      </c>
      <c r="C24" s="131"/>
      <c r="D24" s="229" t="s">
        <v>347</v>
      </c>
      <c r="E24" s="222">
        <f>NSG_Supplies!P7/1000</f>
        <v>0</v>
      </c>
      <c r="F24" s="126"/>
    </row>
    <row r="25" spans="1:8" ht="15" customHeight="1">
      <c r="A25" s="129" t="s">
        <v>348</v>
      </c>
      <c r="B25" s="213"/>
      <c r="C25" s="133">
        <f>NSG_Requirements!Q7/1000</f>
        <v>0</v>
      </c>
      <c r="D25" s="229" t="s">
        <v>349</v>
      </c>
      <c r="E25" s="217">
        <f>PGL_Requirements!V71/1000</f>
        <v>0</v>
      </c>
      <c r="F25" s="118"/>
    </row>
    <row r="26" spans="1:8" ht="15" customHeight="1">
      <c r="A26" s="144" t="s">
        <v>350</v>
      </c>
      <c r="B26" s="218">
        <f>NSG_Supplies!J7/1000</f>
        <v>0</v>
      </c>
      <c r="C26" s="145"/>
      <c r="D26" s="767" t="s">
        <v>351</v>
      </c>
      <c r="E26" s="771"/>
      <c r="F26" s="128">
        <f>NSG_Requirements!D7/1000</f>
        <v>0</v>
      </c>
    </row>
    <row r="27" spans="1:8" ht="15" customHeight="1" thickBot="1">
      <c r="A27" s="146" t="s">
        <v>222</v>
      </c>
      <c r="B27" s="219">
        <f>SUM(B9:B26)-SUM(C9:C26)</f>
        <v>29.048999999999999</v>
      </c>
      <c r="C27" s="147"/>
      <c r="D27" s="239" t="s">
        <v>352</v>
      </c>
      <c r="E27" s="219">
        <f>SUM(E18:E26)-SUM(F18:F26)</f>
        <v>0</v>
      </c>
      <c r="F27" s="148"/>
      <c r="H27" s="1" t="s">
        <v>10</v>
      </c>
    </row>
    <row r="28" spans="1:8" ht="15" customHeight="1" thickTop="1">
      <c r="A28" s="163" t="s">
        <v>393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10</v>
      </c>
    </row>
    <row r="2" spans="1:3" ht="15.75">
      <c r="C2" s="96" t="s">
        <v>353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3" customWidth="1"/>
    <col min="3" max="3" width="20.6640625" customWidth="1"/>
  </cols>
  <sheetData>
    <row r="1" spans="2:7">
      <c r="E1" s="793" t="s">
        <v>10</v>
      </c>
    </row>
    <row r="2" spans="2:7">
      <c r="B2" s="921" t="s">
        <v>10</v>
      </c>
      <c r="C2" s="921" t="s">
        <v>10</v>
      </c>
      <c r="D2" s="921" t="s">
        <v>170</v>
      </c>
      <c r="E2" s="921" t="s">
        <v>10</v>
      </c>
      <c r="F2" s="921" t="s">
        <v>170</v>
      </c>
      <c r="G2" s="921" t="s">
        <v>10</v>
      </c>
    </row>
    <row r="4" spans="2:7">
      <c r="B4" s="922" t="s">
        <v>170</v>
      </c>
    </row>
    <row r="6" spans="2:7">
      <c r="B6" s="921" t="s">
        <v>10</v>
      </c>
      <c r="C6" t="str">
        <f>IF(D6&lt;0,"payback pgl to allinace","payback alliance to pgl")</f>
        <v>payback alliance to pgl</v>
      </c>
      <c r="D6">
        <v>25</v>
      </c>
    </row>
    <row r="7" spans="2:7">
      <c r="B7" s="921"/>
    </row>
    <row r="8" spans="2:7">
      <c r="B8" s="921" t="s">
        <v>10</v>
      </c>
    </row>
    <row r="9" spans="2:7">
      <c r="B9" s="921"/>
    </row>
    <row r="10" spans="2:7">
      <c r="B10" s="921" t="s">
        <v>10</v>
      </c>
      <c r="C10" t="b">
        <f>TRUE()</f>
        <v>1</v>
      </c>
    </row>
    <row r="11" spans="2:7">
      <c r="B11" s="921" t="s">
        <v>10</v>
      </c>
    </row>
    <row r="12" spans="2:7">
      <c r="B12" s="921" t="s">
        <v>10</v>
      </c>
    </row>
    <row r="13" spans="2:7">
      <c r="B13" s="921"/>
    </row>
    <row r="14" spans="2:7">
      <c r="B14" s="921" t="s">
        <v>10</v>
      </c>
    </row>
    <row r="15" spans="2:7">
      <c r="B15" s="921"/>
    </row>
    <row r="16" spans="2:7">
      <c r="B16" s="921" t="s">
        <v>10</v>
      </c>
    </row>
    <row r="17" spans="2:5">
      <c r="B17" s="921"/>
    </row>
    <row r="18" spans="2:5">
      <c r="B18" s="921" t="s">
        <v>10</v>
      </c>
    </row>
    <row r="19" spans="2:5">
      <c r="B19" s="921"/>
    </row>
    <row r="20" spans="2:5">
      <c r="B20" s="921" t="s">
        <v>10</v>
      </c>
    </row>
    <row r="21" spans="2:5">
      <c r="B21" s="921"/>
    </row>
    <row r="22" spans="2:5">
      <c r="B22" s="921" t="s">
        <v>10</v>
      </c>
    </row>
    <row r="24" spans="2:5">
      <c r="B24" s="921" t="s">
        <v>10</v>
      </c>
    </row>
    <row r="25" spans="2:5">
      <c r="E25" s="921" t="s">
        <v>10</v>
      </c>
    </row>
    <row r="27" spans="2:5">
      <c r="B27" s="921" t="s">
        <v>10</v>
      </c>
    </row>
    <row r="29" spans="2:5">
      <c r="B29" s="921" t="s">
        <v>10</v>
      </c>
    </row>
    <row r="30" spans="2:5">
      <c r="B30" s="921"/>
    </row>
    <row r="31" spans="2:5">
      <c r="B31" s="921" t="s">
        <v>10</v>
      </c>
    </row>
    <row r="32" spans="2:5">
      <c r="B32" s="921"/>
    </row>
    <row r="33" spans="2:2">
      <c r="B33" s="921" t="s">
        <v>10</v>
      </c>
    </row>
    <row r="34" spans="2:2">
      <c r="B34" s="921"/>
    </row>
    <row r="35" spans="2:2">
      <c r="B35" s="921" t="s">
        <v>10</v>
      </c>
    </row>
    <row r="36" spans="2:2">
      <c r="B36" s="921"/>
    </row>
    <row r="37" spans="2:2">
      <c r="B37" s="921" t="s">
        <v>10</v>
      </c>
    </row>
    <row r="38" spans="2:2">
      <c r="B38" s="921"/>
    </row>
    <row r="39" spans="2:2">
      <c r="B39" s="921" t="s">
        <v>10</v>
      </c>
    </row>
    <row r="40" spans="2:2">
      <c r="B40" s="921"/>
    </row>
    <row r="41" spans="2:2">
      <c r="B41" s="921" t="s">
        <v>10</v>
      </c>
    </row>
    <row r="42" spans="2:2">
      <c r="B42" s="921"/>
    </row>
    <row r="43" spans="2:2">
      <c r="B43" s="921" t="s">
        <v>10</v>
      </c>
    </row>
    <row r="44" spans="2:2">
      <c r="B44" s="921"/>
    </row>
    <row r="45" spans="2:2">
      <c r="B45" s="921" t="s">
        <v>10</v>
      </c>
    </row>
    <row r="47" spans="2:2">
      <c r="B47" s="921" t="s">
        <v>10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10</v>
      </c>
      <c r="C9" s="920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10</v>
      </c>
      <c r="D14" s="137" t="s">
        <v>10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354</v>
      </c>
      <c r="B1" s="51">
        <f>Weather_Input!A5</f>
        <v>37055</v>
      </c>
      <c r="C1" s="4"/>
    </row>
    <row r="2" spans="1:19">
      <c r="A2" s="111" t="s">
        <v>355</v>
      </c>
      <c r="B2" s="4"/>
      <c r="C2" s="4"/>
    </row>
    <row r="3" spans="1:19" ht="15.75">
      <c r="B3" s="205" t="s">
        <v>67</v>
      </c>
      <c r="C3" s="97"/>
      <c r="D3" s="6"/>
      <c r="E3" s="6"/>
      <c r="F3" s="6"/>
      <c r="G3" s="198"/>
      <c r="H3" s="97" t="s">
        <v>68</v>
      </c>
      <c r="I3" s="97"/>
      <c r="J3" s="6"/>
      <c r="K3" s="6"/>
      <c r="L3" s="6"/>
      <c r="M3" s="198"/>
      <c r="N3" s="97" t="s">
        <v>36</v>
      </c>
      <c r="O3" s="6"/>
      <c r="P3" s="6"/>
      <c r="Q3" s="6"/>
      <c r="R3" s="6"/>
      <c r="S3" s="6"/>
    </row>
    <row r="4" spans="1:19">
      <c r="B4" s="206" t="s">
        <v>356</v>
      </c>
      <c r="C4" s="201"/>
      <c r="D4" s="197" t="s">
        <v>357</v>
      </c>
      <c r="E4" s="197" t="s">
        <v>357</v>
      </c>
      <c r="F4" s="6" t="s">
        <v>358</v>
      </c>
      <c r="G4" s="198"/>
      <c r="H4" s="6" t="s">
        <v>356</v>
      </c>
      <c r="I4" s="6"/>
      <c r="J4" s="197" t="s">
        <v>357</v>
      </c>
      <c r="K4" s="197" t="s">
        <v>357</v>
      </c>
      <c r="L4" s="6" t="s">
        <v>358</v>
      </c>
      <c r="M4" s="198"/>
      <c r="N4" s="6" t="s">
        <v>356</v>
      </c>
      <c r="O4" s="6"/>
      <c r="P4" s="197" t="s">
        <v>357</v>
      </c>
      <c r="Q4" s="197" t="s">
        <v>357</v>
      </c>
      <c r="R4" s="6" t="s">
        <v>358</v>
      </c>
      <c r="S4" s="6"/>
    </row>
    <row r="5" spans="1:19">
      <c r="A5" s="105"/>
      <c r="B5" s="207" t="s">
        <v>359</v>
      </c>
      <c r="C5" s="202" t="s">
        <v>360</v>
      </c>
      <c r="D5" s="199" t="s">
        <v>361</v>
      </c>
      <c r="E5" s="199" t="s">
        <v>362</v>
      </c>
      <c r="F5" s="199" t="s">
        <v>359</v>
      </c>
      <c r="G5" s="200" t="s">
        <v>360</v>
      </c>
      <c r="H5" s="199" t="s">
        <v>359</v>
      </c>
      <c r="I5" s="199" t="s">
        <v>360</v>
      </c>
      <c r="J5" s="199" t="s">
        <v>361</v>
      </c>
      <c r="K5" s="199" t="s">
        <v>362</v>
      </c>
      <c r="L5" s="199" t="s">
        <v>359</v>
      </c>
      <c r="M5" s="200" t="s">
        <v>360</v>
      </c>
      <c r="N5" s="199" t="s">
        <v>359</v>
      </c>
      <c r="O5" s="199" t="s">
        <v>360</v>
      </c>
      <c r="P5" s="199" t="s">
        <v>361</v>
      </c>
      <c r="Q5" s="199" t="s">
        <v>362</v>
      </c>
      <c r="R5" s="199" t="s">
        <v>359</v>
      </c>
      <c r="S5" s="199" t="s">
        <v>360</v>
      </c>
    </row>
    <row r="6" spans="1:19">
      <c r="A6" s="4">
        <f>B1-1</f>
        <v>37054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109101</v>
      </c>
      <c r="O6" s="203">
        <v>0</v>
      </c>
      <c r="P6" s="203">
        <v>51268130</v>
      </c>
      <c r="Q6" s="203">
        <v>15045098</v>
      </c>
      <c r="R6" s="203">
        <v>36223032</v>
      </c>
      <c r="S6" s="203">
        <v>0</v>
      </c>
    </row>
    <row r="7" spans="1:19">
      <c r="A7" s="4">
        <f>B1</f>
        <v>37055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96887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51365017</v>
      </c>
      <c r="Q7">
        <f>IF(O7&gt;0,Q6+O7,Q6)</f>
        <v>15045098</v>
      </c>
      <c r="R7">
        <f>IF(P7&gt;Q7,P7-Q7,0)</f>
        <v>36319919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363</v>
      </c>
      <c r="C1" s="3" t="s">
        <v>364</v>
      </c>
      <c r="D1" s="9" t="s">
        <v>365</v>
      </c>
    </row>
    <row r="2" spans="1:4">
      <c r="B2" s="3" t="s">
        <v>366</v>
      </c>
      <c r="C2" s="3" t="s">
        <v>26</v>
      </c>
      <c r="D2" s="7" t="s">
        <v>26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1" t="s">
        <v>10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0" t="s">
        <v>713</v>
      </c>
      <c r="BE1" t="s">
        <v>714</v>
      </c>
    </row>
    <row r="2" spans="1:92">
      <c r="A2" s="1"/>
      <c r="B2" s="1"/>
      <c r="C2" s="1"/>
      <c r="D2" s="108" t="s">
        <v>35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36</v>
      </c>
      <c r="AC2" s="110" t="s">
        <v>10</v>
      </c>
      <c r="AD2" s="110" t="s">
        <v>10</v>
      </c>
      <c r="AE2" s="156" t="s">
        <v>37</v>
      </c>
      <c r="AF2" s="156"/>
      <c r="AG2" s="156" t="s">
        <v>37</v>
      </c>
      <c r="AH2" s="109" t="s">
        <v>10</v>
      </c>
      <c r="AO2" s="431"/>
      <c r="AP2" s="431"/>
      <c r="AQ2" s="431"/>
      <c r="AR2" s="431"/>
      <c r="AS2" s="431"/>
      <c r="AT2" s="431"/>
      <c r="AU2" s="431" t="s">
        <v>10</v>
      </c>
      <c r="AV2" s="431"/>
      <c r="AW2" s="431"/>
      <c r="AX2" s="431"/>
      <c r="AZ2" s="197" t="s">
        <v>37</v>
      </c>
      <c r="BA2" t="s">
        <v>710</v>
      </c>
      <c r="BC2" t="s">
        <v>711</v>
      </c>
      <c r="BE2" s="1044">
        <v>1</v>
      </c>
      <c r="BF2" s="197" t="s">
        <v>711</v>
      </c>
    </row>
    <row r="3" spans="1:92">
      <c r="A3" s="1"/>
      <c r="B3" s="3" t="s">
        <v>38</v>
      </c>
      <c r="C3" s="1" t="s">
        <v>10</v>
      </c>
      <c r="D3" s="56" t="s">
        <v>40</v>
      </c>
      <c r="E3" s="3" t="s">
        <v>41</v>
      </c>
      <c r="F3" s="3" t="s">
        <v>41</v>
      </c>
      <c r="G3" s="155" t="s">
        <v>41</v>
      </c>
      <c r="H3" s="3" t="s">
        <v>42</v>
      </c>
      <c r="I3" s="3" t="s">
        <v>42</v>
      </c>
      <c r="J3" s="3" t="s">
        <v>42</v>
      </c>
      <c r="K3" s="3" t="s">
        <v>401</v>
      </c>
      <c r="L3" s="3" t="s">
        <v>43</v>
      </c>
      <c r="M3" s="3" t="s">
        <v>43</v>
      </c>
      <c r="N3" s="155" t="s">
        <v>44</v>
      </c>
      <c r="O3" s="3" t="s">
        <v>45</v>
      </c>
      <c r="P3" s="3" t="s">
        <v>46</v>
      </c>
      <c r="R3" s="3"/>
      <c r="S3" s="3"/>
      <c r="T3" s="3" t="s">
        <v>401</v>
      </c>
      <c r="U3" s="3" t="s">
        <v>14</v>
      </c>
      <c r="V3" s="3"/>
      <c r="W3" s="111"/>
      <c r="X3" s="1"/>
      <c r="Y3" s="1" t="s">
        <v>521</v>
      </c>
      <c r="Z3" s="1"/>
      <c r="AA3" s="1"/>
      <c r="AB3" s="3" t="s">
        <v>47</v>
      </c>
      <c r="AC3" s="155" t="s">
        <v>36</v>
      </c>
      <c r="AD3" s="3" t="s">
        <v>36</v>
      </c>
      <c r="AE3" s="3" t="s">
        <v>48</v>
      </c>
      <c r="AF3" s="155" t="s">
        <v>48</v>
      </c>
      <c r="AG3" s="3" t="s">
        <v>49</v>
      </c>
      <c r="AH3" s="3" t="s">
        <v>49</v>
      </c>
      <c r="AI3" s="155" t="s">
        <v>50</v>
      </c>
      <c r="AJ3" s="155" t="s">
        <v>51</v>
      </c>
      <c r="AK3" s="155" t="s">
        <v>52</v>
      </c>
      <c r="AL3" s="155" t="s">
        <v>53</v>
      </c>
      <c r="AM3" s="154" t="s">
        <v>54</v>
      </c>
      <c r="AO3" s="788" t="s">
        <v>693</v>
      </c>
      <c r="AP3" s="1025"/>
      <c r="AQ3" s="788" t="s">
        <v>694</v>
      </c>
      <c r="AR3" s="1025"/>
      <c r="AS3" s="788" t="s">
        <v>695</v>
      </c>
      <c r="AT3" s="1025"/>
      <c r="AU3" s="431" t="s">
        <v>182</v>
      </c>
      <c r="AV3" s="431" t="s">
        <v>182</v>
      </c>
      <c r="AW3" s="431"/>
      <c r="AX3" s="431" t="s">
        <v>182</v>
      </c>
      <c r="AZ3" s="121" t="s">
        <v>708</v>
      </c>
      <c r="BA3" s="121"/>
      <c r="BB3" s="161"/>
      <c r="BC3" s="121" t="s">
        <v>42</v>
      </c>
      <c r="BE3" s="1044" t="s">
        <v>522</v>
      </c>
    </row>
    <row r="4" spans="1:92">
      <c r="A4" s="1" t="s">
        <v>10</v>
      </c>
      <c r="B4" s="3" t="s">
        <v>25</v>
      </c>
      <c r="C4" s="3" t="s">
        <v>55</v>
      </c>
      <c r="D4" s="56" t="s">
        <v>56</v>
      </c>
      <c r="E4" s="3">
        <v>2</v>
      </c>
      <c r="F4" s="3">
        <v>3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402</v>
      </c>
      <c r="L4" s="3">
        <v>1</v>
      </c>
      <c r="M4" s="3">
        <v>2</v>
      </c>
      <c r="N4" s="3" t="s">
        <v>61</v>
      </c>
      <c r="O4" s="3" t="s">
        <v>62</v>
      </c>
      <c r="P4" s="3" t="s">
        <v>63</v>
      </c>
      <c r="Q4" s="3" t="s">
        <v>64</v>
      </c>
      <c r="R4" s="3" t="s">
        <v>65</v>
      </c>
      <c r="S4" s="3" t="s">
        <v>66</v>
      </c>
      <c r="T4" s="3" t="s">
        <v>398</v>
      </c>
      <c r="U4" s="3" t="s">
        <v>55</v>
      </c>
      <c r="V4" s="3" t="s">
        <v>725</v>
      </c>
      <c r="W4" s="3" t="s">
        <v>67</v>
      </c>
      <c r="X4" s="3" t="s">
        <v>68</v>
      </c>
      <c r="Y4" s="3" t="s">
        <v>560</v>
      </c>
      <c r="Z4" s="3" t="s">
        <v>561</v>
      </c>
      <c r="AA4" s="3" t="s">
        <v>755</v>
      </c>
      <c r="AB4" s="3" t="s">
        <v>59</v>
      </c>
      <c r="AC4" s="3" t="s">
        <v>69</v>
      </c>
      <c r="AD4" s="3" t="s">
        <v>70</v>
      </c>
      <c r="AE4" s="3" t="s">
        <v>71</v>
      </c>
      <c r="AF4" s="3" t="s">
        <v>70</v>
      </c>
      <c r="AG4" s="3" t="s">
        <v>71</v>
      </c>
      <c r="AH4" s="3" t="s">
        <v>70</v>
      </c>
      <c r="AI4" s="155" t="s">
        <v>72</v>
      </c>
      <c r="AJ4" s="155" t="s">
        <v>73</v>
      </c>
      <c r="AK4" s="155" t="s">
        <v>73</v>
      </c>
      <c r="AL4" s="155" t="s">
        <v>74</v>
      </c>
      <c r="AM4" s="155" t="s">
        <v>75</v>
      </c>
      <c r="AN4" s="1"/>
      <c r="AO4" s="1024" t="s">
        <v>691</v>
      </c>
      <c r="AP4" s="3" t="s">
        <v>692</v>
      </c>
      <c r="AQ4" s="3" t="s">
        <v>691</v>
      </c>
      <c r="AR4" s="3" t="s">
        <v>692</v>
      </c>
      <c r="AS4" s="3" t="s">
        <v>691</v>
      </c>
      <c r="AT4" s="3" t="s">
        <v>692</v>
      </c>
      <c r="AU4" s="431" t="s">
        <v>201</v>
      </c>
      <c r="AV4" s="431" t="s">
        <v>723</v>
      </c>
      <c r="AW4" s="431" t="s">
        <v>210</v>
      </c>
      <c r="AX4" s="431" t="s">
        <v>690</v>
      </c>
      <c r="AY4" s="1"/>
      <c r="AZ4" s="1045" t="s">
        <v>41</v>
      </c>
      <c r="BA4" s="1046" t="s">
        <v>42</v>
      </c>
      <c r="BB4" s="1047" t="s">
        <v>707</v>
      </c>
      <c r="BC4" s="1047" t="s">
        <v>712</v>
      </c>
      <c r="BE4" s="197" t="s">
        <v>398</v>
      </c>
      <c r="BF4" s="197" t="s">
        <v>709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37055</v>
      </c>
      <c r="B5" s="1">
        <f>(Weather_Input!B5+Weather_Input!C5)/2</f>
        <v>82</v>
      </c>
      <c r="C5" s="904">
        <v>210000</v>
      </c>
      <c r="D5" s="905">
        <v>0</v>
      </c>
      <c r="E5" s="905">
        <v>0</v>
      </c>
      <c r="F5" s="905">
        <v>0</v>
      </c>
      <c r="G5" s="905">
        <v>0</v>
      </c>
      <c r="H5" s="905">
        <v>0</v>
      </c>
      <c r="I5" s="905">
        <v>0</v>
      </c>
      <c r="J5" s="905">
        <v>0</v>
      </c>
      <c r="K5" s="905">
        <v>0</v>
      </c>
      <c r="L5" s="905">
        <v>0</v>
      </c>
      <c r="M5" s="905">
        <v>0</v>
      </c>
      <c r="N5" s="905">
        <v>0</v>
      </c>
      <c r="O5" s="905">
        <v>0</v>
      </c>
      <c r="P5" s="905">
        <v>0</v>
      </c>
      <c r="Q5" s="905">
        <v>0</v>
      </c>
      <c r="R5" s="905">
        <v>0</v>
      </c>
      <c r="S5" s="910">
        <v>4271</v>
      </c>
      <c r="T5" s="1102">
        <v>0</v>
      </c>
      <c r="U5" s="904">
        <f>SUM(D5:S5)-T5</f>
        <v>4271</v>
      </c>
      <c r="V5" s="904">
        <v>106087</v>
      </c>
      <c r="W5" s="11">
        <v>0</v>
      </c>
      <c r="X5" s="11">
        <v>0</v>
      </c>
      <c r="Y5" s="11">
        <v>0</v>
      </c>
      <c r="Z5" s="11">
        <v>182604</v>
      </c>
      <c r="AA5" s="11">
        <v>6039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21039</v>
      </c>
      <c r="AK5" s="11">
        <v>0</v>
      </c>
      <c r="AL5" s="11">
        <v>0</v>
      </c>
      <c r="AM5" s="1">
        <v>1026</v>
      </c>
      <c r="AN5" s="1"/>
      <c r="AO5" s="1">
        <v>4907</v>
      </c>
      <c r="AP5" s="1">
        <v>0</v>
      </c>
      <c r="AQ5" s="1">
        <v>9240</v>
      </c>
      <c r="AR5" s="1">
        <v>0</v>
      </c>
      <c r="AS5" s="1">
        <v>0</v>
      </c>
      <c r="AT5" s="1">
        <v>836</v>
      </c>
      <c r="AU5" s="1">
        <v>148300</v>
      </c>
      <c r="AV5" s="1">
        <v>680</v>
      </c>
      <c r="AW5" s="625">
        <f>AU5*0.015</f>
        <v>2224.5</v>
      </c>
      <c r="AX5" s="1">
        <v>0</v>
      </c>
      <c r="AY5" s="1"/>
      <c r="AZ5" s="1">
        <v>4474</v>
      </c>
      <c r="BA5" s="1">
        <v>12</v>
      </c>
      <c r="BB5" s="1">
        <v>0</v>
      </c>
      <c r="BC5" s="1">
        <v>0</v>
      </c>
      <c r="BD5" s="1"/>
      <c r="BE5" s="1">
        <v>5953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37056</v>
      </c>
      <c r="B6" s="923">
        <f>(Weather_Input!B6+Weather_Input!C6)/2</f>
        <v>79</v>
      </c>
      <c r="C6" s="904">
        <v>210000</v>
      </c>
      <c r="D6" s="906" t="s">
        <v>10</v>
      </c>
      <c r="E6" s="907"/>
      <c r="F6" s="907"/>
      <c r="G6" s="907"/>
      <c r="H6" s="907"/>
      <c r="I6" s="907" t="s">
        <v>10</v>
      </c>
      <c r="J6" s="907"/>
      <c r="K6" s="907"/>
      <c r="L6" s="907" t="s">
        <v>10</v>
      </c>
      <c r="M6" s="907"/>
      <c r="N6" s="907"/>
      <c r="O6" s="907"/>
      <c r="P6" s="907"/>
      <c r="Q6" s="907"/>
      <c r="R6" s="907"/>
      <c r="S6" s="907"/>
      <c r="T6" s="907"/>
      <c r="U6" s="907"/>
      <c r="V6" s="907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689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37057</v>
      </c>
      <c r="B7" s="923">
        <f>(Weather_Input!B7+Weather_Input!C7)/2</f>
        <v>69</v>
      </c>
      <c r="C7" s="904">
        <v>200000</v>
      </c>
      <c r="D7" s="906" t="s">
        <v>10</v>
      </c>
      <c r="E7" s="907"/>
      <c r="F7" s="907"/>
      <c r="G7" s="907"/>
      <c r="H7" s="908" t="s">
        <v>76</v>
      </c>
      <c r="I7" s="907"/>
      <c r="J7" s="907"/>
      <c r="K7" s="907"/>
      <c r="L7" s="907"/>
      <c r="M7" s="907"/>
      <c r="N7" s="907"/>
      <c r="O7" s="907"/>
      <c r="P7" s="907"/>
      <c r="Q7" s="907"/>
      <c r="R7" s="907" t="s">
        <v>533</v>
      </c>
      <c r="S7" s="911">
        <v>0</v>
      </c>
      <c r="T7" s="911"/>
      <c r="U7" s="907"/>
      <c r="V7" s="90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37058</v>
      </c>
      <c r="B8" s="923">
        <f>(Weather_Input!B8+Weather_Input!C8)/2</f>
        <v>68.5</v>
      </c>
      <c r="C8" s="904">
        <v>185000</v>
      </c>
      <c r="D8" s="906" t="s">
        <v>10</v>
      </c>
      <c r="E8" s="907" t="s">
        <v>10</v>
      </c>
      <c r="F8" s="907"/>
      <c r="G8" s="907"/>
      <c r="H8" s="909" t="s">
        <v>77</v>
      </c>
      <c r="I8" s="907"/>
      <c r="J8" s="907"/>
      <c r="K8" s="907"/>
      <c r="L8" s="907"/>
      <c r="M8" s="907"/>
      <c r="N8" s="907"/>
      <c r="O8" s="907"/>
      <c r="P8" s="907"/>
      <c r="Q8" s="907"/>
      <c r="R8" s="907" t="s">
        <v>534</v>
      </c>
      <c r="S8" s="911">
        <v>0</v>
      </c>
      <c r="T8" s="911"/>
      <c r="U8" s="907"/>
      <c r="V8" s="90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37059</v>
      </c>
      <c r="B9" s="923">
        <f>(Weather_Input!B9+Weather_Input!C9)/2</f>
        <v>71</v>
      </c>
      <c r="C9" s="904">
        <v>200000</v>
      </c>
      <c r="D9" s="906" t="s">
        <v>10</v>
      </c>
      <c r="E9" s="907"/>
      <c r="F9" s="907"/>
      <c r="G9" s="907"/>
      <c r="H9" s="907" t="s">
        <v>78</v>
      </c>
      <c r="I9" s="907"/>
      <c r="J9" s="907"/>
      <c r="K9" s="907"/>
      <c r="L9" s="907"/>
      <c r="M9" s="907"/>
      <c r="N9" s="907"/>
      <c r="O9" s="907"/>
      <c r="P9" s="907"/>
      <c r="Q9" s="907"/>
      <c r="R9" s="907" t="s">
        <v>535</v>
      </c>
      <c r="S9" s="911">
        <v>0</v>
      </c>
      <c r="T9" s="911"/>
      <c r="U9" s="907"/>
      <c r="V9" s="90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37060</v>
      </c>
      <c r="B10" s="923">
        <f>(Weather_Input!B10+Weather_Input!C10)/2</f>
        <v>71</v>
      </c>
      <c r="C10" s="904">
        <v>215000</v>
      </c>
      <c r="D10" s="906" t="s">
        <v>10</v>
      </c>
      <c r="E10" s="907" t="s">
        <v>10</v>
      </c>
      <c r="F10" s="907"/>
      <c r="G10" s="907"/>
      <c r="H10" s="907" t="s">
        <v>79</v>
      </c>
      <c r="I10" s="907"/>
      <c r="J10" s="907"/>
      <c r="K10" s="907"/>
      <c r="L10" s="907"/>
      <c r="M10" s="907"/>
      <c r="N10" s="907"/>
      <c r="O10" s="907"/>
      <c r="P10" s="907"/>
      <c r="Q10" s="907"/>
      <c r="R10" s="907" t="s">
        <v>538</v>
      </c>
      <c r="S10" s="911">
        <v>0</v>
      </c>
      <c r="T10" s="911"/>
      <c r="U10" s="907"/>
      <c r="V10" s="90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1"/>
      <c r="O12" s="1"/>
      <c r="P12" s="1"/>
      <c r="Q12" s="1"/>
      <c r="R12" s="1" t="s">
        <v>537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539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4" t="s">
        <v>10</v>
      </c>
      <c r="T16" s="8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170</v>
      </c>
      <c r="F18" s="4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0"/>
      <c r="T29" s="790"/>
    </row>
    <row r="30" spans="3:92">
      <c r="S30" s="790"/>
      <c r="T30" s="790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10</v>
      </c>
      <c r="B1" s="10"/>
      <c r="C1" s="10"/>
      <c r="M1" s="1" t="s">
        <v>67</v>
      </c>
      <c r="N1" s="1" t="s">
        <v>67</v>
      </c>
    </row>
    <row r="2" spans="1:14" ht="15">
      <c r="K2" t="s">
        <v>687</v>
      </c>
      <c r="L2" t="s">
        <v>687</v>
      </c>
      <c r="M2" t="s">
        <v>687</v>
      </c>
      <c r="N2" t="s">
        <v>687</v>
      </c>
    </row>
    <row r="3" spans="1:14" ht="15">
      <c r="B3" s="11" t="s">
        <v>38</v>
      </c>
      <c r="C3" s="1" t="s">
        <v>55</v>
      </c>
      <c r="D3" s="3" t="s">
        <v>80</v>
      </c>
      <c r="F3" s="3" t="s">
        <v>626</v>
      </c>
      <c r="G3" s="155" t="s">
        <v>81</v>
      </c>
      <c r="H3" s="3" t="s">
        <v>14</v>
      </c>
      <c r="I3" s="155" t="s">
        <v>82</v>
      </c>
      <c r="K3" t="s">
        <v>688</v>
      </c>
      <c r="L3" t="s">
        <v>688</v>
      </c>
      <c r="M3" t="s">
        <v>688</v>
      </c>
      <c r="N3" t="s">
        <v>688</v>
      </c>
    </row>
    <row r="4" spans="1:14">
      <c r="B4" s="11" t="s">
        <v>83</v>
      </c>
      <c r="D4" s="3" t="s">
        <v>84</v>
      </c>
      <c r="E4" s="3" t="s">
        <v>85</v>
      </c>
      <c r="F4" s="3" t="s">
        <v>84</v>
      </c>
      <c r="G4" s="155" t="s">
        <v>84</v>
      </c>
      <c r="H4" s="3" t="s">
        <v>55</v>
      </c>
      <c r="I4" s="155" t="s">
        <v>86</v>
      </c>
      <c r="K4" s="1" t="s">
        <v>685</v>
      </c>
      <c r="L4" s="1" t="s">
        <v>686</v>
      </c>
      <c r="M4" s="1" t="s">
        <v>685</v>
      </c>
      <c r="N4" s="1" t="s">
        <v>686</v>
      </c>
    </row>
    <row r="5" spans="1:14">
      <c r="A5" s="12">
        <f>Weather_Input!A5</f>
        <v>37055</v>
      </c>
      <c r="B5" s="1">
        <f>(Weather_Input!B5+Weather_Input!C5)/2</f>
        <v>82</v>
      </c>
      <c r="C5" s="904">
        <v>34500</v>
      </c>
      <c r="D5" s="904">
        <v>0</v>
      </c>
      <c r="E5" s="904">
        <v>0</v>
      </c>
      <c r="F5" s="904">
        <v>0</v>
      </c>
      <c r="G5" s="904">
        <v>27751</v>
      </c>
      <c r="H5" s="912">
        <f>SUM(D5:G5)</f>
        <v>27751</v>
      </c>
      <c r="I5" s="1">
        <v>1007</v>
      </c>
      <c r="J5" s="1" t="s">
        <v>10</v>
      </c>
      <c r="K5" s="1">
        <v>0</v>
      </c>
      <c r="L5" s="1">
        <v>160</v>
      </c>
      <c r="M5" s="1">
        <v>7959</v>
      </c>
      <c r="N5" s="1">
        <v>0</v>
      </c>
    </row>
    <row r="6" spans="1:14">
      <c r="A6" s="12">
        <f>A5+1</f>
        <v>37056</v>
      </c>
      <c r="B6" s="923">
        <f>(Weather_Input!B6+Weather_Input!C6)/2</f>
        <v>79</v>
      </c>
      <c r="C6" s="904">
        <v>35000</v>
      </c>
      <c r="D6" s="907" t="s">
        <v>10</v>
      </c>
      <c r="E6" s="907"/>
      <c r="F6" s="907"/>
      <c r="G6" s="907"/>
      <c r="H6" s="15"/>
      <c r="I6" s="1" t="s">
        <v>10</v>
      </c>
    </row>
    <row r="7" spans="1:14">
      <c r="A7" s="12">
        <f>A6+1</f>
        <v>37057</v>
      </c>
      <c r="B7" s="923">
        <f>(Weather_Input!B7+Weather_Input!C7)/2</f>
        <v>69</v>
      </c>
      <c r="C7" s="904">
        <v>34000</v>
      </c>
      <c r="D7" s="907" t="s">
        <v>10</v>
      </c>
      <c r="E7" s="907" t="s">
        <v>10</v>
      </c>
      <c r="F7" s="907"/>
      <c r="G7" s="907"/>
      <c r="H7" s="15"/>
    </row>
    <row r="8" spans="1:14">
      <c r="A8" s="12">
        <f>A7+1</f>
        <v>37058</v>
      </c>
      <c r="B8" s="923">
        <f>(Weather_Input!B8+Weather_Input!C8)/2</f>
        <v>68.5</v>
      </c>
      <c r="C8" s="904">
        <v>32000</v>
      </c>
      <c r="D8" s="907" t="s">
        <v>10</v>
      </c>
      <c r="E8" s="907"/>
      <c r="F8" s="907"/>
      <c r="G8" s="907"/>
      <c r="H8" s="15"/>
    </row>
    <row r="9" spans="1:14">
      <c r="A9" s="12">
        <f>A8+1</f>
        <v>37059</v>
      </c>
      <c r="B9" s="923">
        <f>(Weather_Input!B9+Weather_Input!C9)/2</f>
        <v>71</v>
      </c>
      <c r="C9" s="904">
        <v>34000</v>
      </c>
      <c r="D9" s="907" t="s">
        <v>10</v>
      </c>
      <c r="E9" s="907"/>
      <c r="F9" s="907"/>
      <c r="G9" s="907"/>
      <c r="H9" s="15"/>
    </row>
    <row r="10" spans="1:14">
      <c r="A10" s="12">
        <f>A9+1</f>
        <v>37060</v>
      </c>
      <c r="B10" s="923">
        <f>(Weather_Input!B10+Weather_Input!C10)/2</f>
        <v>71</v>
      </c>
      <c r="C10" s="904">
        <v>36000</v>
      </c>
      <c r="D10" s="907" t="s">
        <v>10</v>
      </c>
      <c r="E10" s="907"/>
      <c r="F10" s="907"/>
      <c r="G10" s="907"/>
      <c r="H10" s="15"/>
    </row>
    <row r="11" spans="1:14">
      <c r="A11" s="1" t="s">
        <v>170</v>
      </c>
      <c r="C11" s="1126" t="s">
        <v>10</v>
      </c>
    </row>
    <row r="12" spans="1:14">
      <c r="C12" s="1" t="s">
        <v>10</v>
      </c>
    </row>
    <row r="17" spans="11:11">
      <c r="K17" s="1" t="s">
        <v>10</v>
      </c>
    </row>
    <row r="104" spans="4:4">
      <c r="D104" s="1" t="s">
        <v>10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87</v>
      </c>
      <c r="D3" s="53"/>
      <c r="E3" s="53"/>
      <c r="F3" s="62"/>
      <c r="G3" s="71"/>
      <c r="H3" s="1125">
        <v>1</v>
      </c>
      <c r="I3" s="52" t="s">
        <v>10</v>
      </c>
      <c r="J3" s="52"/>
      <c r="K3" s="52"/>
      <c r="L3" s="52"/>
      <c r="M3" s="52"/>
      <c r="N3" s="62"/>
      <c r="O3" s="62"/>
      <c r="P3" s="52" t="s">
        <v>71</v>
      </c>
      <c r="Q3" s="52"/>
      <c r="R3" s="52"/>
      <c r="S3" s="52"/>
      <c r="T3" s="52"/>
      <c r="U3" s="52"/>
      <c r="V3" s="63" t="s">
        <v>10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798" t="s">
        <v>625</v>
      </c>
      <c r="I4" s="3" t="s">
        <v>1</v>
      </c>
      <c r="J4" s="3" t="s">
        <v>733</v>
      </c>
      <c r="K4" s="3" t="s">
        <v>709</v>
      </c>
      <c r="N4" s="64"/>
      <c r="O4" s="58"/>
      <c r="P4" s="66"/>
      <c r="Q4" s="66"/>
      <c r="V4" s="1222" t="s">
        <v>796</v>
      </c>
      <c r="W4" s="1223"/>
      <c r="X4" s="1224"/>
      <c r="Y4" s="53" t="s">
        <v>37</v>
      </c>
      <c r="Z4" s="53"/>
      <c r="AA4" s="53"/>
      <c r="AB4" s="53"/>
      <c r="AC4" s="55" t="s">
        <v>91</v>
      </c>
      <c r="AD4" s="53"/>
      <c r="AE4" s="53"/>
      <c r="AF4" s="74"/>
      <c r="AG4" s="3" t="s">
        <v>414</v>
      </c>
    </row>
    <row r="5" spans="1:89" s="1" customFormat="1" ht="12.75">
      <c r="B5" s="67" t="s">
        <v>92</v>
      </c>
      <c r="C5" s="59"/>
      <c r="F5" s="250"/>
      <c r="G5" s="67" t="s">
        <v>10</v>
      </c>
      <c r="H5" s="798" t="s">
        <v>398</v>
      </c>
      <c r="I5" s="109" t="s">
        <v>705</v>
      </c>
      <c r="J5" s="54" t="s">
        <v>725</v>
      </c>
      <c r="K5" s="3" t="s">
        <v>763</v>
      </c>
      <c r="N5" s="64"/>
      <c r="O5" s="117" t="s">
        <v>37</v>
      </c>
      <c r="P5" s="3" t="s">
        <v>54</v>
      </c>
      <c r="Q5" s="3" t="s">
        <v>59</v>
      </c>
      <c r="R5" s="3" t="s">
        <v>59</v>
      </c>
      <c r="S5" s="3" t="s">
        <v>37</v>
      </c>
      <c r="T5" s="109" t="s">
        <v>182</v>
      </c>
      <c r="U5" s="1080" t="s">
        <v>746</v>
      </c>
      <c r="V5" s="56" t="s">
        <v>797</v>
      </c>
      <c r="W5" s="56" t="s">
        <v>800</v>
      </c>
      <c r="X5" s="3" t="s">
        <v>801</v>
      </c>
      <c r="Y5" s="3" t="s">
        <v>95</v>
      </c>
      <c r="Z5" s="3" t="s">
        <v>95</v>
      </c>
      <c r="AA5" s="3" t="s">
        <v>95</v>
      </c>
      <c r="AB5" s="3" t="s">
        <v>95</v>
      </c>
      <c r="AC5" s="56" t="s">
        <v>95</v>
      </c>
      <c r="AD5" s="3" t="s">
        <v>95</v>
      </c>
      <c r="AE5" s="3" t="s">
        <v>95</v>
      </c>
      <c r="AF5" s="56" t="s">
        <v>95</v>
      </c>
      <c r="AG5" s="3" t="s">
        <v>95</v>
      </c>
      <c r="AH5" s="3" t="s">
        <v>95</v>
      </c>
      <c r="AI5" s="3" t="s">
        <v>95</v>
      </c>
    </row>
    <row r="6" spans="1:89" s="1" customFormat="1" ht="12.75">
      <c r="A6" s="68"/>
      <c r="B6" s="69" t="s">
        <v>96</v>
      </c>
      <c r="C6" s="54" t="s">
        <v>67</v>
      </c>
      <c r="D6" s="54" t="s">
        <v>91</v>
      </c>
      <c r="E6" s="54" t="s">
        <v>414</v>
      </c>
      <c r="F6" s="251" t="s">
        <v>94</v>
      </c>
      <c r="G6" s="54" t="s">
        <v>97</v>
      </c>
      <c r="H6" s="799" t="s">
        <v>414</v>
      </c>
      <c r="I6" s="1026" t="s">
        <v>706</v>
      </c>
      <c r="J6" s="54" t="s">
        <v>732</v>
      </c>
      <c r="K6" s="54" t="s">
        <v>762</v>
      </c>
      <c r="L6" s="54" t="s">
        <v>37</v>
      </c>
      <c r="M6" s="54" t="s">
        <v>398</v>
      </c>
      <c r="N6" s="54" t="s">
        <v>94</v>
      </c>
      <c r="O6" s="83" t="s">
        <v>89</v>
      </c>
      <c r="P6" s="54" t="s">
        <v>59</v>
      </c>
      <c r="Q6" s="54" t="s">
        <v>99</v>
      </c>
      <c r="R6" s="54" t="s">
        <v>720</v>
      </c>
      <c r="S6" s="54" t="s">
        <v>101</v>
      </c>
      <c r="T6" s="1027" t="s">
        <v>702</v>
      </c>
      <c r="U6" s="1026" t="s">
        <v>89</v>
      </c>
      <c r="V6" s="1225" t="s">
        <v>798</v>
      </c>
      <c r="W6" s="1225" t="s">
        <v>799</v>
      </c>
      <c r="X6" s="54">
        <v>9</v>
      </c>
      <c r="Y6" s="54" t="s">
        <v>37</v>
      </c>
      <c r="Z6" s="54" t="s">
        <v>67</v>
      </c>
      <c r="AA6" s="54" t="s">
        <v>91</v>
      </c>
      <c r="AB6" s="54" t="s">
        <v>414</v>
      </c>
      <c r="AC6" s="54" t="s">
        <v>67</v>
      </c>
      <c r="AD6" s="54" t="s">
        <v>37</v>
      </c>
      <c r="AE6" s="54" t="s">
        <v>91</v>
      </c>
      <c r="AF6" s="54" t="s">
        <v>67</v>
      </c>
      <c r="AG6" s="54" t="s">
        <v>37</v>
      </c>
      <c r="AH6" s="54" t="s">
        <v>91</v>
      </c>
      <c r="AI6" s="54" t="s">
        <v>414</v>
      </c>
    </row>
    <row r="7" spans="1:89" s="1" customFormat="1" ht="12.75">
      <c r="A7" s="825">
        <f>Weather_Input!A5</f>
        <v>37055</v>
      </c>
      <c r="B7" s="913">
        <v>0</v>
      </c>
      <c r="C7" s="914">
        <v>200</v>
      </c>
      <c r="D7" s="623">
        <v>0</v>
      </c>
      <c r="E7" s="623">
        <v>50400</v>
      </c>
      <c r="F7" s="913">
        <v>4000</v>
      </c>
      <c r="G7" s="913">
        <v>4050</v>
      </c>
      <c r="H7" s="915">
        <v>133600</v>
      </c>
      <c r="I7" s="622">
        <v>0</v>
      </c>
      <c r="J7" s="622">
        <v>0</v>
      </c>
      <c r="K7" s="623">
        <v>43100</v>
      </c>
      <c r="L7" s="622">
        <v>0</v>
      </c>
      <c r="M7" s="623">
        <v>0</v>
      </c>
      <c r="N7" s="623">
        <v>0</v>
      </c>
      <c r="O7" s="624">
        <v>0</v>
      </c>
      <c r="P7" s="623">
        <v>61000</v>
      </c>
      <c r="Q7" s="625">
        <f t="shared" ref="Q7:Q12" si="0">P7*0.015</f>
        <v>915</v>
      </c>
      <c r="R7" s="623">
        <v>720</v>
      </c>
      <c r="S7" s="623">
        <v>0</v>
      </c>
      <c r="T7" s="623">
        <v>0</v>
      </c>
      <c r="U7" s="622">
        <v>0</v>
      </c>
      <c r="V7" s="623">
        <v>0</v>
      </c>
      <c r="W7" s="623">
        <v>0</v>
      </c>
      <c r="X7" s="623">
        <v>0</v>
      </c>
      <c r="Y7" s="623">
        <v>0</v>
      </c>
      <c r="Z7" s="623">
        <v>0</v>
      </c>
      <c r="AA7" s="622">
        <v>0</v>
      </c>
      <c r="AB7" s="622">
        <v>0</v>
      </c>
      <c r="AC7" s="622">
        <v>0</v>
      </c>
      <c r="AD7" s="622">
        <v>0</v>
      </c>
      <c r="AE7" s="622">
        <v>0</v>
      </c>
      <c r="AF7" s="622">
        <v>0</v>
      </c>
      <c r="AG7" s="622">
        <v>0</v>
      </c>
      <c r="AH7" s="622">
        <v>0</v>
      </c>
      <c r="AI7" s="622">
        <v>0</v>
      </c>
      <c r="AJ7" s="825">
        <f>Weather_Input!A5</f>
        <v>37055</v>
      </c>
    </row>
    <row r="8" spans="1:89" s="1" customFormat="1" ht="12.75">
      <c r="A8" s="825">
        <f>A7+1</f>
        <v>37056</v>
      </c>
      <c r="B8" s="913">
        <v>0</v>
      </c>
      <c r="C8" s="914">
        <v>200</v>
      </c>
      <c r="D8" s="623">
        <v>0</v>
      </c>
      <c r="E8" s="623">
        <v>0</v>
      </c>
      <c r="F8" s="913">
        <v>0</v>
      </c>
      <c r="G8" s="913">
        <v>0</v>
      </c>
      <c r="H8" s="915">
        <v>154036</v>
      </c>
      <c r="I8" s="622">
        <v>0</v>
      </c>
      <c r="J8" s="622">
        <v>0</v>
      </c>
      <c r="K8" s="623">
        <v>45000</v>
      </c>
      <c r="L8" s="622">
        <v>0</v>
      </c>
      <c r="M8" s="623">
        <v>0</v>
      </c>
      <c r="N8" s="623">
        <v>0</v>
      </c>
      <c r="O8" s="624">
        <v>0</v>
      </c>
      <c r="P8" s="623">
        <v>135000</v>
      </c>
      <c r="Q8" s="625">
        <f t="shared" si="0"/>
        <v>2025</v>
      </c>
      <c r="R8" s="623">
        <v>720</v>
      </c>
      <c r="S8" s="623">
        <v>0</v>
      </c>
      <c r="T8" s="623">
        <v>0</v>
      </c>
      <c r="U8" s="622">
        <v>0</v>
      </c>
      <c r="V8" s="623">
        <v>0</v>
      </c>
      <c r="W8" s="623">
        <v>0</v>
      </c>
      <c r="X8" s="623">
        <v>0</v>
      </c>
      <c r="Y8" s="623">
        <v>0</v>
      </c>
      <c r="Z8" s="623">
        <v>0</v>
      </c>
      <c r="AA8" s="622">
        <v>0</v>
      </c>
      <c r="AB8" s="622">
        <v>0</v>
      </c>
      <c r="AC8" s="622">
        <v>0</v>
      </c>
      <c r="AD8" s="622">
        <v>0</v>
      </c>
      <c r="AE8" s="622">
        <v>0</v>
      </c>
      <c r="AF8" s="622">
        <v>0</v>
      </c>
      <c r="AG8" s="622">
        <v>0</v>
      </c>
      <c r="AH8" s="622">
        <v>0</v>
      </c>
      <c r="AI8" s="622">
        <v>0</v>
      </c>
      <c r="AJ8" s="825">
        <f>AJ7+1</f>
        <v>37056</v>
      </c>
      <c r="AK8" s="622"/>
      <c r="AL8" s="622"/>
      <c r="AM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22"/>
      <c r="BA8" s="622"/>
      <c r="BB8" s="622"/>
      <c r="BC8" s="622"/>
    </row>
    <row r="9" spans="1:89" s="1" customFormat="1" ht="12.75">
      <c r="A9" s="825">
        <f>A8+1</f>
        <v>37057</v>
      </c>
      <c r="B9" s="913">
        <v>0</v>
      </c>
      <c r="C9" s="914">
        <v>0</v>
      </c>
      <c r="D9" s="623">
        <v>0</v>
      </c>
      <c r="E9" s="623">
        <v>0</v>
      </c>
      <c r="F9" s="913">
        <v>0</v>
      </c>
      <c r="G9" s="913">
        <v>0</v>
      </c>
      <c r="H9" s="915">
        <v>0</v>
      </c>
      <c r="I9" s="622">
        <v>0</v>
      </c>
      <c r="J9" s="622">
        <v>0</v>
      </c>
      <c r="K9" s="623">
        <v>0</v>
      </c>
      <c r="L9" s="622">
        <v>0</v>
      </c>
      <c r="M9" s="623">
        <v>0</v>
      </c>
      <c r="N9" s="623">
        <v>0</v>
      </c>
      <c r="O9" s="624">
        <v>0</v>
      </c>
      <c r="P9" s="623">
        <v>135000</v>
      </c>
      <c r="Q9" s="625">
        <f t="shared" si="0"/>
        <v>2025</v>
      </c>
      <c r="R9" s="623">
        <v>720</v>
      </c>
      <c r="S9" s="623">
        <v>0</v>
      </c>
      <c r="T9" s="623">
        <v>0</v>
      </c>
      <c r="U9" s="622">
        <v>0</v>
      </c>
      <c r="V9" s="623">
        <v>0</v>
      </c>
      <c r="W9" s="623">
        <v>0</v>
      </c>
      <c r="X9" s="623">
        <v>0</v>
      </c>
      <c r="Y9" s="623">
        <v>0</v>
      </c>
      <c r="Z9" s="623">
        <v>0</v>
      </c>
      <c r="AA9" s="622">
        <v>0</v>
      </c>
      <c r="AB9" s="622">
        <v>0</v>
      </c>
      <c r="AC9" s="622">
        <v>0</v>
      </c>
      <c r="AD9" s="622">
        <v>0</v>
      </c>
      <c r="AE9" s="622">
        <v>0</v>
      </c>
      <c r="AF9" s="622">
        <v>0</v>
      </c>
      <c r="AG9" s="622">
        <v>0</v>
      </c>
      <c r="AH9" s="622">
        <v>0</v>
      </c>
      <c r="AI9" s="622">
        <v>0</v>
      </c>
      <c r="AJ9" s="825">
        <f>AJ8+1</f>
        <v>37057</v>
      </c>
      <c r="AN9" s="622"/>
    </row>
    <row r="10" spans="1:89" s="1" customFormat="1" ht="12.75">
      <c r="A10" s="825">
        <f>A9+1</f>
        <v>37058</v>
      </c>
      <c r="B10" s="913">
        <v>0</v>
      </c>
      <c r="C10" s="914">
        <v>0</v>
      </c>
      <c r="D10" s="623">
        <v>0</v>
      </c>
      <c r="E10" s="623">
        <v>0</v>
      </c>
      <c r="F10" s="913">
        <v>0</v>
      </c>
      <c r="G10" s="913">
        <v>0</v>
      </c>
      <c r="H10" s="915">
        <v>0</v>
      </c>
      <c r="I10" s="622">
        <v>0</v>
      </c>
      <c r="J10" s="622">
        <v>0</v>
      </c>
      <c r="K10" s="623">
        <v>0</v>
      </c>
      <c r="L10" s="622">
        <v>0</v>
      </c>
      <c r="M10" s="623">
        <v>0</v>
      </c>
      <c r="N10" s="623">
        <v>0</v>
      </c>
      <c r="O10" s="624">
        <v>0</v>
      </c>
      <c r="P10" s="623">
        <v>135000</v>
      </c>
      <c r="Q10" s="625">
        <f t="shared" si="0"/>
        <v>2025</v>
      </c>
      <c r="R10" s="623">
        <v>720</v>
      </c>
      <c r="S10" s="623">
        <v>0</v>
      </c>
      <c r="T10" s="623">
        <v>0</v>
      </c>
      <c r="U10" s="622">
        <v>0</v>
      </c>
      <c r="V10" s="623">
        <v>0</v>
      </c>
      <c r="W10" s="623">
        <v>0</v>
      </c>
      <c r="X10" s="623">
        <v>0</v>
      </c>
      <c r="Y10" s="623">
        <v>0</v>
      </c>
      <c r="Z10" s="623">
        <v>0</v>
      </c>
      <c r="AA10" s="622">
        <v>0</v>
      </c>
      <c r="AB10" s="622">
        <v>0</v>
      </c>
      <c r="AC10" s="622">
        <v>0</v>
      </c>
      <c r="AD10" s="622">
        <v>0</v>
      </c>
      <c r="AE10" s="622">
        <v>0</v>
      </c>
      <c r="AF10" s="622">
        <v>0</v>
      </c>
      <c r="AG10" s="622">
        <v>0</v>
      </c>
      <c r="AH10" s="622">
        <v>0</v>
      </c>
      <c r="AI10" s="622">
        <v>0</v>
      </c>
      <c r="AJ10" s="825">
        <f>AJ9+1</f>
        <v>37058</v>
      </c>
    </row>
    <row r="11" spans="1:89" s="1" customFormat="1" ht="12.75">
      <c r="A11" s="825">
        <f>A10+1</f>
        <v>37059</v>
      </c>
      <c r="B11" s="913">
        <v>0</v>
      </c>
      <c r="C11" s="914">
        <v>0</v>
      </c>
      <c r="D11" s="623">
        <v>0</v>
      </c>
      <c r="E11" s="623">
        <v>0</v>
      </c>
      <c r="F11" s="913">
        <v>0</v>
      </c>
      <c r="G11" s="913">
        <v>0</v>
      </c>
      <c r="H11" s="915">
        <v>0</v>
      </c>
      <c r="I11" s="622">
        <v>0</v>
      </c>
      <c r="J11" s="622">
        <v>0</v>
      </c>
      <c r="K11" s="623">
        <v>0</v>
      </c>
      <c r="L11" s="622">
        <v>0</v>
      </c>
      <c r="M11" s="623">
        <v>0</v>
      </c>
      <c r="N11" s="623">
        <v>0</v>
      </c>
      <c r="O11" s="624">
        <v>0</v>
      </c>
      <c r="P11" s="623">
        <v>135000</v>
      </c>
      <c r="Q11" s="625">
        <f t="shared" si="0"/>
        <v>2025</v>
      </c>
      <c r="R11" s="623">
        <v>720</v>
      </c>
      <c r="S11" s="623">
        <v>0</v>
      </c>
      <c r="T11" s="623">
        <v>0</v>
      </c>
      <c r="U11" s="622">
        <v>0</v>
      </c>
      <c r="V11" s="623">
        <v>0</v>
      </c>
      <c r="W11" s="623">
        <v>0</v>
      </c>
      <c r="X11" s="623">
        <v>0</v>
      </c>
      <c r="Y11" s="623">
        <v>0</v>
      </c>
      <c r="Z11" s="623">
        <v>0</v>
      </c>
      <c r="AA11" s="622">
        <v>0</v>
      </c>
      <c r="AB11" s="622">
        <v>0</v>
      </c>
      <c r="AC11" s="622">
        <v>0</v>
      </c>
      <c r="AD11" s="622">
        <v>0</v>
      </c>
      <c r="AE11" s="622">
        <v>0</v>
      </c>
      <c r="AF11" s="622">
        <v>0</v>
      </c>
      <c r="AG11" s="622">
        <v>0</v>
      </c>
      <c r="AH11" s="622">
        <v>0</v>
      </c>
      <c r="AI11" s="622">
        <v>0</v>
      </c>
      <c r="AJ11" s="825">
        <f>AJ10+1</f>
        <v>37059</v>
      </c>
    </row>
    <row r="12" spans="1:89" s="1" customFormat="1" ht="12.75">
      <c r="A12" s="825">
        <f>A11+1</f>
        <v>37060</v>
      </c>
      <c r="B12" s="913">
        <v>0</v>
      </c>
      <c r="C12" s="914">
        <v>0</v>
      </c>
      <c r="D12" s="623">
        <v>0</v>
      </c>
      <c r="E12" s="623">
        <v>0</v>
      </c>
      <c r="F12" s="913">
        <v>0</v>
      </c>
      <c r="G12" s="913">
        <v>0</v>
      </c>
      <c r="H12" s="915">
        <v>0</v>
      </c>
      <c r="I12" s="622">
        <v>0</v>
      </c>
      <c r="J12" s="622">
        <v>0</v>
      </c>
      <c r="K12" s="623">
        <v>0</v>
      </c>
      <c r="L12" s="622">
        <v>0</v>
      </c>
      <c r="M12" s="623">
        <v>0</v>
      </c>
      <c r="N12" s="623">
        <v>0</v>
      </c>
      <c r="O12" s="624">
        <v>0</v>
      </c>
      <c r="P12" s="623">
        <v>135000</v>
      </c>
      <c r="Q12" s="625">
        <f t="shared" si="0"/>
        <v>2025</v>
      </c>
      <c r="R12" s="623">
        <v>720</v>
      </c>
      <c r="S12" s="623">
        <v>0</v>
      </c>
      <c r="T12" s="623">
        <v>0</v>
      </c>
      <c r="U12" s="622">
        <v>0</v>
      </c>
      <c r="V12" s="623">
        <v>0</v>
      </c>
      <c r="W12" s="623">
        <v>0</v>
      </c>
      <c r="X12" s="623">
        <v>0</v>
      </c>
      <c r="Y12" s="623">
        <v>0</v>
      </c>
      <c r="Z12" s="623">
        <v>0</v>
      </c>
      <c r="AA12" s="622">
        <v>0</v>
      </c>
      <c r="AB12" s="622">
        <v>0</v>
      </c>
      <c r="AC12" s="622">
        <v>0</v>
      </c>
      <c r="AD12" s="622">
        <v>0</v>
      </c>
      <c r="AE12" s="622">
        <v>0</v>
      </c>
      <c r="AF12" s="622">
        <v>0</v>
      </c>
      <c r="AG12" s="622">
        <v>0</v>
      </c>
      <c r="AH12" s="622">
        <v>0</v>
      </c>
      <c r="AI12" s="622">
        <v>0</v>
      </c>
      <c r="AJ12" s="825">
        <f>AJ11+1</f>
        <v>37060</v>
      </c>
    </row>
    <row r="13" spans="1:89">
      <c r="A13" s="1"/>
      <c r="B13" s="1"/>
      <c r="C13" s="1"/>
      <c r="D13" s="1" t="s">
        <v>10</v>
      </c>
      <c r="E13" s="1"/>
      <c r="F13" s="1"/>
      <c r="G13" s="1"/>
      <c r="H13" s="1"/>
      <c r="I13" s="1"/>
      <c r="J13" s="11"/>
      <c r="K13" s="11"/>
      <c r="L13" s="622"/>
      <c r="M13" s="1"/>
      <c r="N13" s="623" t="s">
        <v>10</v>
      </c>
      <c r="O13" s="1"/>
      <c r="P13" s="1"/>
      <c r="Q13" s="1"/>
      <c r="R13" s="1"/>
      <c r="S13" s="1"/>
      <c r="T13" s="1"/>
      <c r="U13" s="622" t="s">
        <v>10</v>
      </c>
      <c r="V13" s="1"/>
      <c r="W13" s="1"/>
      <c r="X13" s="1"/>
      <c r="Y13" s="1"/>
      <c r="Z13" s="1" t="s">
        <v>10</v>
      </c>
      <c r="AA13" s="1"/>
      <c r="AB13" s="6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680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10</v>
      </c>
      <c r="K15" s="11"/>
      <c r="L15" s="1"/>
      <c r="M15" s="1"/>
      <c r="N15" s="1"/>
      <c r="O15" s="1"/>
      <c r="P15" s="1"/>
      <c r="Q15" s="1"/>
      <c r="R15" s="1"/>
      <c r="S15" s="1"/>
      <c r="T15" s="623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3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6"/>
      <c r="B1" s="10"/>
      <c r="C1" s="10"/>
      <c r="D1" s="10"/>
      <c r="E1" s="10"/>
      <c r="F1" s="10"/>
      <c r="G1" s="10"/>
      <c r="H1" s="10"/>
      <c r="I1" s="10"/>
      <c r="J1" s="10"/>
      <c r="X1" s="1" t="s">
        <v>10</v>
      </c>
    </row>
    <row r="2" spans="1:37">
      <c r="U2" s="60"/>
    </row>
    <row r="3" spans="1:37">
      <c r="C3" s="73" t="s">
        <v>103</v>
      </c>
      <c r="D3" s="72"/>
      <c r="E3" s="72"/>
      <c r="F3" s="72"/>
      <c r="G3" s="75"/>
      <c r="H3" s="52" t="s">
        <v>104</v>
      </c>
      <c r="I3" s="53"/>
      <c r="J3" s="58"/>
      <c r="K3" s="58"/>
      <c r="L3" s="55"/>
      <c r="M3" s="52" t="s">
        <v>106</v>
      </c>
      <c r="N3" s="53"/>
      <c r="O3" s="53"/>
      <c r="P3" s="53"/>
      <c r="Q3" s="53"/>
      <c r="R3" s="53"/>
      <c r="S3" s="58"/>
      <c r="T3" s="58"/>
      <c r="U3" s="780"/>
      <c r="V3" s="449"/>
      <c r="W3" s="449"/>
      <c r="X3" s="53"/>
      <c r="Y3" s="58"/>
      <c r="Z3" s="78" t="s">
        <v>107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798" t="s">
        <v>624</v>
      </c>
      <c r="V4" s="3" t="s">
        <v>744</v>
      </c>
      <c r="Y4" s="64"/>
      <c r="Z4" s="60"/>
      <c r="AE4" s="64"/>
    </row>
    <row r="5" spans="1:37">
      <c r="B5" s="3" t="s">
        <v>39</v>
      </c>
      <c r="C5" s="56"/>
      <c r="D5" s="3"/>
      <c r="E5" s="3"/>
      <c r="F5" s="3"/>
      <c r="G5" s="67"/>
      <c r="H5" s="3"/>
      <c r="I5" s="3"/>
      <c r="J5" s="3"/>
      <c r="K5" s="67" t="s">
        <v>53</v>
      </c>
      <c r="L5" s="59" t="s">
        <v>37</v>
      </c>
      <c r="M5" s="56" t="s">
        <v>54</v>
      </c>
      <c r="N5" s="56" t="s">
        <v>10</v>
      </c>
      <c r="O5" s="3" t="s">
        <v>10</v>
      </c>
      <c r="P5" s="3" t="s">
        <v>10</v>
      </c>
      <c r="Q5" s="3" t="s">
        <v>6</v>
      </c>
      <c r="R5" s="109" t="s">
        <v>67</v>
      </c>
      <c r="S5" s="67" t="s">
        <v>10</v>
      </c>
      <c r="T5" s="798" t="s">
        <v>398</v>
      </c>
      <c r="U5" s="109" t="s">
        <v>705</v>
      </c>
      <c r="V5" s="3" t="s">
        <v>742</v>
      </c>
      <c r="W5" s="3"/>
      <c r="X5" s="59" t="s">
        <v>725</v>
      </c>
      <c r="Y5" s="64"/>
      <c r="Z5" s="3"/>
      <c r="AA5" s="3"/>
      <c r="AB5" s="3"/>
      <c r="AE5" s="67" t="s">
        <v>491</v>
      </c>
    </row>
    <row r="6" spans="1:37">
      <c r="B6" s="54" t="s">
        <v>108</v>
      </c>
      <c r="C6" s="57" t="s">
        <v>67</v>
      </c>
      <c r="D6" s="54" t="s">
        <v>91</v>
      </c>
      <c r="E6" s="54" t="s">
        <v>414</v>
      </c>
      <c r="F6" s="54" t="s">
        <v>398</v>
      </c>
      <c r="G6" s="69" t="s">
        <v>94</v>
      </c>
      <c r="H6" s="54" t="s">
        <v>92</v>
      </c>
      <c r="I6" s="54" t="s">
        <v>73</v>
      </c>
      <c r="J6" s="54" t="s">
        <v>60</v>
      </c>
      <c r="K6" s="69" t="s">
        <v>74</v>
      </c>
      <c r="L6" s="54" t="s">
        <v>681</v>
      </c>
      <c r="M6" s="57" t="s">
        <v>59</v>
      </c>
      <c r="N6" s="54" t="s">
        <v>10</v>
      </c>
      <c r="O6" s="54" t="s">
        <v>10</v>
      </c>
      <c r="P6" s="54" t="s">
        <v>10</v>
      </c>
      <c r="Q6" s="1079" t="s">
        <v>5</v>
      </c>
      <c r="R6" s="1027" t="s">
        <v>89</v>
      </c>
      <c r="S6" s="69" t="s">
        <v>10</v>
      </c>
      <c r="T6" s="799" t="s">
        <v>766</v>
      </c>
      <c r="U6" s="1027" t="s">
        <v>706</v>
      </c>
      <c r="V6" s="54" t="s">
        <v>743</v>
      </c>
      <c r="W6" s="54" t="s">
        <v>10</v>
      </c>
      <c r="X6" s="1067" t="s">
        <v>729</v>
      </c>
      <c r="Y6" s="69" t="s">
        <v>725</v>
      </c>
      <c r="Z6" s="54" t="s">
        <v>67</v>
      </c>
      <c r="AA6" s="54" t="s">
        <v>91</v>
      </c>
      <c r="AB6" s="54" t="s">
        <v>414</v>
      </c>
      <c r="AC6" s="54" t="s">
        <v>37</v>
      </c>
      <c r="AD6" s="54" t="s">
        <v>94</v>
      </c>
      <c r="AE6" s="69" t="s">
        <v>490</v>
      </c>
    </row>
    <row r="7" spans="1:37">
      <c r="A7" s="825">
        <f>Weather_Input!A5</f>
        <v>37055</v>
      </c>
      <c r="B7" s="625">
        <v>0</v>
      </c>
      <c r="C7" s="626">
        <v>0</v>
      </c>
      <c r="D7" s="625">
        <v>0</v>
      </c>
      <c r="E7" s="625">
        <v>0</v>
      </c>
      <c r="F7" s="625">
        <v>0</v>
      </c>
      <c r="G7" s="913">
        <v>0</v>
      </c>
      <c r="H7" s="623">
        <v>1000</v>
      </c>
      <c r="I7" s="623">
        <v>15000</v>
      </c>
      <c r="J7" s="623">
        <v>0</v>
      </c>
      <c r="K7" s="916">
        <v>0</v>
      </c>
      <c r="L7" s="624">
        <v>0</v>
      </c>
      <c r="M7" s="917">
        <v>0</v>
      </c>
      <c r="N7" s="623">
        <v>0</v>
      </c>
      <c r="O7" s="623">
        <v>0</v>
      </c>
      <c r="P7" s="623">
        <v>0</v>
      </c>
      <c r="Q7" s="623">
        <v>0</v>
      </c>
      <c r="R7" s="623">
        <v>0</v>
      </c>
      <c r="S7" s="916">
        <v>0</v>
      </c>
      <c r="T7" s="918">
        <v>95000</v>
      </c>
      <c r="U7" s="623">
        <v>0</v>
      </c>
      <c r="V7" s="624">
        <v>124989</v>
      </c>
      <c r="W7" s="624">
        <v>0</v>
      </c>
      <c r="X7" s="622">
        <v>200</v>
      </c>
      <c r="Y7" s="916">
        <v>92887</v>
      </c>
      <c r="Z7" s="624">
        <v>200</v>
      </c>
      <c r="AA7" s="1">
        <v>7000</v>
      </c>
      <c r="AB7" s="622">
        <v>232064</v>
      </c>
      <c r="AC7" s="622">
        <v>41338</v>
      </c>
      <c r="AD7" s="622">
        <v>4000</v>
      </c>
      <c r="AE7" s="916">
        <v>0</v>
      </c>
      <c r="AF7" s="51">
        <f>Weather_Input!A5</f>
        <v>37055</v>
      </c>
      <c r="AI7" s="622"/>
      <c r="AJ7" s="622"/>
      <c r="AK7" s="622"/>
    </row>
    <row r="8" spans="1:37">
      <c r="A8" s="825">
        <f>A7+1</f>
        <v>37056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913">
        <v>0</v>
      </c>
      <c r="H8" s="623">
        <v>1000</v>
      </c>
      <c r="I8" s="623">
        <v>15000</v>
      </c>
      <c r="J8" s="623">
        <v>0</v>
      </c>
      <c r="K8" s="916">
        <v>0</v>
      </c>
      <c r="L8" s="624">
        <v>0</v>
      </c>
      <c r="M8" s="917">
        <v>0</v>
      </c>
      <c r="N8" s="623">
        <v>0</v>
      </c>
      <c r="O8" s="623">
        <v>0</v>
      </c>
      <c r="P8" s="623">
        <v>0</v>
      </c>
      <c r="Q8" s="623">
        <v>0</v>
      </c>
      <c r="R8" s="623">
        <v>0</v>
      </c>
      <c r="S8" s="916">
        <v>0</v>
      </c>
      <c r="T8" s="918">
        <v>50000</v>
      </c>
      <c r="U8" s="623">
        <v>0</v>
      </c>
      <c r="V8" s="624">
        <v>119514</v>
      </c>
      <c r="W8" s="624">
        <v>0</v>
      </c>
      <c r="X8" s="622">
        <v>0</v>
      </c>
      <c r="Y8" s="916">
        <v>98600</v>
      </c>
      <c r="Z8" s="624">
        <v>200</v>
      </c>
      <c r="AA8" s="1">
        <v>0</v>
      </c>
      <c r="AB8" s="622">
        <v>152458</v>
      </c>
      <c r="AC8" s="622">
        <v>47667</v>
      </c>
      <c r="AD8" s="622">
        <v>4000</v>
      </c>
      <c r="AE8" s="916">
        <v>0</v>
      </c>
      <c r="AF8" s="825">
        <f>AF7+1</f>
        <v>37056</v>
      </c>
      <c r="AI8" s="622"/>
      <c r="AJ8" s="622"/>
      <c r="AK8" s="622"/>
    </row>
    <row r="9" spans="1:37" s="622" customFormat="1">
      <c r="A9" s="825">
        <f>A8+1</f>
        <v>37057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913">
        <v>0</v>
      </c>
      <c r="H9" s="623">
        <v>1000</v>
      </c>
      <c r="I9" s="623">
        <v>15000</v>
      </c>
      <c r="J9" s="623">
        <v>0</v>
      </c>
      <c r="K9" s="916">
        <v>0</v>
      </c>
      <c r="L9" s="624">
        <v>0</v>
      </c>
      <c r="M9" s="917">
        <v>0</v>
      </c>
      <c r="N9" s="623">
        <v>0</v>
      </c>
      <c r="O9" s="623">
        <v>0</v>
      </c>
      <c r="P9" s="623">
        <v>0</v>
      </c>
      <c r="Q9" s="623">
        <v>0</v>
      </c>
      <c r="R9" s="623">
        <v>0</v>
      </c>
      <c r="S9" s="916">
        <v>0</v>
      </c>
      <c r="T9" s="918">
        <v>0</v>
      </c>
      <c r="U9" s="623">
        <v>0</v>
      </c>
      <c r="V9" s="624">
        <v>119514</v>
      </c>
      <c r="W9" s="624">
        <v>0</v>
      </c>
      <c r="X9" s="622">
        <v>0</v>
      </c>
      <c r="Y9" s="916">
        <v>103536</v>
      </c>
      <c r="Z9" s="624">
        <v>200</v>
      </c>
      <c r="AA9" s="1">
        <v>0</v>
      </c>
      <c r="AB9" s="622">
        <v>152458</v>
      </c>
      <c r="AC9" s="622">
        <v>51667</v>
      </c>
      <c r="AD9" s="622">
        <v>4000</v>
      </c>
      <c r="AE9" s="916">
        <v>0</v>
      </c>
      <c r="AF9" s="825">
        <f>AF8+1</f>
        <v>37057</v>
      </c>
    </row>
    <row r="10" spans="1:37">
      <c r="A10" s="825">
        <f>A9+1</f>
        <v>37058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913">
        <v>0</v>
      </c>
      <c r="H10" s="623">
        <v>1000</v>
      </c>
      <c r="I10" s="623">
        <v>15000</v>
      </c>
      <c r="J10" s="623">
        <v>0</v>
      </c>
      <c r="K10" s="916">
        <v>0</v>
      </c>
      <c r="L10" s="624">
        <v>0</v>
      </c>
      <c r="M10" s="917">
        <v>0</v>
      </c>
      <c r="N10" s="623">
        <v>0</v>
      </c>
      <c r="O10" s="623">
        <v>0</v>
      </c>
      <c r="P10" s="623">
        <v>0</v>
      </c>
      <c r="Q10" s="623">
        <v>0</v>
      </c>
      <c r="R10" s="623">
        <v>0</v>
      </c>
      <c r="S10" s="916">
        <v>0</v>
      </c>
      <c r="T10" s="918">
        <v>0</v>
      </c>
      <c r="U10" s="623">
        <v>0</v>
      </c>
      <c r="V10" s="624">
        <v>119514</v>
      </c>
      <c r="W10" s="624">
        <v>0</v>
      </c>
      <c r="X10" s="622">
        <v>0</v>
      </c>
      <c r="Y10" s="916">
        <v>103536</v>
      </c>
      <c r="Z10" s="624">
        <v>200</v>
      </c>
      <c r="AA10" s="1">
        <v>0</v>
      </c>
      <c r="AB10" s="622">
        <v>152458</v>
      </c>
      <c r="AC10" s="622">
        <v>51667</v>
      </c>
      <c r="AD10" s="622">
        <v>4000</v>
      </c>
      <c r="AE10" s="916">
        <v>0</v>
      </c>
      <c r="AF10" s="825">
        <f>AF9+1</f>
        <v>37058</v>
      </c>
      <c r="AI10" s="622"/>
      <c r="AJ10" s="622"/>
      <c r="AK10" s="622"/>
    </row>
    <row r="11" spans="1:37">
      <c r="A11" s="825">
        <f>A10+1</f>
        <v>37059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913">
        <v>0</v>
      </c>
      <c r="H11" s="623">
        <v>1000</v>
      </c>
      <c r="I11" s="623">
        <v>15000</v>
      </c>
      <c r="J11" s="623">
        <v>0</v>
      </c>
      <c r="K11" s="916">
        <v>0</v>
      </c>
      <c r="L11" s="624">
        <v>0</v>
      </c>
      <c r="M11" s="917">
        <v>0</v>
      </c>
      <c r="N11" s="623">
        <v>0</v>
      </c>
      <c r="O11" s="623">
        <v>0</v>
      </c>
      <c r="P11" s="623">
        <v>0</v>
      </c>
      <c r="Q11" s="623">
        <v>0</v>
      </c>
      <c r="R11" s="623">
        <v>0</v>
      </c>
      <c r="S11" s="916">
        <v>0</v>
      </c>
      <c r="T11" s="918">
        <v>0</v>
      </c>
      <c r="U11" s="623">
        <v>0</v>
      </c>
      <c r="V11" s="624">
        <v>119514</v>
      </c>
      <c r="W11" s="624">
        <v>0</v>
      </c>
      <c r="X11" s="622">
        <v>0</v>
      </c>
      <c r="Y11" s="916">
        <v>103536</v>
      </c>
      <c r="Z11" s="624">
        <v>200</v>
      </c>
      <c r="AA11" s="1">
        <v>0</v>
      </c>
      <c r="AB11" s="622">
        <v>152458</v>
      </c>
      <c r="AC11" s="622">
        <v>51667</v>
      </c>
      <c r="AD11" s="622">
        <v>4000</v>
      </c>
      <c r="AE11" s="916">
        <v>0</v>
      </c>
      <c r="AF11" s="825">
        <f>AF10+1</f>
        <v>37059</v>
      </c>
    </row>
    <row r="12" spans="1:37">
      <c r="A12" s="825">
        <f>A11+1</f>
        <v>37060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913">
        <v>0</v>
      </c>
      <c r="H12" s="623">
        <v>1000</v>
      </c>
      <c r="I12" s="623">
        <v>15000</v>
      </c>
      <c r="J12" s="623">
        <v>0</v>
      </c>
      <c r="K12" s="916">
        <v>0</v>
      </c>
      <c r="L12" s="624">
        <v>0</v>
      </c>
      <c r="M12" s="917">
        <v>0</v>
      </c>
      <c r="N12" s="623">
        <v>0</v>
      </c>
      <c r="O12" s="623">
        <v>0</v>
      </c>
      <c r="P12" s="623">
        <v>0</v>
      </c>
      <c r="Q12" s="623">
        <v>0</v>
      </c>
      <c r="R12" s="623">
        <v>0</v>
      </c>
      <c r="S12" s="916">
        <v>0</v>
      </c>
      <c r="T12" s="918">
        <v>0</v>
      </c>
      <c r="U12" s="623">
        <v>0</v>
      </c>
      <c r="V12" s="624">
        <v>119514</v>
      </c>
      <c r="W12" s="624">
        <v>0</v>
      </c>
      <c r="X12" s="622">
        <v>0</v>
      </c>
      <c r="Y12" s="916">
        <v>103536</v>
      </c>
      <c r="Z12" s="624">
        <v>200</v>
      </c>
      <c r="AA12" s="1">
        <v>0</v>
      </c>
      <c r="AB12" s="622">
        <v>152458</v>
      </c>
      <c r="AC12" s="622">
        <v>51667</v>
      </c>
      <c r="AD12" s="622">
        <v>4000</v>
      </c>
      <c r="AE12" s="916">
        <v>0</v>
      </c>
      <c r="AF12" s="825">
        <f>AF11+1</f>
        <v>37060</v>
      </c>
    </row>
    <row r="13" spans="1:37">
      <c r="G13" s="1" t="s">
        <v>10</v>
      </c>
      <c r="I13" s="11"/>
      <c r="P13" s="1" t="s">
        <v>10</v>
      </c>
      <c r="T13" s="918"/>
      <c r="U13" s="1" t="s">
        <v>10</v>
      </c>
      <c r="V13" s="11" t="s">
        <v>10</v>
      </c>
      <c r="W13" s="624" t="s">
        <v>10</v>
      </c>
      <c r="X13" s="622"/>
      <c r="Z13" s="60"/>
      <c r="AB13" s="622"/>
      <c r="AD13" s="622"/>
    </row>
    <row r="14" spans="1:37">
      <c r="A14" s="1" t="s">
        <v>10</v>
      </c>
      <c r="I14" s="11"/>
      <c r="X14" s="11"/>
      <c r="Z14" s="1" t="s">
        <v>10</v>
      </c>
      <c r="AB14" s="622"/>
    </row>
    <row r="15" spans="1:37">
      <c r="I15" s="11"/>
      <c r="X15" s="11"/>
    </row>
    <row r="17" spans="16:33">
      <c r="P17" s="1" t="s">
        <v>10</v>
      </c>
    </row>
    <row r="18" spans="16:33">
      <c r="AC18" s="1" t="s">
        <v>10</v>
      </c>
    </row>
    <row r="19" spans="16:33">
      <c r="AA19" s="1" t="s">
        <v>10</v>
      </c>
      <c r="AG19" s="622"/>
    </row>
    <row r="20" spans="16:33">
      <c r="Z20" s="70" t="s">
        <v>10</v>
      </c>
      <c r="AG20" s="622"/>
    </row>
    <row r="21" spans="16:33">
      <c r="AG21" s="622"/>
    </row>
    <row r="22" spans="16:33">
      <c r="AG22" s="622"/>
    </row>
    <row r="23" spans="16:33">
      <c r="AG23" s="622"/>
    </row>
    <row r="25" spans="16:33">
      <c r="AB25" s="622" t="s">
        <v>10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113</v>
      </c>
      <c r="C3" s="52" t="s">
        <v>114</v>
      </c>
      <c r="D3" s="53"/>
      <c r="E3" s="53"/>
      <c r="F3" s="53"/>
      <c r="G3" s="63" t="s">
        <v>115</v>
      </c>
      <c r="H3" s="53"/>
      <c r="I3" s="53"/>
      <c r="J3" s="53"/>
      <c r="K3" s="55"/>
      <c r="L3" s="78" t="s">
        <v>71</v>
      </c>
      <c r="M3" s="78"/>
      <c r="N3" s="78"/>
      <c r="O3" s="53"/>
      <c r="P3" s="53"/>
      <c r="Q3" s="53"/>
      <c r="R3" s="53"/>
      <c r="S3" s="63" t="s">
        <v>116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117</v>
      </c>
      <c r="G4" s="55" t="s">
        <v>118</v>
      </c>
      <c r="H4" s="53"/>
      <c r="I4" s="3" t="s">
        <v>90</v>
      </c>
      <c r="J4" s="3"/>
      <c r="K4" s="117" t="s">
        <v>119</v>
      </c>
      <c r="L4" s="117" t="s">
        <v>119</v>
      </c>
      <c r="M4" s="232" t="s">
        <v>119</v>
      </c>
      <c r="N4" s="59" t="s">
        <v>82</v>
      </c>
      <c r="R4" s="3"/>
      <c r="S4" s="79"/>
      <c r="Z4" s="53"/>
    </row>
    <row r="5" spans="1:128" s="1" customFormat="1" ht="12.75">
      <c r="B5" s="64"/>
      <c r="G5" s="56" t="s">
        <v>109</v>
      </c>
      <c r="H5" s="155" t="s">
        <v>37</v>
      </c>
      <c r="I5" s="80">
        <v>0.05</v>
      </c>
      <c r="J5" s="80" t="s">
        <v>67</v>
      </c>
      <c r="K5" s="59" t="s">
        <v>59</v>
      </c>
      <c r="L5" s="59" t="s">
        <v>59</v>
      </c>
      <c r="M5" s="59" t="s">
        <v>59</v>
      </c>
      <c r="N5" s="59" t="s">
        <v>59</v>
      </c>
      <c r="O5" s="3" t="s">
        <v>67</v>
      </c>
      <c r="P5" s="3" t="s">
        <v>37</v>
      </c>
      <c r="Q5" s="3" t="s">
        <v>37</v>
      </c>
      <c r="R5" s="80" t="s">
        <v>37</v>
      </c>
      <c r="S5" s="55" t="s">
        <v>67</v>
      </c>
      <c r="T5" s="53"/>
      <c r="U5" s="53"/>
      <c r="V5" s="53" t="s">
        <v>10</v>
      </c>
      <c r="W5" s="53" t="s">
        <v>91</v>
      </c>
      <c r="X5" s="53" t="s">
        <v>10</v>
      </c>
      <c r="Z5" s="3" t="s">
        <v>37</v>
      </c>
      <c r="AA5" s="53"/>
      <c r="AB5" s="53" t="s">
        <v>10</v>
      </c>
      <c r="AC5" s="111" t="s">
        <v>518</v>
      </c>
      <c r="AE5" s="53" t="s">
        <v>10</v>
      </c>
    </row>
    <row r="6" spans="1:128" s="1" customFormat="1" ht="12.75">
      <c r="A6" s="68"/>
      <c r="B6" s="69" t="s">
        <v>398</v>
      </c>
      <c r="C6" s="54" t="s">
        <v>37</v>
      </c>
      <c r="D6" s="54" t="s">
        <v>67</v>
      </c>
      <c r="E6" s="54" t="s">
        <v>91</v>
      </c>
      <c r="F6" s="54" t="s">
        <v>414</v>
      </c>
      <c r="G6" s="57" t="s">
        <v>120</v>
      </c>
      <c r="H6" s="54" t="s">
        <v>681</v>
      </c>
      <c r="I6" s="54" t="s">
        <v>98</v>
      </c>
      <c r="J6" s="54" t="s">
        <v>89</v>
      </c>
      <c r="K6" s="54" t="s">
        <v>550</v>
      </c>
      <c r="L6" s="54" t="s">
        <v>121</v>
      </c>
      <c r="M6" s="54" t="s">
        <v>122</v>
      </c>
      <c r="N6" s="54" t="s">
        <v>123</v>
      </c>
      <c r="O6" s="54">
        <v>50</v>
      </c>
      <c r="P6" s="54" t="s">
        <v>100</v>
      </c>
      <c r="Q6" s="54" t="s">
        <v>101</v>
      </c>
      <c r="R6" s="54" t="s">
        <v>102</v>
      </c>
      <c r="S6" s="57" t="s">
        <v>124</v>
      </c>
      <c r="T6" s="54" t="s">
        <v>125</v>
      </c>
      <c r="U6" s="54" t="s">
        <v>126</v>
      </c>
      <c r="V6" s="57" t="s">
        <v>124</v>
      </c>
      <c r="W6" s="54" t="s">
        <v>125</v>
      </c>
      <c r="X6" s="54" t="s">
        <v>126</v>
      </c>
      <c r="Y6" s="57" t="s">
        <v>124</v>
      </c>
      <c r="Z6" s="54" t="s">
        <v>125</v>
      </c>
      <c r="AA6" s="54" t="s">
        <v>126</v>
      </c>
      <c r="AB6" s="57" t="s">
        <v>124</v>
      </c>
      <c r="AC6" s="54" t="s">
        <v>125</v>
      </c>
      <c r="AD6" s="54" t="s">
        <v>126</v>
      </c>
      <c r="AE6" s="83" t="s">
        <v>517</v>
      </c>
    </row>
    <row r="7" spans="1:128" s="1" customFormat="1" ht="12.75">
      <c r="A7" s="826">
        <f>Weather_Input!A5</f>
        <v>37055</v>
      </c>
      <c r="B7" s="913">
        <v>0</v>
      </c>
      <c r="C7" s="623">
        <v>0</v>
      </c>
      <c r="D7" s="623">
        <v>0</v>
      </c>
      <c r="E7" s="623">
        <v>0</v>
      </c>
      <c r="F7" s="623">
        <v>0</v>
      </c>
      <c r="G7" s="917">
        <v>0</v>
      </c>
      <c r="H7" s="623">
        <v>2500</v>
      </c>
      <c r="I7" s="914">
        <v>7197</v>
      </c>
      <c r="J7" s="914">
        <v>7100</v>
      </c>
      <c r="K7" s="626">
        <v>0</v>
      </c>
      <c r="L7" s="919">
        <v>0</v>
      </c>
      <c r="M7" s="919">
        <v>0</v>
      </c>
      <c r="N7" s="919">
        <v>0</v>
      </c>
      <c r="O7" s="919">
        <v>0</v>
      </c>
      <c r="P7" s="623">
        <v>0</v>
      </c>
      <c r="Q7" s="919">
        <v>0</v>
      </c>
      <c r="R7" s="623">
        <v>0</v>
      </c>
      <c r="S7" s="827">
        <v>0</v>
      </c>
      <c r="T7" s="623">
        <v>0</v>
      </c>
      <c r="U7" s="623">
        <v>0</v>
      </c>
      <c r="V7" s="827">
        <v>0</v>
      </c>
      <c r="W7" s="623">
        <v>0</v>
      </c>
      <c r="X7" s="623">
        <v>0</v>
      </c>
      <c r="Y7" s="827">
        <v>0</v>
      </c>
      <c r="Z7" s="623">
        <v>0</v>
      </c>
      <c r="AA7" s="623">
        <v>0</v>
      </c>
      <c r="AB7" s="917">
        <v>0</v>
      </c>
      <c r="AC7" s="623">
        <v>0</v>
      </c>
      <c r="AD7" s="623">
        <v>0</v>
      </c>
      <c r="AE7" s="623">
        <v>0</v>
      </c>
      <c r="AF7" s="825">
        <f>Weather_Input!A5</f>
        <v>37055</v>
      </c>
      <c r="AG7" s="622"/>
      <c r="AH7" s="622"/>
      <c r="AI7" s="622"/>
      <c r="AJ7" s="622"/>
      <c r="AK7" s="622"/>
    </row>
    <row r="8" spans="1:128" s="1" customFormat="1" ht="12.75">
      <c r="A8" s="826">
        <f>Weather_Input!A6</f>
        <v>37056</v>
      </c>
      <c r="B8" s="913">
        <v>0</v>
      </c>
      <c r="C8" s="623">
        <v>0</v>
      </c>
      <c r="D8" s="623">
        <v>0</v>
      </c>
      <c r="E8" s="623">
        <v>0</v>
      </c>
      <c r="F8" s="623">
        <v>0</v>
      </c>
      <c r="G8" s="917">
        <v>0</v>
      </c>
      <c r="H8" s="623">
        <v>2000</v>
      </c>
      <c r="I8" s="914">
        <v>7197</v>
      </c>
      <c r="J8" s="914">
        <v>0</v>
      </c>
      <c r="K8" s="626">
        <v>0</v>
      </c>
      <c r="L8" s="919">
        <v>0</v>
      </c>
      <c r="M8" s="919">
        <v>0</v>
      </c>
      <c r="N8" s="919">
        <v>0</v>
      </c>
      <c r="O8" s="919">
        <v>0</v>
      </c>
      <c r="P8" s="623">
        <v>0</v>
      </c>
      <c r="Q8" s="919">
        <v>0</v>
      </c>
      <c r="R8" s="623">
        <v>0</v>
      </c>
      <c r="S8" s="827">
        <v>0</v>
      </c>
      <c r="T8" s="623">
        <v>0</v>
      </c>
      <c r="U8" s="623">
        <v>0</v>
      </c>
      <c r="V8" s="827">
        <v>0</v>
      </c>
      <c r="W8" s="623">
        <v>0</v>
      </c>
      <c r="X8" s="623">
        <v>0</v>
      </c>
      <c r="Y8" s="827">
        <v>0</v>
      </c>
      <c r="Z8" s="623">
        <v>0</v>
      </c>
      <c r="AA8" s="623">
        <v>0</v>
      </c>
      <c r="AB8" s="917">
        <v>0</v>
      </c>
      <c r="AC8" s="623">
        <v>0</v>
      </c>
      <c r="AD8" s="623">
        <v>0</v>
      </c>
      <c r="AE8" s="623">
        <v>0</v>
      </c>
      <c r="AF8" s="826">
        <f>AF7+1</f>
        <v>37056</v>
      </c>
      <c r="AG8" s="622"/>
      <c r="AH8" s="622"/>
      <c r="AI8" s="622"/>
      <c r="AJ8" s="622"/>
      <c r="AK8" s="622"/>
    </row>
    <row r="9" spans="1:128" s="1" customFormat="1" ht="12.75">
      <c r="A9" s="825">
        <f>A8+1</f>
        <v>37057</v>
      </c>
      <c r="B9" s="913">
        <v>0</v>
      </c>
      <c r="C9" s="623">
        <v>0</v>
      </c>
      <c r="D9" s="623">
        <v>0</v>
      </c>
      <c r="E9" s="623">
        <v>0</v>
      </c>
      <c r="F9" s="623">
        <v>0</v>
      </c>
      <c r="G9" s="917">
        <v>0</v>
      </c>
      <c r="H9" s="623">
        <v>2000</v>
      </c>
      <c r="I9" s="914">
        <v>7197</v>
      </c>
      <c r="J9" s="914">
        <v>0</v>
      </c>
      <c r="K9" s="626">
        <v>0</v>
      </c>
      <c r="L9" s="919">
        <v>0</v>
      </c>
      <c r="M9" s="919">
        <v>0</v>
      </c>
      <c r="N9" s="919">
        <v>0</v>
      </c>
      <c r="O9" s="919">
        <v>0</v>
      </c>
      <c r="P9" s="623">
        <v>0</v>
      </c>
      <c r="Q9" s="919">
        <v>0</v>
      </c>
      <c r="R9" s="623">
        <v>0</v>
      </c>
      <c r="S9" s="827">
        <v>0</v>
      </c>
      <c r="T9" s="623">
        <v>0</v>
      </c>
      <c r="U9" s="623">
        <v>0</v>
      </c>
      <c r="V9" s="827">
        <v>0</v>
      </c>
      <c r="W9" s="623">
        <v>0</v>
      </c>
      <c r="X9" s="623">
        <v>0</v>
      </c>
      <c r="Y9" s="827">
        <v>0</v>
      </c>
      <c r="Z9" s="623">
        <v>0</v>
      </c>
      <c r="AA9" s="623">
        <v>0</v>
      </c>
      <c r="AB9" s="917">
        <v>0</v>
      </c>
      <c r="AC9" s="623">
        <v>0</v>
      </c>
      <c r="AD9" s="623">
        <v>0</v>
      </c>
      <c r="AE9" s="623">
        <v>0</v>
      </c>
      <c r="AF9" s="825">
        <f>AF8+1</f>
        <v>37057</v>
      </c>
      <c r="AG9" s="622"/>
      <c r="AH9" s="622"/>
      <c r="AI9" s="622"/>
      <c r="AJ9" s="622"/>
      <c r="AK9" s="622"/>
    </row>
    <row r="10" spans="1:128" s="1" customFormat="1" ht="12.75">
      <c r="A10" s="825">
        <f>A9+1</f>
        <v>37058</v>
      </c>
      <c r="B10" s="913">
        <v>0</v>
      </c>
      <c r="C10" s="623">
        <v>0</v>
      </c>
      <c r="D10" s="623">
        <v>0</v>
      </c>
      <c r="E10" s="623">
        <v>0</v>
      </c>
      <c r="F10" s="623">
        <v>0</v>
      </c>
      <c r="G10" s="917">
        <v>0</v>
      </c>
      <c r="H10" s="623">
        <v>2000</v>
      </c>
      <c r="I10" s="914">
        <v>7197</v>
      </c>
      <c r="J10" s="914">
        <v>0</v>
      </c>
      <c r="K10" s="626">
        <v>0</v>
      </c>
      <c r="L10" s="919">
        <v>0</v>
      </c>
      <c r="M10" s="919">
        <v>0</v>
      </c>
      <c r="N10" s="919">
        <v>0</v>
      </c>
      <c r="O10" s="919">
        <v>0</v>
      </c>
      <c r="P10" s="623">
        <v>0</v>
      </c>
      <c r="Q10" s="919">
        <v>0</v>
      </c>
      <c r="R10" s="623">
        <v>0</v>
      </c>
      <c r="S10" s="827">
        <v>0</v>
      </c>
      <c r="T10" s="623">
        <v>0</v>
      </c>
      <c r="U10" s="623">
        <v>0</v>
      </c>
      <c r="V10" s="827">
        <v>0</v>
      </c>
      <c r="W10" s="623">
        <v>0</v>
      </c>
      <c r="X10" s="623">
        <v>0</v>
      </c>
      <c r="Y10" s="827">
        <v>0</v>
      </c>
      <c r="Z10" s="623">
        <v>0</v>
      </c>
      <c r="AA10" s="623">
        <v>0</v>
      </c>
      <c r="AB10" s="917">
        <v>0</v>
      </c>
      <c r="AC10" s="623">
        <v>0</v>
      </c>
      <c r="AD10" s="623">
        <v>0</v>
      </c>
      <c r="AE10" s="623">
        <v>0</v>
      </c>
      <c r="AF10" s="825">
        <f>AF9+1</f>
        <v>37058</v>
      </c>
      <c r="AG10" s="622"/>
      <c r="AH10" s="622"/>
      <c r="AI10" s="622"/>
      <c r="AJ10" s="622"/>
      <c r="AK10" s="622"/>
    </row>
    <row r="11" spans="1:128" s="1" customFormat="1" ht="12.75">
      <c r="A11" s="825">
        <f>A10+1</f>
        <v>37059</v>
      </c>
      <c r="B11" s="913">
        <v>0</v>
      </c>
      <c r="C11" s="623">
        <v>0</v>
      </c>
      <c r="D11" s="623">
        <v>0</v>
      </c>
      <c r="E11" s="623">
        <v>0</v>
      </c>
      <c r="F11" s="623">
        <v>0</v>
      </c>
      <c r="G11" s="917">
        <v>0</v>
      </c>
      <c r="H11" s="623">
        <v>2000</v>
      </c>
      <c r="I11" s="914">
        <v>7197</v>
      </c>
      <c r="J11" s="914">
        <v>0</v>
      </c>
      <c r="K11" s="626">
        <v>0</v>
      </c>
      <c r="L11" s="919">
        <v>0</v>
      </c>
      <c r="M11" s="919">
        <v>0</v>
      </c>
      <c r="N11" s="919">
        <v>0</v>
      </c>
      <c r="O11" s="919">
        <v>0</v>
      </c>
      <c r="P11" s="623">
        <v>0</v>
      </c>
      <c r="Q11" s="919">
        <v>0</v>
      </c>
      <c r="R11" s="623">
        <v>0</v>
      </c>
      <c r="S11" s="827">
        <v>0</v>
      </c>
      <c r="T11" s="623">
        <v>0</v>
      </c>
      <c r="U11" s="623">
        <v>0</v>
      </c>
      <c r="V11" s="827">
        <v>0</v>
      </c>
      <c r="W11" s="623">
        <v>0</v>
      </c>
      <c r="X11" s="623">
        <v>0</v>
      </c>
      <c r="Y11" s="827">
        <v>0</v>
      </c>
      <c r="Z11" s="623">
        <v>0</v>
      </c>
      <c r="AA11" s="623">
        <v>0</v>
      </c>
      <c r="AB11" s="917">
        <v>0</v>
      </c>
      <c r="AC11" s="623">
        <v>0</v>
      </c>
      <c r="AD11" s="623">
        <v>0</v>
      </c>
      <c r="AE11" s="623">
        <v>0</v>
      </c>
      <c r="AF11" s="825">
        <f>AF10+1</f>
        <v>37059</v>
      </c>
      <c r="AG11" s="622"/>
      <c r="AH11" s="622"/>
      <c r="AI11" s="622"/>
      <c r="AJ11" s="622"/>
      <c r="AK11" s="622"/>
    </row>
    <row r="12" spans="1:128" s="1" customFormat="1" ht="12.75">
      <c r="A12" s="825">
        <f>A11+1</f>
        <v>37060</v>
      </c>
      <c r="B12" s="913">
        <v>0</v>
      </c>
      <c r="C12" s="623">
        <v>0</v>
      </c>
      <c r="D12" s="623">
        <v>0</v>
      </c>
      <c r="E12" s="623">
        <v>0</v>
      </c>
      <c r="F12" s="623">
        <v>0</v>
      </c>
      <c r="G12" s="917">
        <v>0</v>
      </c>
      <c r="H12" s="623">
        <v>2000</v>
      </c>
      <c r="I12" s="914">
        <v>7197</v>
      </c>
      <c r="J12" s="914">
        <v>0</v>
      </c>
      <c r="K12" s="626">
        <v>0</v>
      </c>
      <c r="L12" s="919">
        <v>0</v>
      </c>
      <c r="M12" s="919">
        <v>0</v>
      </c>
      <c r="N12" s="919">
        <v>0</v>
      </c>
      <c r="O12" s="919">
        <v>0</v>
      </c>
      <c r="P12" s="623">
        <v>0</v>
      </c>
      <c r="Q12" s="919">
        <v>0</v>
      </c>
      <c r="R12" s="623">
        <v>0</v>
      </c>
      <c r="S12" s="827">
        <v>0</v>
      </c>
      <c r="T12" s="623">
        <v>0</v>
      </c>
      <c r="U12" s="623">
        <v>0</v>
      </c>
      <c r="V12" s="827">
        <v>0</v>
      </c>
      <c r="W12" s="623">
        <v>0</v>
      </c>
      <c r="X12" s="623">
        <v>0</v>
      </c>
      <c r="Y12" s="827">
        <v>0</v>
      </c>
      <c r="Z12" s="623">
        <v>0</v>
      </c>
      <c r="AA12" s="623">
        <v>0</v>
      </c>
      <c r="AB12" s="917">
        <v>0</v>
      </c>
      <c r="AC12" s="623">
        <v>0</v>
      </c>
      <c r="AD12" s="623">
        <v>0</v>
      </c>
      <c r="AE12" s="623">
        <v>0</v>
      </c>
      <c r="AF12" s="825">
        <f>AF11+1</f>
        <v>37060</v>
      </c>
      <c r="AG12" s="622"/>
      <c r="AH12" s="622"/>
      <c r="AI12" s="622"/>
      <c r="AJ12" s="622"/>
      <c r="AK12" s="622"/>
    </row>
    <row r="13" spans="1:128" s="1" customFormat="1" ht="12.75">
      <c r="A13" s="622"/>
      <c r="B13" s="622"/>
      <c r="C13" s="623"/>
      <c r="D13" s="622"/>
      <c r="E13" s="623"/>
      <c r="F13" s="623"/>
      <c r="G13" s="622"/>
      <c r="H13" s="623"/>
      <c r="I13" s="622"/>
      <c r="J13" s="622"/>
      <c r="K13" s="622"/>
      <c r="L13" s="622" t="s">
        <v>10</v>
      </c>
      <c r="M13" s="622"/>
      <c r="N13" s="622"/>
      <c r="P13" s="622"/>
      <c r="Q13" s="622"/>
      <c r="R13" s="622"/>
      <c r="S13" s="827"/>
      <c r="T13" s="622"/>
      <c r="U13" s="622"/>
      <c r="V13" s="627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4"/>
    </row>
    <row r="14" spans="1:128" s="1" customFormat="1" ht="12.75">
      <c r="A14" s="622"/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5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6" t="s">
        <v>170</v>
      </c>
      <c r="B1" s="10"/>
      <c r="C1" s="1" t="s">
        <v>10</v>
      </c>
      <c r="P1" s="1" t="s">
        <v>10</v>
      </c>
    </row>
    <row r="3" spans="1:24">
      <c r="B3" s="81" t="s">
        <v>113</v>
      </c>
      <c r="C3" s="63" t="s">
        <v>105</v>
      </c>
      <c r="D3" s="53"/>
      <c r="E3" s="53"/>
      <c r="F3" s="55"/>
      <c r="G3" s="65"/>
      <c r="H3" s="52" t="s">
        <v>106</v>
      </c>
      <c r="I3" s="53"/>
      <c r="J3" s="53"/>
      <c r="K3" s="53"/>
      <c r="L3" s="53"/>
      <c r="M3" s="65"/>
      <c r="N3" s="58"/>
      <c r="O3" s="52" t="s">
        <v>127</v>
      </c>
      <c r="P3" s="53"/>
      <c r="Q3" s="53"/>
      <c r="R3" s="53"/>
      <c r="S3" s="53"/>
      <c r="T3" s="53"/>
      <c r="U3" s="65"/>
    </row>
    <row r="4" spans="1:24">
      <c r="B4" s="81" t="s">
        <v>128</v>
      </c>
      <c r="C4" s="55"/>
      <c r="D4" s="53"/>
      <c r="E4" s="53"/>
      <c r="F4" s="58"/>
      <c r="G4" s="59" t="s">
        <v>90</v>
      </c>
      <c r="H4" s="55"/>
      <c r="M4" s="64"/>
      <c r="N4" s="60"/>
      <c r="P4" s="3" t="s">
        <v>623</v>
      </c>
      <c r="Q4" s="3"/>
      <c r="U4" s="64"/>
    </row>
    <row r="5" spans="1:24">
      <c r="C5" s="56" t="s">
        <v>37</v>
      </c>
      <c r="D5" s="3" t="s">
        <v>93</v>
      </c>
      <c r="E5" s="3" t="s">
        <v>67</v>
      </c>
      <c r="F5" s="59" t="s">
        <v>37</v>
      </c>
      <c r="G5" s="61">
        <v>0.05</v>
      </c>
      <c r="H5" s="56" t="s">
        <v>54</v>
      </c>
      <c r="I5" s="3" t="s">
        <v>37</v>
      </c>
      <c r="J5" s="3" t="s">
        <v>37</v>
      </c>
      <c r="K5" s="3" t="s">
        <v>37</v>
      </c>
      <c r="L5" s="3" t="s">
        <v>67</v>
      </c>
      <c r="M5" s="67" t="s">
        <v>67</v>
      </c>
      <c r="N5" s="3" t="s">
        <v>414</v>
      </c>
      <c r="O5" s="3"/>
      <c r="P5" s="3" t="s">
        <v>129</v>
      </c>
      <c r="Q5" s="3" t="s">
        <v>129</v>
      </c>
      <c r="R5" s="3" t="s">
        <v>37</v>
      </c>
      <c r="S5" s="1" t="s">
        <v>519</v>
      </c>
      <c r="U5" s="67"/>
    </row>
    <row r="6" spans="1:24">
      <c r="B6" s="54" t="s">
        <v>398</v>
      </c>
      <c r="C6" s="57" t="s">
        <v>109</v>
      </c>
      <c r="D6" s="54" t="s">
        <v>110</v>
      </c>
      <c r="E6" s="83" t="s">
        <v>89</v>
      </c>
      <c r="F6" s="54" t="s">
        <v>681</v>
      </c>
      <c r="G6" s="54" t="s">
        <v>98</v>
      </c>
      <c r="H6" s="57" t="s">
        <v>59</v>
      </c>
      <c r="I6" s="54" t="s">
        <v>100</v>
      </c>
      <c r="J6" s="54" t="s">
        <v>101</v>
      </c>
      <c r="K6" s="54" t="s">
        <v>102</v>
      </c>
      <c r="L6" s="54" t="s">
        <v>112</v>
      </c>
      <c r="M6" s="69" t="s">
        <v>111</v>
      </c>
      <c r="N6" s="83" t="s">
        <v>525</v>
      </c>
      <c r="O6" s="54" t="s">
        <v>91</v>
      </c>
      <c r="P6" s="83" t="s">
        <v>131</v>
      </c>
      <c r="Q6" s="83" t="s">
        <v>627</v>
      </c>
      <c r="R6" s="54" t="s">
        <v>129</v>
      </c>
      <c r="S6" s="1027" t="s">
        <v>37</v>
      </c>
      <c r="T6" s="54" t="s">
        <v>414</v>
      </c>
      <c r="U6" s="69" t="s">
        <v>60</v>
      </c>
    </row>
    <row r="7" spans="1:24">
      <c r="A7" s="825">
        <f>Weather_Input!A5</f>
        <v>37055</v>
      </c>
      <c r="B7" s="625">
        <v>0</v>
      </c>
      <c r="C7" s="626">
        <v>0</v>
      </c>
      <c r="D7" s="625">
        <v>0</v>
      </c>
      <c r="E7" s="625">
        <v>0</v>
      </c>
      <c r="F7" s="625">
        <v>0</v>
      </c>
      <c r="G7" s="625">
        <f>(R7+S7+C7+PGL_Requirements!Y7+PGL_Requirements!Z7-NSG_Requirements!C7)*0.05</f>
        <v>2295.2000000000003</v>
      </c>
      <c r="H7" s="626">
        <v>0</v>
      </c>
      <c r="I7" s="625">
        <v>0</v>
      </c>
      <c r="J7" s="625">
        <v>0</v>
      </c>
      <c r="K7" s="625">
        <v>0</v>
      </c>
      <c r="L7" s="625">
        <v>0</v>
      </c>
      <c r="M7" s="625">
        <v>0</v>
      </c>
      <c r="N7" s="626">
        <v>0</v>
      </c>
      <c r="O7" s="914">
        <v>0</v>
      </c>
      <c r="P7" s="625">
        <v>0</v>
      </c>
      <c r="Q7" s="625">
        <v>15215</v>
      </c>
      <c r="R7" s="625">
        <v>28889</v>
      </c>
      <c r="S7" s="625">
        <v>17015</v>
      </c>
      <c r="T7" s="625">
        <v>0</v>
      </c>
      <c r="U7" s="625">
        <v>0</v>
      </c>
      <c r="V7" s="825">
        <f>Weather_Input!A5</f>
        <v>37055</v>
      </c>
      <c r="W7" s="622"/>
      <c r="X7" s="622"/>
    </row>
    <row r="8" spans="1:24">
      <c r="A8" s="825">
        <f>A7+1</f>
        <v>37056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625">
        <f>(R8+S8+C8+PGL_Requirements!Y8+PGL_Requirements!Z8-NSG_Requirements!C8)*0.05</f>
        <v>2275.2000000000003</v>
      </c>
      <c r="H8" s="626">
        <v>0</v>
      </c>
      <c r="I8" s="625">
        <v>0</v>
      </c>
      <c r="J8" s="625">
        <v>0</v>
      </c>
      <c r="K8" s="625">
        <v>0</v>
      </c>
      <c r="L8" s="625">
        <v>0</v>
      </c>
      <c r="M8" s="625">
        <v>0</v>
      </c>
      <c r="N8" s="626">
        <v>0</v>
      </c>
      <c r="O8" s="914">
        <v>0</v>
      </c>
      <c r="P8" s="625">
        <v>0</v>
      </c>
      <c r="Q8" s="625">
        <v>15215</v>
      </c>
      <c r="R8" s="625">
        <v>28689</v>
      </c>
      <c r="S8" s="625">
        <v>16815</v>
      </c>
      <c r="T8" s="625">
        <v>0</v>
      </c>
      <c r="U8" s="625">
        <v>0</v>
      </c>
      <c r="V8" s="825">
        <f>V7+1</f>
        <v>37056</v>
      </c>
      <c r="W8" s="622"/>
      <c r="X8" s="622"/>
    </row>
    <row r="9" spans="1:24">
      <c r="A9" s="825">
        <f>A8+1</f>
        <v>37057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625">
        <f>(R9+S9+C9+PGL_Requirements!Y9+PGL_Requirements!Z9-NSG_Requirements!C9)*0.05</f>
        <v>2275.2000000000003</v>
      </c>
      <c r="H9" s="626">
        <v>0</v>
      </c>
      <c r="I9" s="625">
        <v>0</v>
      </c>
      <c r="J9" s="625">
        <v>0</v>
      </c>
      <c r="K9" s="625">
        <v>0</v>
      </c>
      <c r="L9" s="625">
        <v>0</v>
      </c>
      <c r="M9" s="625">
        <v>0</v>
      </c>
      <c r="N9" s="626">
        <v>0</v>
      </c>
      <c r="O9" s="914">
        <v>0</v>
      </c>
      <c r="P9" s="625">
        <v>0</v>
      </c>
      <c r="Q9" s="625">
        <v>15215</v>
      </c>
      <c r="R9" s="625">
        <v>28689</v>
      </c>
      <c r="S9" s="625">
        <v>16815</v>
      </c>
      <c r="T9" s="625">
        <v>0</v>
      </c>
      <c r="U9" s="625">
        <v>0</v>
      </c>
      <c r="V9" s="825">
        <f>V8+1</f>
        <v>37057</v>
      </c>
      <c r="W9" s="622"/>
      <c r="X9" s="622"/>
    </row>
    <row r="10" spans="1:24">
      <c r="A10" s="825">
        <f>A9+1</f>
        <v>37058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625">
        <f>(R10+S10+C10+PGL_Requirements!Y10+PGL_Requirements!Z10-NSG_Requirements!C10)*0.05</f>
        <v>2275.2000000000003</v>
      </c>
      <c r="H10" s="626">
        <v>0</v>
      </c>
      <c r="I10" s="625">
        <v>0</v>
      </c>
      <c r="J10" s="625">
        <v>0</v>
      </c>
      <c r="K10" s="625">
        <v>0</v>
      </c>
      <c r="L10" s="625">
        <v>0</v>
      </c>
      <c r="M10" s="625">
        <v>0</v>
      </c>
      <c r="N10" s="626">
        <v>0</v>
      </c>
      <c r="O10" s="914">
        <v>0</v>
      </c>
      <c r="P10" s="625">
        <v>0</v>
      </c>
      <c r="Q10" s="625">
        <v>15215</v>
      </c>
      <c r="R10" s="625">
        <v>28689</v>
      </c>
      <c r="S10" s="625">
        <v>16815</v>
      </c>
      <c r="T10" s="625">
        <v>0</v>
      </c>
      <c r="U10" s="625">
        <v>0</v>
      </c>
      <c r="V10" s="825">
        <f>V9+1</f>
        <v>37058</v>
      </c>
      <c r="W10" s="622"/>
      <c r="X10" s="622"/>
    </row>
    <row r="11" spans="1:24">
      <c r="A11" s="825">
        <f>A10+1</f>
        <v>37059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625">
        <f>(R11+S11+C11+PGL_Requirements!Y11+PGL_Requirements!Z11-NSG_Requirements!C11)*0.05</f>
        <v>2275.2000000000003</v>
      </c>
      <c r="H11" s="626">
        <v>0</v>
      </c>
      <c r="I11" s="625">
        <v>0</v>
      </c>
      <c r="J11" s="625">
        <v>0</v>
      </c>
      <c r="K11" s="625">
        <v>0</v>
      </c>
      <c r="L11" s="625">
        <v>0</v>
      </c>
      <c r="M11" s="625">
        <v>0</v>
      </c>
      <c r="N11" s="626">
        <v>0</v>
      </c>
      <c r="O11" s="914">
        <v>0</v>
      </c>
      <c r="P11" s="625">
        <v>0</v>
      </c>
      <c r="Q11" s="625">
        <v>15215</v>
      </c>
      <c r="R11" s="625">
        <v>28689</v>
      </c>
      <c r="S11" s="625">
        <v>16815</v>
      </c>
      <c r="T11" s="625">
        <v>0</v>
      </c>
      <c r="U11" s="625">
        <v>0</v>
      </c>
      <c r="V11" s="825">
        <f>V10+1</f>
        <v>37059</v>
      </c>
      <c r="W11" s="622"/>
      <c r="X11" s="622"/>
    </row>
    <row r="12" spans="1:24">
      <c r="A12" s="825">
        <f>A11+1</f>
        <v>37060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625">
        <f>(R12+S12+C12+PGL_Requirements!Y12+PGL_Requirements!Z12-NSG_Requirements!C12)*0.05</f>
        <v>2275.2000000000003</v>
      </c>
      <c r="H12" s="626">
        <v>0</v>
      </c>
      <c r="I12" s="625">
        <v>0</v>
      </c>
      <c r="J12" s="625">
        <v>0</v>
      </c>
      <c r="K12" s="625">
        <v>0</v>
      </c>
      <c r="L12" s="625">
        <v>0</v>
      </c>
      <c r="M12" s="625">
        <v>0</v>
      </c>
      <c r="N12" s="626">
        <v>0</v>
      </c>
      <c r="O12" s="914">
        <v>0</v>
      </c>
      <c r="P12" s="625">
        <v>0</v>
      </c>
      <c r="Q12" s="625">
        <v>15215</v>
      </c>
      <c r="R12" s="625">
        <v>28689</v>
      </c>
      <c r="S12" s="625">
        <v>16815</v>
      </c>
      <c r="T12" s="625">
        <v>0</v>
      </c>
      <c r="U12" s="625">
        <v>0</v>
      </c>
      <c r="V12" s="825">
        <f>V11+1</f>
        <v>37060</v>
      </c>
      <c r="W12" s="622"/>
      <c r="X12" s="622"/>
    </row>
    <row r="13" spans="1:24">
      <c r="A13" s="622"/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5"/>
      <c r="N13" s="626"/>
      <c r="O13" s="622"/>
      <c r="P13" s="622"/>
      <c r="Q13" s="622"/>
      <c r="R13" s="625"/>
      <c r="S13" s="625"/>
      <c r="T13" s="625"/>
      <c r="U13" s="622"/>
      <c r="V13" s="622"/>
      <c r="W13" s="622"/>
      <c r="X13" s="622"/>
    </row>
    <row r="14" spans="1:24">
      <c r="A14" s="622"/>
      <c r="B14" s="622"/>
      <c r="C14" s="622"/>
      <c r="D14" s="622" t="s">
        <v>10</v>
      </c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2"/>
      <c r="Q14" s="622"/>
      <c r="R14" s="625" t="s">
        <v>10</v>
      </c>
      <c r="S14" s="622"/>
      <c r="T14" s="622"/>
      <c r="U14" s="622"/>
      <c r="V14" s="622"/>
      <c r="W14" s="622"/>
      <c r="X14" s="622"/>
    </row>
    <row r="15" spans="1:24">
      <c r="A15" s="622"/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2"/>
      <c r="R15" s="625" t="s">
        <v>10</v>
      </c>
      <c r="S15" s="622"/>
      <c r="T15" s="622" t="s">
        <v>10</v>
      </c>
      <c r="U15" s="622"/>
      <c r="V15" s="622"/>
      <c r="W15" s="622"/>
      <c r="X15" s="622"/>
    </row>
    <row r="16" spans="1:24">
      <c r="R16" s="49" t="s">
        <v>10</v>
      </c>
    </row>
    <row r="17" spans="3:96">
      <c r="R17" s="49" t="s">
        <v>10</v>
      </c>
      <c r="S17" s="49" t="s">
        <v>10</v>
      </c>
      <c r="T17" s="49"/>
      <c r="U17" s="1" t="s">
        <v>132</v>
      </c>
    </row>
    <row r="18" spans="3:96" ht="15">
      <c r="K18"/>
      <c r="L18"/>
      <c r="R18" s="49" t="s">
        <v>10</v>
      </c>
      <c r="V18" s="49" t="s">
        <v>10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2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topLeftCell="A55" zoomScale="75" workbookViewId="0">
      <selection activeCell="A55" sqref="A55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8" width="8.6640625" style="113" customWidth="1"/>
    <col min="9" max="9" width="8.554687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0" t="s">
        <v>0</v>
      </c>
      <c r="B1" s="828"/>
      <c r="C1" s="895"/>
      <c r="D1" s="828"/>
      <c r="E1" s="828"/>
      <c r="F1" s="828" t="s">
        <v>10</v>
      </c>
      <c r="G1" s="828" t="s">
        <v>133</v>
      </c>
      <c r="H1" s="829" t="str">
        <f>D3</f>
        <v>WED</v>
      </c>
      <c r="I1" s="830">
        <f>D4</f>
        <v>37055</v>
      </c>
    </row>
    <row r="2" spans="1:256" ht="15.75">
      <c r="A2" s="831" t="s">
        <v>134</v>
      </c>
      <c r="B2" s="832"/>
      <c r="C2" s="832"/>
      <c r="D2" s="832"/>
      <c r="E2" s="832"/>
      <c r="F2" s="832"/>
      <c r="G2" s="832"/>
      <c r="H2" s="832"/>
      <c r="I2" s="833"/>
    </row>
    <row r="3" spans="1:256" ht="16.5" thickBot="1">
      <c r="A3" s="834"/>
      <c r="B3" s="832"/>
      <c r="C3" s="832"/>
      <c r="D3" s="835" t="str">
        <f t="shared" ref="D3:I3" si="0">CHOOSE(WEEKDAY(D4),"SUN","MON","TUE","WED","THU","FRI","SAT")</f>
        <v>WED</v>
      </c>
      <c r="E3" s="835" t="str">
        <f t="shared" si="0"/>
        <v>THU</v>
      </c>
      <c r="F3" s="835" t="str">
        <f t="shared" si="0"/>
        <v>FRI</v>
      </c>
      <c r="G3" s="835" t="str">
        <f t="shared" si="0"/>
        <v>SAT</v>
      </c>
      <c r="H3" s="835" t="str">
        <f t="shared" si="0"/>
        <v>SUN</v>
      </c>
      <c r="I3" s="836" t="str">
        <f t="shared" si="0"/>
        <v>MON</v>
      </c>
    </row>
    <row r="4" spans="1:256" ht="15.75" thickBot="1">
      <c r="A4" s="837"/>
      <c r="B4" s="838"/>
      <c r="C4" s="838"/>
      <c r="D4" s="464">
        <f>Weather_Input!A5</f>
        <v>37055</v>
      </c>
      <c r="E4" s="464">
        <f>Weather_Input!A6</f>
        <v>37056</v>
      </c>
      <c r="F4" s="464">
        <f>Weather_Input!A7</f>
        <v>37057</v>
      </c>
      <c r="G4" s="464">
        <f>Weather_Input!A8</f>
        <v>37058</v>
      </c>
      <c r="H4" s="464">
        <f>Weather_Input!A9</f>
        <v>37059</v>
      </c>
      <c r="I4" s="465">
        <f>Weather_Input!A10</f>
        <v>37060</v>
      </c>
    </row>
    <row r="5" spans="1:256" ht="16.5" customHeight="1" thickTop="1">
      <c r="A5" s="841" t="s">
        <v>135</v>
      </c>
      <c r="B5" s="832"/>
      <c r="C5" s="832" t="s">
        <v>136</v>
      </c>
      <c r="D5" s="466" t="str">
        <f>TEXT(Weather_Input!B5,"0")&amp;"/"&amp;TEXT(Weather_Input!C5,"0") &amp; "/" &amp; TEXT((Weather_Input!B5+Weather_Input!C5)/2,"0")</f>
        <v>91/73/82</v>
      </c>
      <c r="E5" s="466" t="str">
        <f>TEXT(Weather_Input!B6,"0")&amp;"/"&amp;TEXT(Weather_Input!C6,"0") &amp; "/" &amp; TEXT((Weather_Input!B6+Weather_Input!C6)/2,"0")</f>
        <v>92/66/79</v>
      </c>
      <c r="F5" s="466" t="str">
        <f>TEXT(Weather_Input!B7,"0")&amp;"/"&amp;TEXT(Weather_Input!C7,"0") &amp; "/" &amp; TEXT((Weather_Input!B7+Weather_Input!C7)/2,"0")</f>
        <v>80/58/69</v>
      </c>
      <c r="G5" s="466" t="str">
        <f>TEXT(Weather_Input!B8,"0")&amp;"/"&amp;TEXT(Weather_Input!C8,"0") &amp; "/" &amp; TEXT((Weather_Input!B8+Weather_Input!C8)/2,"0")</f>
        <v>79/58/69</v>
      </c>
      <c r="H5" s="466" t="str">
        <f>TEXT(Weather_Input!B9,"0")&amp;"/"&amp;TEXT(Weather_Input!C9,"0") &amp; "/" &amp; TEXT((Weather_Input!B9+Weather_Input!C9)/2,"0")</f>
        <v>80/62/71</v>
      </c>
      <c r="I5" s="467" t="str">
        <f>TEXT(Weather_Input!B10,"0")&amp;"/"&amp;TEXT(Weather_Input!C10,"0") &amp; "/" &amp; TEXT((Weather_Input!B10+Weather_Input!C10)/2,"0")</f>
        <v>80/62/71</v>
      </c>
    </row>
    <row r="6" spans="1:256" ht="15.75">
      <c r="A6" s="844" t="s">
        <v>137</v>
      </c>
      <c r="B6" s="832"/>
      <c r="C6" s="832"/>
      <c r="D6" s="466">
        <f>PGL_Deliveries!C5/1000</f>
        <v>210</v>
      </c>
      <c r="E6" s="466">
        <f>PGL_Deliveries!C6/1000</f>
        <v>210</v>
      </c>
      <c r="F6" s="466">
        <f>PGL_Deliveries!C7/1000</f>
        <v>200</v>
      </c>
      <c r="G6" s="466">
        <f>PGL_Deliveries!C8/1000</f>
        <v>185</v>
      </c>
      <c r="H6" s="466">
        <f>PGL_Deliveries!C9/1000</f>
        <v>200</v>
      </c>
      <c r="I6" s="467">
        <f>PGL_Deliveries!C10/1000</f>
        <v>215</v>
      </c>
    </row>
    <row r="7" spans="1:256" ht="15.75">
      <c r="A7" s="844" t="s">
        <v>558</v>
      </c>
      <c r="B7" s="832" t="s">
        <v>414</v>
      </c>
      <c r="C7" s="832"/>
      <c r="D7" s="466">
        <f>PGL_Requirements!H7/1000*0.5</f>
        <v>66.8</v>
      </c>
      <c r="E7" s="466">
        <f>PGL_Requirements!H8/1000*0.5</f>
        <v>77.018000000000001</v>
      </c>
      <c r="F7" s="466">
        <f>PGL_Requirements!H9/1000*0.5</f>
        <v>0</v>
      </c>
      <c r="G7" s="466">
        <f>PGL_Requirements!H10/1000*0.5</f>
        <v>0</v>
      </c>
      <c r="H7" s="466">
        <f>PGL_Requirements!H11/1000*0.5</f>
        <v>0</v>
      </c>
      <c r="I7" s="467">
        <f>PGL_Requirements!H12/1000*0.5</f>
        <v>0</v>
      </c>
    </row>
    <row r="8" spans="1:256" ht="15.75">
      <c r="A8" s="844" t="s">
        <v>764</v>
      </c>
      <c r="B8" s="832"/>
      <c r="C8" s="832"/>
      <c r="D8" s="466">
        <f>PGL_Requirements!I7/1000+PGL_Requirements!K7/1000</f>
        <v>43.1</v>
      </c>
      <c r="E8" s="466">
        <f>PGL_Requirements!I8/1000+PGL_Requirements!K8/1000</f>
        <v>45</v>
      </c>
      <c r="F8" s="466">
        <f>PGL_Requirements!I9/1000+PGL_Requirements!K9/1000</f>
        <v>0</v>
      </c>
      <c r="G8" s="466">
        <f>PGL_Requirements!I10/1000+PGL_Requirements!K10/1000</f>
        <v>0</v>
      </c>
      <c r="H8" s="466">
        <f>PGL_Requirements!I11/1000+PGL_Requirements!K11/1000</f>
        <v>0</v>
      </c>
      <c r="I8" s="467">
        <f>PGL_Requirements!I12/1000+PGL_Requirements!K12/1000</f>
        <v>0</v>
      </c>
    </row>
    <row r="9" spans="1:256" ht="15.75">
      <c r="A9" s="841" t="s">
        <v>138</v>
      </c>
      <c r="B9" s="832" t="s">
        <v>141</v>
      </c>
      <c r="C9" s="845"/>
      <c r="D9" s="466">
        <v>0</v>
      </c>
      <c r="E9" s="466">
        <v>0</v>
      </c>
      <c r="F9" s="466">
        <v>0</v>
      </c>
      <c r="G9" s="466">
        <v>0</v>
      </c>
      <c r="H9" s="466">
        <v>0</v>
      </c>
      <c r="I9" s="467">
        <v>0</v>
      </c>
    </row>
    <row r="10" spans="1:256" ht="15.75">
      <c r="A10" s="841"/>
      <c r="B10" s="832" t="s">
        <v>145</v>
      </c>
      <c r="C10" s="845"/>
      <c r="D10" s="466">
        <v>0</v>
      </c>
      <c r="E10" s="466">
        <v>0</v>
      </c>
      <c r="F10" s="466">
        <v>0</v>
      </c>
      <c r="G10" s="466">
        <v>0</v>
      </c>
      <c r="H10" s="466">
        <v>0</v>
      </c>
      <c r="I10" s="467">
        <v>0</v>
      </c>
    </row>
    <row r="11" spans="1:256" ht="15.75">
      <c r="A11" s="841"/>
      <c r="B11" s="832" t="s">
        <v>414</v>
      </c>
      <c r="C11" s="832"/>
      <c r="D11" s="466">
        <v>0</v>
      </c>
      <c r="E11" s="466">
        <v>0</v>
      </c>
      <c r="F11" s="466">
        <v>0</v>
      </c>
      <c r="G11" s="466">
        <v>0</v>
      </c>
      <c r="H11" s="466">
        <v>0</v>
      </c>
      <c r="I11" s="467">
        <v>0</v>
      </c>
    </row>
    <row r="12" spans="1:256" ht="15.75">
      <c r="A12" s="841"/>
      <c r="B12" s="832" t="s">
        <v>139</v>
      </c>
      <c r="C12" s="832"/>
      <c r="D12" s="466">
        <f>PGL_Requirements!L7/1000</f>
        <v>0</v>
      </c>
      <c r="E12" s="466">
        <f>PGL_Requirements!L8/1000</f>
        <v>0</v>
      </c>
      <c r="F12" s="466">
        <f>PGL_Requirements!L9/1000</f>
        <v>0</v>
      </c>
      <c r="G12" s="466">
        <f>PGL_Requirements!L10/1000</f>
        <v>0</v>
      </c>
      <c r="H12" s="466">
        <f>PGL_Requirements!L11/1000</f>
        <v>0</v>
      </c>
      <c r="I12" s="467">
        <f>PGL_Requirements!L12/1000</f>
        <v>0</v>
      </c>
    </row>
    <row r="13" spans="1:256" ht="15.75">
      <c r="A13" s="841" t="s">
        <v>142</v>
      </c>
      <c r="B13" s="832" t="s">
        <v>143</v>
      </c>
      <c r="C13" s="832" t="s">
        <v>59</v>
      </c>
      <c r="D13" s="466">
        <f>PGL_Requirements!P7/1000</f>
        <v>61</v>
      </c>
      <c r="E13" s="466">
        <f>PGL_Requirements!P8/1000</f>
        <v>135</v>
      </c>
      <c r="F13" s="466">
        <f>PGL_Requirements!P9/1000</f>
        <v>135</v>
      </c>
      <c r="G13" s="466">
        <f>PGL_Requirements!P10/1000</f>
        <v>135</v>
      </c>
      <c r="H13" s="466">
        <f>PGL_Requirements!P11/1000</f>
        <v>135</v>
      </c>
      <c r="I13" s="467">
        <f>PGL_Requirements!P12/1000</f>
        <v>135</v>
      </c>
    </row>
    <row r="14" spans="1:256" ht="15.75">
      <c r="A14" s="841"/>
      <c r="B14" s="832"/>
      <c r="C14" s="832" t="s">
        <v>99</v>
      </c>
      <c r="D14" s="466">
        <f>PGL_Requirements!Q7/1000</f>
        <v>0.91500000000000004</v>
      </c>
      <c r="E14" s="466">
        <f>PGL_Requirements!Q8/1000</f>
        <v>2.0249999999999999</v>
      </c>
      <c r="F14" s="466">
        <f>PGL_Requirements!Q9/1000</f>
        <v>2.0249999999999999</v>
      </c>
      <c r="G14" s="466">
        <f>PGL_Requirements!Q10/1000</f>
        <v>2.0249999999999999</v>
      </c>
      <c r="H14" s="466">
        <f>PGL_Requirements!Q11/1000</f>
        <v>2.0249999999999999</v>
      </c>
      <c r="I14" s="467">
        <f>PGL_Requirements!Q12/1000</f>
        <v>2.0249999999999999</v>
      </c>
    </row>
    <row r="15" spans="1:256" ht="15.75">
      <c r="A15" s="841"/>
      <c r="C15" s="832" t="s">
        <v>720</v>
      </c>
      <c r="D15" s="466">
        <f>PGL_Requirements!R7/1000</f>
        <v>0.72</v>
      </c>
      <c r="E15" s="466">
        <f>PGL_Requirements!R8/1000</f>
        <v>0.72</v>
      </c>
      <c r="F15" s="466">
        <f>PGL_Requirements!R9/1000</f>
        <v>0.72</v>
      </c>
      <c r="G15" s="466">
        <f>PGL_Requirements!R10/1000</f>
        <v>0.72</v>
      </c>
      <c r="H15" s="466">
        <f>PGL_Requirements!R11/1000</f>
        <v>0.72</v>
      </c>
      <c r="I15" s="467">
        <f>PGL_Requirements!R12/1000</f>
        <v>0.72</v>
      </c>
    </row>
    <row r="16" spans="1:256" ht="15.75">
      <c r="A16" s="841"/>
      <c r="C16" s="832" t="s">
        <v>750</v>
      </c>
      <c r="D16" s="466">
        <f>PGL_Requirements!B7/1000</f>
        <v>0</v>
      </c>
      <c r="E16" s="466">
        <f>PGL_Requirements!B8/1000</f>
        <v>0</v>
      </c>
      <c r="F16" s="466">
        <f>PGL_Requirements!B9/1000</f>
        <v>0</v>
      </c>
      <c r="G16" s="466">
        <f>PGL_Requirements!B10/1000</f>
        <v>0</v>
      </c>
      <c r="H16" s="466">
        <f>PGL_Requirements!B11/1000</f>
        <v>0</v>
      </c>
      <c r="I16" s="467">
        <f>PGL_Requirements!B12/1000</f>
        <v>0</v>
      </c>
      <c r="IV16" s="466" t="s">
        <v>10</v>
      </c>
    </row>
    <row r="17" spans="1:10" ht="15.75">
      <c r="A17" s="841"/>
      <c r="B17" s="832" t="s">
        <v>182</v>
      </c>
      <c r="C17" s="832" t="s">
        <v>702</v>
      </c>
      <c r="D17" s="466">
        <v>0</v>
      </c>
      <c r="E17" s="466">
        <v>0</v>
      </c>
      <c r="F17" s="466">
        <v>0</v>
      </c>
      <c r="G17" s="466">
        <v>0</v>
      </c>
      <c r="H17" s="466">
        <v>0</v>
      </c>
      <c r="I17" s="467">
        <v>0</v>
      </c>
    </row>
    <row r="18" spans="1:10" ht="15.75">
      <c r="A18" s="841"/>
      <c r="B18" s="832" t="s">
        <v>141</v>
      </c>
      <c r="C18" s="832" t="s">
        <v>89</v>
      </c>
      <c r="D18" s="466">
        <f>PGL_Requirements!U7/1000</f>
        <v>0</v>
      </c>
      <c r="E18" s="466">
        <f>PGL_Requirements!U8/1000</f>
        <v>0</v>
      </c>
      <c r="F18" s="466">
        <f>PGL_Requirements!U9/1000</f>
        <v>0</v>
      </c>
      <c r="G18" s="466">
        <f>PGL_Requirements!U10/1000</f>
        <v>0</v>
      </c>
      <c r="H18" s="466">
        <f>PGL_Requirements!U11/1000</f>
        <v>0</v>
      </c>
      <c r="I18" s="467">
        <f>PGL_Requirements!U12/1000</f>
        <v>0</v>
      </c>
    </row>
    <row r="19" spans="1:10" ht="15.75">
      <c r="A19" s="841"/>
      <c r="B19" s="832" t="s">
        <v>139</v>
      </c>
      <c r="C19" s="832" t="s">
        <v>89</v>
      </c>
      <c r="D19" s="466">
        <f>PGL_Requirements!O7/1000</f>
        <v>0</v>
      </c>
      <c r="E19" s="466">
        <f>PGL_Requirements!O8/1000</f>
        <v>0</v>
      </c>
      <c r="F19" s="466">
        <f>PGL_Requirements!O9/1000</f>
        <v>0</v>
      </c>
      <c r="G19" s="466">
        <f>PGL_Requirements!O10/1000</f>
        <v>0</v>
      </c>
      <c r="H19" s="466">
        <f>PGL_Requirements!O11/1000</f>
        <v>0</v>
      </c>
      <c r="I19" s="467">
        <f>PGL_Requirements!O12/1000</f>
        <v>0</v>
      </c>
    </row>
    <row r="20" spans="1:10" ht="15.75">
      <c r="A20" s="844" t="s">
        <v>144</v>
      </c>
      <c r="B20" s="848" t="s">
        <v>141</v>
      </c>
      <c r="C20" s="848"/>
      <c r="D20" s="466">
        <f>(PGL_Requirements!$V$7+PGL_Requirements!$W$7+PGL_Requirements!$X$7)/1000</f>
        <v>0</v>
      </c>
      <c r="E20" s="466">
        <f>(PGL_Requirements!$V$8+PGL_Requirements!$W$8+PGL_Requirements!$X$8)/1000</f>
        <v>0</v>
      </c>
      <c r="F20" s="466">
        <f>(PGL_Requirements!$V$9+PGL_Requirements!$W$9+PGL_Requirements!$X$9)/1000</f>
        <v>0</v>
      </c>
      <c r="G20" s="466">
        <f>(PGL_Requirements!$V$10+PGL_Requirements!$W$10+PGL_Requirements!$X$10)/1000</f>
        <v>0</v>
      </c>
      <c r="H20" s="466">
        <f>(PGL_Requirements!$V$11+PGL_Requirements!$W$11+PGL_Requirements!$X$11)/1000</f>
        <v>0</v>
      </c>
      <c r="I20" s="467">
        <f>(PGL_Requirements!$V$12+PGL_Requirements!$W$12+PGL_Requirements!$X$12)/1000</f>
        <v>0</v>
      </c>
    </row>
    <row r="21" spans="1:10" ht="15.75">
      <c r="A21" s="841"/>
      <c r="B21" s="848" t="s">
        <v>139</v>
      </c>
      <c r="C21" s="848"/>
      <c r="D21" s="466">
        <f>(PGL_Requirements!$Y$7+PGL_Requirements!$Z$7+PGL_Requirements!$AA$7+PGL_Requirements!$AB$7)/1000</f>
        <v>0</v>
      </c>
      <c r="E21" s="466">
        <f>(PGL_Requirements!$Y$8+PGL_Requirements!$Z$8+PGL_Requirements!$AA$8+PGL_Requirements!$AB$8)/1000</f>
        <v>0</v>
      </c>
      <c r="F21" s="466">
        <f>(PGL_Requirements!$Y$9+PGL_Requirements!$Z$9+PGL_Requirements!$AA$9+PGL_Requirements!$AB$9)/1000</f>
        <v>0</v>
      </c>
      <c r="G21" s="466">
        <f>(PGL_Requirements!$Y$10+PGL_Requirements!$Z$10+PGL_Requirements!$AA$10+PGL_Requirements!$AB$10)/1000</f>
        <v>0</v>
      </c>
      <c r="H21" s="466">
        <f>(PGL_Requirements!$Y$11+PGL_Requirements!$Z$11+PGL_Requirements!$AA$11+PGL_Requirements!$AB$11)/1000</f>
        <v>0</v>
      </c>
      <c r="I21" s="467">
        <f>(PGL_Requirements!$Y$12+PGL_Requirements!$Z$12+PGL_Requirements!$AA$12+PGL_Requirements!$AB$12)/1000</f>
        <v>0</v>
      </c>
    </row>
    <row r="22" spans="1:10" ht="15.75">
      <c r="A22" s="841"/>
      <c r="B22" s="832" t="s">
        <v>414</v>
      </c>
      <c r="C22" s="848"/>
      <c r="D22" s="466">
        <f>PGL_Requirements!$AF$7+PGL_Requirements!$AG$7+PGL_Requirements!$AH$7+PGL_Requirements!$AI$7/1000</f>
        <v>0</v>
      </c>
      <c r="E22" s="466">
        <f>PGL_Requirements!$AF$8+PGL_Requirements!$AG$8+PGL_Requirements!$AH$8+PGL_Requirements!$AI$8/1000</f>
        <v>0</v>
      </c>
      <c r="F22" s="466">
        <f>PGL_Requirements!$AF$9+PGL_Requirements!$AG$9+PGL_Requirements!$AH$9+PGL_Requirements!$AI$9/1000</f>
        <v>0</v>
      </c>
      <c r="G22" s="466">
        <f>PGL_Requirements!$AF$10+PGL_Requirements!$AG$10+PGL_Requirements!$AH$10+PGL_Requirements!$AI$10/1000</f>
        <v>0</v>
      </c>
      <c r="H22" s="466">
        <f>PGL_Requirements!$AF$11+PGL_Requirements!$AG$11+PGL_Requirements!$AH$11+PGL_Requirements!$AI$11/1000</f>
        <v>0</v>
      </c>
      <c r="I22" s="467">
        <f>PGL_Requirements!$AF$12+PGL_Requirements!$AG$12+PGL_Requirements!$AH$12+PGL_Requirements!$AI$12/1000</f>
        <v>0</v>
      </c>
      <c r="J22" s="775"/>
    </row>
    <row r="23" spans="1:10" ht="15.75">
      <c r="A23" s="841"/>
      <c r="B23" s="846" t="s">
        <v>146</v>
      </c>
      <c r="C23" s="848" t="s">
        <v>125</v>
      </c>
      <c r="D23" s="466">
        <f>NSG_Supplies!H7/1000</f>
        <v>0</v>
      </c>
      <c r="E23" s="466">
        <f>NSG_Supplies!H8/1000</f>
        <v>0</v>
      </c>
      <c r="F23" s="466">
        <f>NSG_Supplies!H9/1000</f>
        <v>0</v>
      </c>
      <c r="G23" s="466">
        <f>NSG_Supplies!H10/1000</f>
        <v>0</v>
      </c>
      <c r="H23" s="466">
        <f>NSG_Supplies!H11/1000</f>
        <v>0</v>
      </c>
      <c r="I23" s="467">
        <f>NSG_Supplies!H12/1000</f>
        <v>0</v>
      </c>
      <c r="J23" s="775"/>
    </row>
    <row r="24" spans="1:10" ht="15.75">
      <c r="A24" s="844" t="s">
        <v>147</v>
      </c>
      <c r="B24" s="832"/>
      <c r="C24" s="832"/>
      <c r="D24" s="466">
        <f>PGL_Requirements!G7/1000</f>
        <v>4.05</v>
      </c>
      <c r="E24" s="466">
        <f>PGL_Requirements!G8/1000</f>
        <v>0</v>
      </c>
      <c r="F24" s="466">
        <f>PGL_Requirements!G9/1000</f>
        <v>0</v>
      </c>
      <c r="G24" s="466">
        <f>PGL_Requirements!G10/1000</f>
        <v>0</v>
      </c>
      <c r="H24" s="466">
        <f>PGL_Requirements!G11/1000</f>
        <v>0</v>
      </c>
      <c r="I24" s="467">
        <f>PGL_Requirements!G12/1000</f>
        <v>0</v>
      </c>
    </row>
    <row r="25" spans="1:10" ht="15.75">
      <c r="A25" s="841" t="s">
        <v>148</v>
      </c>
      <c r="B25" s="832" t="s">
        <v>735</v>
      </c>
      <c r="C25" s="832"/>
      <c r="D25" s="466">
        <f>PGL_Requirements!J7/1000</f>
        <v>0</v>
      </c>
      <c r="E25" s="466">
        <f>PGL_Requirements!J8/1000</f>
        <v>0</v>
      </c>
      <c r="F25" s="466">
        <f>PGL_Requirements!J9/1000</f>
        <v>0</v>
      </c>
      <c r="G25" s="466">
        <f>PGL_Requirements!J10/1000</f>
        <v>0</v>
      </c>
      <c r="H25" s="466">
        <f>PGL_Requirements!J11/1000</f>
        <v>0</v>
      </c>
      <c r="I25" s="467">
        <f>PGL_Requirements!J12/1000</f>
        <v>0</v>
      </c>
    </row>
    <row r="26" spans="1:10" ht="15.75">
      <c r="A26" s="841"/>
      <c r="B26" s="832" t="s">
        <v>67</v>
      </c>
      <c r="C26" s="832"/>
      <c r="D26" s="466">
        <f>PGL_Requirements!C7/1000</f>
        <v>0.2</v>
      </c>
      <c r="E26" s="466">
        <f>PGL_Requirements!C8/1000</f>
        <v>0.2</v>
      </c>
      <c r="F26" s="466">
        <f>PGL_Requirements!C9/1000</f>
        <v>0</v>
      </c>
      <c r="G26" s="466">
        <f>PGL_Requirements!C10/1000</f>
        <v>0</v>
      </c>
      <c r="H26" s="466">
        <f>PGL_Requirements!C11/1000</f>
        <v>0</v>
      </c>
      <c r="I26" s="467">
        <f>PGL_Requirements!C12/1000</f>
        <v>0</v>
      </c>
    </row>
    <row r="27" spans="1:10" ht="15.75">
      <c r="A27" s="841"/>
      <c r="B27" s="832" t="s">
        <v>91</v>
      </c>
      <c r="C27" s="832"/>
      <c r="D27" s="466">
        <f>PGL_Requirements!D7/1000</f>
        <v>0</v>
      </c>
      <c r="E27" s="466">
        <f>PGL_Requirements!D8/1000</f>
        <v>0</v>
      </c>
      <c r="F27" s="466">
        <f>PGL_Requirements!D9/1000</f>
        <v>0</v>
      </c>
      <c r="G27" s="466">
        <f>PGL_Requirements!D10/1000</f>
        <v>0</v>
      </c>
      <c r="H27" s="466">
        <f>PGL_Requirements!D11/1000</f>
        <v>0</v>
      </c>
      <c r="I27" s="467">
        <f>PGL_Requirements!D12/1000</f>
        <v>0</v>
      </c>
    </row>
    <row r="28" spans="1:10" ht="15.75">
      <c r="A28" s="841"/>
      <c r="B28" s="832" t="s">
        <v>414</v>
      </c>
      <c r="C28" s="832"/>
      <c r="D28" s="466">
        <f>PGL_Requirements!E7/1000</f>
        <v>50.4</v>
      </c>
      <c r="E28" s="466">
        <f>PGL_Requirements!E8/1000</f>
        <v>0</v>
      </c>
      <c r="F28" s="466">
        <f>PGL_Requirements!E9/1000</f>
        <v>0</v>
      </c>
      <c r="G28" s="466">
        <f>PGL_Requirements!E10/1000</f>
        <v>0</v>
      </c>
      <c r="H28" s="466">
        <f>PGL_Requirements!E11/1000</f>
        <v>0</v>
      </c>
      <c r="I28" s="467">
        <f>PGL_Requirements!E12/1000</f>
        <v>0</v>
      </c>
    </row>
    <row r="29" spans="1:10" ht="15.75">
      <c r="A29" s="841"/>
      <c r="B29" s="832" t="s">
        <v>94</v>
      </c>
      <c r="C29" s="832"/>
      <c r="D29" s="468">
        <f>PGL_Requirements!F7/1000</f>
        <v>4</v>
      </c>
      <c r="E29" s="468">
        <f>PGL_Requirements!F8/1000</f>
        <v>0</v>
      </c>
      <c r="F29" s="468">
        <f>PGL_Requirements!F9/1000</f>
        <v>0</v>
      </c>
      <c r="G29" s="468">
        <f>PGL_Requirements!F10/1000</f>
        <v>0</v>
      </c>
      <c r="H29" s="468">
        <f>PGL_Requirements!F11/1000</f>
        <v>0</v>
      </c>
      <c r="I29" s="469">
        <f>PGL_Requirements!F12/1000</f>
        <v>0</v>
      </c>
    </row>
    <row r="30" spans="1:10" ht="16.5" thickBot="1">
      <c r="A30" s="849" t="s">
        <v>149</v>
      </c>
      <c r="B30" s="850"/>
      <c r="C30" s="850"/>
      <c r="D30" s="470">
        <f t="shared" ref="D30:I30" si="1">SUM(D6:D29)</f>
        <v>441.18500000000006</v>
      </c>
      <c r="E30" s="470">
        <f t="shared" si="1"/>
        <v>469.96300000000002</v>
      </c>
      <c r="F30" s="470">
        <f t="shared" si="1"/>
        <v>337.745</v>
      </c>
      <c r="G30" s="470">
        <f t="shared" si="1"/>
        <v>322.745</v>
      </c>
      <c r="H30" s="470">
        <f t="shared" si="1"/>
        <v>337.745</v>
      </c>
      <c r="I30" s="1116">
        <f t="shared" si="1"/>
        <v>352.745</v>
      </c>
    </row>
    <row r="31" spans="1:10" ht="17.25" thickTop="1" thickBot="1">
      <c r="A31" s="853"/>
      <c r="B31" s="832"/>
      <c r="C31" s="832"/>
      <c r="D31" s="471"/>
      <c r="E31" s="472"/>
      <c r="F31" s="472"/>
      <c r="G31" s="472"/>
      <c r="H31" s="472"/>
      <c r="I31" s="473"/>
    </row>
    <row r="32" spans="1:10" ht="16.5" thickTop="1" thickBot="1">
      <c r="A32" s="854" t="s">
        <v>150</v>
      </c>
      <c r="B32" s="855"/>
      <c r="C32" s="855"/>
      <c r="D32" s="474"/>
      <c r="E32" s="475"/>
      <c r="F32" s="475"/>
      <c r="G32" s="475"/>
      <c r="H32" s="475"/>
      <c r="I32" s="1117"/>
    </row>
    <row r="33" spans="1:9" ht="16.5" thickTop="1">
      <c r="A33" s="841" t="s">
        <v>151</v>
      </c>
      <c r="B33" s="832" t="s">
        <v>143</v>
      </c>
      <c r="C33" s="832" t="s">
        <v>59</v>
      </c>
      <c r="D33" s="466">
        <f>PGL_Supplies!M7/1000</f>
        <v>0</v>
      </c>
      <c r="E33" s="466">
        <f>PGL_Supplies!M8/1000</f>
        <v>0</v>
      </c>
      <c r="F33" s="466">
        <f>PGL_Supplies!M9/1000</f>
        <v>0</v>
      </c>
      <c r="G33" s="466">
        <f>PGL_Supplies!M10/1000</f>
        <v>0</v>
      </c>
      <c r="H33" s="466">
        <f>PGL_Supplies!M11/1000</f>
        <v>0</v>
      </c>
      <c r="I33" s="467">
        <f>PGL_Supplies!M12/1000</f>
        <v>0</v>
      </c>
    </row>
    <row r="34" spans="1:9" ht="15.75">
      <c r="A34" s="841"/>
      <c r="B34" s="832"/>
      <c r="C34" s="832" t="s">
        <v>92</v>
      </c>
      <c r="D34" s="466">
        <f>PGL_Supplies!H7/1000</f>
        <v>1</v>
      </c>
      <c r="E34" s="466">
        <f>PGL_Supplies!H8/1000</f>
        <v>1</v>
      </c>
      <c r="F34" s="466">
        <f>PGL_Supplies!H9/1000</f>
        <v>1</v>
      </c>
      <c r="G34" s="466">
        <f>PGL_Supplies!H10/1000</f>
        <v>1</v>
      </c>
      <c r="H34" s="466">
        <f>PGL_Supplies!H11/1000</f>
        <v>1</v>
      </c>
      <c r="I34" s="467">
        <f>PGL_Supplies!H12/1000</f>
        <v>1</v>
      </c>
    </row>
    <row r="35" spans="1:9" ht="15.75">
      <c r="A35" s="841"/>
      <c r="B35" s="832"/>
      <c r="C35" s="832" t="s">
        <v>60</v>
      </c>
      <c r="D35" s="466">
        <f>PGL_Supplies!J7/1000</f>
        <v>0</v>
      </c>
      <c r="E35" s="466">
        <f>PGL_Supplies!J8/1000</f>
        <v>0</v>
      </c>
      <c r="F35" s="466">
        <f>PGL_Supplies!J9/1000</f>
        <v>0</v>
      </c>
      <c r="G35" s="466">
        <f>PGL_Supplies!J10/1000</f>
        <v>0</v>
      </c>
      <c r="H35" s="466">
        <f>PGL_Supplies!J11/1000</f>
        <v>0</v>
      </c>
      <c r="I35" s="467">
        <f>PGL_Supplies!J12/1000</f>
        <v>0</v>
      </c>
    </row>
    <row r="36" spans="1:9" ht="15.75">
      <c r="A36" s="841"/>
      <c r="B36" s="832" t="s">
        <v>141</v>
      </c>
      <c r="C36" s="832" t="s">
        <v>89</v>
      </c>
      <c r="D36" s="466">
        <f>PGL_Supplies!R7/1000</f>
        <v>0</v>
      </c>
      <c r="E36" s="466">
        <f>PGL_Supplies!R8/1000</f>
        <v>0</v>
      </c>
      <c r="F36" s="466">
        <f>PGL_Supplies!R9/1000</f>
        <v>0</v>
      </c>
      <c r="G36" s="466">
        <f>PGL_Supplies!R10/1000</f>
        <v>0</v>
      </c>
      <c r="H36" s="466">
        <f>PGL_Supplies!R11/1000</f>
        <v>0</v>
      </c>
      <c r="I36" s="467">
        <f>PGL_Supplies!R12/1000</f>
        <v>0</v>
      </c>
    </row>
    <row r="37" spans="1:9" ht="15.75">
      <c r="A37" s="841"/>
      <c r="B37" s="832" t="s">
        <v>139</v>
      </c>
      <c r="C37" s="832" t="s">
        <v>89</v>
      </c>
      <c r="D37" s="466">
        <f>PGL_Supplies!L7/1000</f>
        <v>0</v>
      </c>
      <c r="E37" s="466">
        <f>PGL_Supplies!L8/1000</f>
        <v>0</v>
      </c>
      <c r="F37" s="466">
        <f>PGL_Supplies!L9/1000</f>
        <v>0</v>
      </c>
      <c r="G37" s="466">
        <f>PGL_Supplies!L10/1000</f>
        <v>0</v>
      </c>
      <c r="H37" s="466">
        <f>PGL_Supplies!L11/1000</f>
        <v>0</v>
      </c>
      <c r="I37" s="467">
        <f>PGL_Supplies!L12/1000</f>
        <v>0</v>
      </c>
    </row>
    <row r="38" spans="1:9" ht="15.75">
      <c r="A38" s="844" t="s">
        <v>153</v>
      </c>
      <c r="B38" s="832" t="s">
        <v>141</v>
      </c>
      <c r="C38" s="832"/>
      <c r="D38" s="466">
        <f>(NSG_Requirements!$S$7+NSG_Requirements!$T$7+NSG_Requirements!$U$7)/1000</f>
        <v>0</v>
      </c>
      <c r="E38" s="466">
        <f>(NSG_Requirements!$S$8+NSG_Requirements!$T$8+NSG_Requirements!$U$8)/1000</f>
        <v>0</v>
      </c>
      <c r="F38" s="466">
        <f>(NSG_Requirements!$S$9+NSG_Requirements!$T$9+NSG_Requirements!$U$9)/1000</f>
        <v>0</v>
      </c>
      <c r="G38" s="466">
        <f>(NSG_Requirements!$S$10+NSG_Requirements!$T$10+NSG_Requirements!$U$10)/1000</f>
        <v>0</v>
      </c>
      <c r="H38" s="466">
        <f>(NSG_Requirements!$S$11+NSG_Requirements!$T$11+NSG_Requirements!$U$11)/1000</f>
        <v>0</v>
      </c>
      <c r="I38" s="467">
        <f>(NSG_Requirements!$S$12+NSG_Requirements!$T$11+NSG_Requirements!$U$11)/1000</f>
        <v>0</v>
      </c>
    </row>
    <row r="39" spans="1:9" ht="15.75">
      <c r="A39" s="844"/>
      <c r="B39" s="832" t="s">
        <v>414</v>
      </c>
      <c r="C39" s="845"/>
      <c r="D39" s="466">
        <f>(NSG_Requirements!$AB$7+NSG_Requirements!$AC$7+NSG_Requirements!$AD$7+NSG_Requirements!$AE$7)/1000</f>
        <v>0</v>
      </c>
      <c r="E39" s="466">
        <f>(NSG_Requirements!$AB$8+NSG_Requirements!$AC$8+NSG_Requirements!$AD$8+NSG_Requirements!$AE$8)/1000</f>
        <v>0</v>
      </c>
      <c r="F39" s="466">
        <f>(NSG_Requirements!$AB$9+NSG_Requirements!$AC$9+NSG_Requirements!$AD$9+NSG_Requirements!$AE$9)/1000</f>
        <v>0</v>
      </c>
      <c r="G39" s="466">
        <f>(NSG_Requirements!$AB$10+NSG_Requirements!$AC$10+NSG_Requirements!$AD$10+NSG_Requirements!$AE$10)/1000</f>
        <v>0</v>
      </c>
      <c r="H39" s="466">
        <f>(NSG_Requirements!$AB$11+NSG_Requirements!$AC$11+NSG_Requirements!$AD$11+NSG_Requirements!$AE$11)/1000</f>
        <v>0</v>
      </c>
      <c r="I39" s="467">
        <f>(NSG_Requirements!$AB$12+NSG_Requirements!$AC$12+NSG_Requirements!$AD$12+NSG_Requirements!$AE$12)/1000</f>
        <v>0</v>
      </c>
    </row>
    <row r="40" spans="1:9" ht="15.75">
      <c r="A40" s="844"/>
      <c r="B40" s="832" t="s">
        <v>139</v>
      </c>
      <c r="C40" s="832"/>
      <c r="D40" s="466">
        <f>(NSG_Requirements!$Y$7+NSG_Requirements!$Z$7+NSG_Requirements!$AA$7)/1000</f>
        <v>0</v>
      </c>
      <c r="E40" s="466">
        <f>(NSG_Requirements!$Y$8+NSG_Requirements!$Z$8+NSG_Requirements!$AA$8)/1000</f>
        <v>0</v>
      </c>
      <c r="F40" s="466">
        <f>(NSG_Requirements!$Y$9+NSG_Requirements!$Z$9+NSG_Requirements!$AA$9)/1000</f>
        <v>0</v>
      </c>
      <c r="G40" s="466">
        <f>(NSG_Requirements!$Y$10+NSG_Requirements!$Z$10+NSG_Requirements!$AA$10)/1000</f>
        <v>0</v>
      </c>
      <c r="H40" s="466">
        <f>(NSG_Requirements!$Y$11+NSG_Requirements!$Z$11+NSG_Requirements!$AA$11)/1000</f>
        <v>0</v>
      </c>
      <c r="I40" s="467">
        <f>(NSG_Requirements!$Y$12+NSG_Requirements!$Z$12+NSG_Requirements!$AA$12)/1000</f>
        <v>0</v>
      </c>
    </row>
    <row r="41" spans="1:9" ht="15.75">
      <c r="A41" s="844"/>
      <c r="B41" s="832" t="s">
        <v>154</v>
      </c>
      <c r="C41" s="832" t="s">
        <v>155</v>
      </c>
      <c r="D41" s="466">
        <f>(NSG_Requirements!$L$7+NSG_Requirements!$M$7+NSG_Requirements!$N$7+NSG_Requirements!$K$7)/1000</f>
        <v>0</v>
      </c>
      <c r="E41" s="466">
        <f>(NSG_Requirements!$L$8+NSG_Requirements!$M$8+NSG_Requirements!$N$8+NSG_Requirements!$K$8)/1000</f>
        <v>0</v>
      </c>
      <c r="F41" s="466">
        <f>(NSG_Requirements!$L$9+NSG_Requirements!$M$9+NSG_Requirements!$N$9+NSG_Requirements!$K$9)/1000</f>
        <v>0</v>
      </c>
      <c r="G41" s="466">
        <f>(NSG_Requirements!$L$10+NSG_Requirements!$M$10+NSG_Requirements!$N$10+NSG_Requirements!$K$10)/1000</f>
        <v>0</v>
      </c>
      <c r="H41" s="466">
        <f>(NSG_Requirements!$L$11+NSG_Requirements!$M$11+NSG_Requirements!$N$11+NSG_Requirements!$K$11)/1000</f>
        <v>0</v>
      </c>
      <c r="I41" s="467">
        <f>(NSG_Requirements!$L$12+NSG_Requirements!$M$12+NSG_Requirements!$N$12+NSG_Requirements!$K$12)/1000</f>
        <v>0</v>
      </c>
    </row>
    <row r="42" spans="1:9" ht="15.75">
      <c r="A42" s="844" t="s">
        <v>704</v>
      </c>
      <c r="B42" s="832"/>
      <c r="C42" s="832"/>
      <c r="D42" s="466">
        <f>PGL_Supplies!U7/1000</f>
        <v>0</v>
      </c>
      <c r="E42" s="466">
        <f>PGL_Supplies!U8/1000</f>
        <v>0</v>
      </c>
      <c r="F42" s="466">
        <f>PGL_Supplies!U9/1000</f>
        <v>0</v>
      </c>
      <c r="G42" s="466">
        <f>PGL_Supplies!U10/1000</f>
        <v>0</v>
      </c>
      <c r="H42" s="466">
        <f>PGL_Supplies!U11/1000</f>
        <v>0</v>
      </c>
      <c r="I42" s="467">
        <f>PGL_Supplies!U12/1000</f>
        <v>0</v>
      </c>
    </row>
    <row r="43" spans="1:9" ht="15.75">
      <c r="A43" s="844" t="s">
        <v>612</v>
      </c>
      <c r="B43" s="832" t="s">
        <v>414</v>
      </c>
      <c r="C43" s="832"/>
      <c r="D43" s="466">
        <f>PGL_Supplies!T7/1000*0.5</f>
        <v>47.5</v>
      </c>
      <c r="E43" s="466">
        <f>PGL_Supplies!T8/1000*0.5</f>
        <v>25</v>
      </c>
      <c r="F43" s="466">
        <f>PGL_Supplies!T9/1000*0.5</f>
        <v>0</v>
      </c>
      <c r="G43" s="466">
        <f>PGL_Supplies!T10/1000*0.5</f>
        <v>0</v>
      </c>
      <c r="H43" s="466">
        <f>PGL_Supplies!T11/1000*0.5</f>
        <v>0</v>
      </c>
      <c r="I43" s="467">
        <f>PGL_Supplies!T12/1000*0.5</f>
        <v>0</v>
      </c>
    </row>
    <row r="44" spans="1:9" ht="15.75">
      <c r="A44" s="841"/>
      <c r="B44" s="832" t="s">
        <v>145</v>
      </c>
      <c r="C44" s="845"/>
      <c r="D44" s="466">
        <v>0</v>
      </c>
      <c r="E44" s="466">
        <v>0</v>
      </c>
      <c r="F44" s="466">
        <v>0</v>
      </c>
      <c r="G44" s="466">
        <v>0</v>
      </c>
      <c r="H44" s="466">
        <v>0</v>
      </c>
      <c r="I44" s="467">
        <v>0</v>
      </c>
    </row>
    <row r="45" spans="1:9" ht="15.75">
      <c r="A45" s="841"/>
      <c r="B45" s="832" t="s">
        <v>414</v>
      </c>
      <c r="C45" s="845"/>
      <c r="D45" s="466">
        <f>PGL_Supplies!W7/1000</f>
        <v>0</v>
      </c>
      <c r="E45" s="466">
        <f>PGL_Supplies!W8/1000</f>
        <v>0</v>
      </c>
      <c r="F45" s="466">
        <f>PGL_Supplies!W9/1000</f>
        <v>0</v>
      </c>
      <c r="G45" s="466">
        <f>PGL_Supplies!W10/1000</f>
        <v>0</v>
      </c>
      <c r="H45" s="466">
        <f>PGL_Supplies!W11/1000</f>
        <v>0</v>
      </c>
      <c r="I45" s="467">
        <f>PGL_Supplies!W12/1000</f>
        <v>0</v>
      </c>
    </row>
    <row r="46" spans="1:9" ht="15.75">
      <c r="A46" s="841"/>
      <c r="B46" s="832" t="s">
        <v>139</v>
      </c>
      <c r="C46" s="832"/>
      <c r="D46" s="466">
        <v>0</v>
      </c>
      <c r="E46" s="466">
        <v>0</v>
      </c>
      <c r="F46" s="466">
        <v>0</v>
      </c>
      <c r="G46" s="466">
        <v>0</v>
      </c>
      <c r="H46" s="466">
        <v>0</v>
      </c>
      <c r="I46" s="467">
        <v>0</v>
      </c>
    </row>
    <row r="47" spans="1:9" ht="15.75">
      <c r="A47" s="858" t="s">
        <v>745</v>
      </c>
      <c r="B47" s="832" t="s">
        <v>726</v>
      </c>
      <c r="C47" s="832"/>
      <c r="D47" s="466">
        <f>PGL_Supplies!Y7/1000</f>
        <v>92.887</v>
      </c>
      <c r="E47" s="466">
        <f>PGL_Supplies!Y8/1000</f>
        <v>98.6</v>
      </c>
      <c r="F47" s="466">
        <f>PGL_Supplies!Y9/1000</f>
        <v>103.536</v>
      </c>
      <c r="G47" s="466">
        <f>PGL_Supplies!Y10/1000</f>
        <v>103.536</v>
      </c>
      <c r="H47" s="466">
        <f>PGL_Supplies!Y11/1000</f>
        <v>103.536</v>
      </c>
      <c r="I47" s="467">
        <f>PGL_Supplies!Y12/1000</f>
        <v>103.536</v>
      </c>
    </row>
    <row r="48" spans="1:9" ht="15.75">
      <c r="A48" s="844"/>
      <c r="B48" s="832" t="s">
        <v>141</v>
      </c>
      <c r="C48" s="845"/>
      <c r="D48" s="466">
        <f>PGL_Supplies!Z7/1000</f>
        <v>0.2</v>
      </c>
      <c r="E48" s="466">
        <f>PGL_Supplies!Z8/1000</f>
        <v>0.2</v>
      </c>
      <c r="F48" s="466">
        <f>PGL_Supplies!Z9/1000</f>
        <v>0.2</v>
      </c>
      <c r="G48" s="466">
        <f>PGL_Supplies!Z10/1000</f>
        <v>0.2</v>
      </c>
      <c r="H48" s="466">
        <f>PGL_Supplies!Z11/1000</f>
        <v>0.2</v>
      </c>
      <c r="I48" s="467">
        <f>PGL_Supplies!Z12/1000</f>
        <v>0.2</v>
      </c>
    </row>
    <row r="49" spans="1:10" ht="15.75">
      <c r="A49" s="844"/>
      <c r="B49" s="832" t="s">
        <v>145</v>
      </c>
      <c r="C49" s="845"/>
      <c r="D49" s="466">
        <f>PGL_Supplies!AA7/1000</f>
        <v>7</v>
      </c>
      <c r="E49" s="466">
        <f>PGL_Supplies!AA8/1000</f>
        <v>0</v>
      </c>
      <c r="F49" s="466">
        <f>PGL_Supplies!AA9/1000</f>
        <v>0</v>
      </c>
      <c r="G49" s="466">
        <f>PGL_Supplies!AA10/1000</f>
        <v>0</v>
      </c>
      <c r="H49" s="466">
        <f>PGL_Supplies!AA11/1000</f>
        <v>0</v>
      </c>
      <c r="I49" s="467">
        <f>PGL_Supplies!AA12/1000</f>
        <v>0</v>
      </c>
    </row>
    <row r="50" spans="1:10" ht="15.75">
      <c r="A50" s="844"/>
      <c r="B50" s="832" t="s">
        <v>414</v>
      </c>
      <c r="C50" s="845"/>
      <c r="D50" s="466">
        <f>PGL_Supplies!AB7/1000</f>
        <v>232.06399999999999</v>
      </c>
      <c r="E50" s="466">
        <f>PGL_Supplies!AB8/1000</f>
        <v>152.458</v>
      </c>
      <c r="F50" s="466">
        <f>PGL_Supplies!AB9/1000</f>
        <v>152.458</v>
      </c>
      <c r="G50" s="466">
        <f>PGL_Supplies!AB10/1000</f>
        <v>152.458</v>
      </c>
      <c r="H50" s="466">
        <f>PGL_Supplies!AB11/1000</f>
        <v>152.458</v>
      </c>
      <c r="I50" s="467">
        <f>PGL_Supplies!AB12/1000</f>
        <v>152.458</v>
      </c>
    </row>
    <row r="51" spans="1:10" ht="15.75">
      <c r="A51" s="844"/>
      <c r="B51" s="832" t="s">
        <v>139</v>
      </c>
      <c r="C51" s="832"/>
      <c r="D51" s="466">
        <f>PGL_Supplies!AC7/1000</f>
        <v>41.338000000000001</v>
      </c>
      <c r="E51" s="466">
        <f>PGL_Supplies!AC8/1000</f>
        <v>47.667000000000002</v>
      </c>
      <c r="F51" s="466">
        <f>PGL_Supplies!AC9/1000</f>
        <v>51.667000000000002</v>
      </c>
      <c r="G51" s="466">
        <f>PGL_Supplies!AC10/1000</f>
        <v>51.667000000000002</v>
      </c>
      <c r="H51" s="466">
        <f>PGL_Supplies!AC11/1000</f>
        <v>51.667000000000002</v>
      </c>
      <c r="I51" s="467">
        <f>PGL_Supplies!AC12/1000</f>
        <v>51.667000000000002</v>
      </c>
    </row>
    <row r="52" spans="1:10" ht="15.75">
      <c r="A52" s="844"/>
      <c r="B52" s="832" t="s">
        <v>140</v>
      </c>
      <c r="C52" s="832"/>
      <c r="D52" s="466">
        <f>PGL_Supplies!AD7/1000</f>
        <v>4</v>
      </c>
      <c r="E52" s="466">
        <f>PGL_Supplies!AD8/1000</f>
        <v>4</v>
      </c>
      <c r="F52" s="466">
        <f>PGL_Supplies!AD9/1000</f>
        <v>4</v>
      </c>
      <c r="G52" s="466">
        <f>PGL_Supplies!AD10/1000</f>
        <v>4</v>
      </c>
      <c r="H52" s="466">
        <f>PGL_Supplies!AD11/1000</f>
        <v>4</v>
      </c>
      <c r="I52" s="467">
        <f>PGL_Supplies!AD12/1000</f>
        <v>4</v>
      </c>
    </row>
    <row r="53" spans="1:10" ht="15.75">
      <c r="A53" s="858"/>
      <c r="B53" s="832" t="s">
        <v>156</v>
      </c>
      <c r="C53" s="832"/>
      <c r="D53" s="466">
        <f>PGL_Supplies!I7/1000</f>
        <v>15</v>
      </c>
      <c r="E53" s="466">
        <f>PGL_Supplies!I8/1000</f>
        <v>15</v>
      </c>
      <c r="F53" s="466">
        <f>PGL_Supplies!I9/1000</f>
        <v>15</v>
      </c>
      <c r="G53" s="466">
        <f>PGL_Supplies!I10/1000</f>
        <v>15</v>
      </c>
      <c r="H53" s="466">
        <f>PGL_Supplies!I11/1000</f>
        <v>15</v>
      </c>
      <c r="I53" s="467">
        <f>PGL_Supplies!I12/1000</f>
        <v>15</v>
      </c>
      <c r="J53" s="113" t="s">
        <v>10</v>
      </c>
    </row>
    <row r="54" spans="1:10" ht="15.75">
      <c r="A54" s="841"/>
      <c r="B54" s="832" t="s">
        <v>157</v>
      </c>
      <c r="C54" s="832"/>
      <c r="D54" s="466">
        <f>PGL_Supplies!K7/1000</f>
        <v>0</v>
      </c>
      <c r="E54" s="466">
        <f>PGL_Supplies!K8/1000</f>
        <v>0</v>
      </c>
      <c r="F54" s="466">
        <f>PGL_Supplies!K9/1000</f>
        <v>0</v>
      </c>
      <c r="G54" s="466">
        <f>PGL_Supplies!K10/1000</f>
        <v>0</v>
      </c>
      <c r="H54" s="466">
        <f>PGL_Supplies!K11/1000</f>
        <v>0</v>
      </c>
      <c r="I54" s="467">
        <f>PGL_Supplies!K12/1000</f>
        <v>0</v>
      </c>
    </row>
    <row r="55" spans="1:10" ht="15.75">
      <c r="A55" s="844" t="s">
        <v>759</v>
      </c>
      <c r="B55" s="832"/>
      <c r="C55" s="832"/>
      <c r="D55" s="466">
        <f>PGL_Supplies!B7/1000</f>
        <v>0</v>
      </c>
      <c r="E55" s="466">
        <f>PGL_Supplies!B8/1000</f>
        <v>0</v>
      </c>
      <c r="F55" s="466">
        <f>PGL_Supplies!B9/1000</f>
        <v>0</v>
      </c>
      <c r="G55" s="466">
        <f>PGL_Supplies!B10/1000</f>
        <v>0</v>
      </c>
      <c r="H55" s="466">
        <f>PGL_Supplies!B11/1000</f>
        <v>0</v>
      </c>
      <c r="I55" s="467">
        <f>PGL_Supplies!B12/1000</f>
        <v>0</v>
      </c>
    </row>
    <row r="56" spans="1:10" ht="15.75">
      <c r="A56" s="841" t="s">
        <v>734</v>
      </c>
      <c r="B56" s="832" t="s">
        <v>726</v>
      </c>
      <c r="C56" s="832"/>
      <c r="D56" s="466">
        <f>PGL_Supplies!X7/1000</f>
        <v>0.2</v>
      </c>
      <c r="E56" s="466">
        <f>PGL_Supplies!X8/1000</f>
        <v>0</v>
      </c>
      <c r="F56" s="466">
        <f>PGL_Supplies!X9/1000</f>
        <v>0</v>
      </c>
      <c r="G56" s="466">
        <f>PGL_Supplies!X10/1000</f>
        <v>0</v>
      </c>
      <c r="H56" s="466">
        <f>PGL_Supplies!X11/1000</f>
        <v>0</v>
      </c>
      <c r="I56" s="467">
        <f>PGL_Supplies!X12/1000</f>
        <v>0</v>
      </c>
    </row>
    <row r="57" spans="1:10" ht="15.75">
      <c r="A57" s="841"/>
      <c r="B57" s="832" t="s">
        <v>141</v>
      </c>
      <c r="C57" s="832"/>
      <c r="D57" s="466">
        <f>PGL_Supplies!C7/1000</f>
        <v>0</v>
      </c>
      <c r="E57" s="466">
        <f>PGL_Supplies!C8/1000</f>
        <v>0</v>
      </c>
      <c r="F57" s="466">
        <f>PGL_Supplies!C9/1000</f>
        <v>0</v>
      </c>
      <c r="G57" s="466">
        <f>PGL_Supplies!C10/1000</f>
        <v>0</v>
      </c>
      <c r="H57" s="466">
        <f>PGL_Supplies!C11/1000</f>
        <v>0</v>
      </c>
      <c r="I57" s="467">
        <f>PGL_Supplies!C12/1000</f>
        <v>0</v>
      </c>
    </row>
    <row r="58" spans="1:10" ht="15.75">
      <c r="A58" s="841"/>
      <c r="B58" s="846" t="s">
        <v>145</v>
      </c>
      <c r="C58" s="832"/>
      <c r="D58" s="466">
        <f>PGL_Supplies!D7/1000</f>
        <v>0</v>
      </c>
      <c r="E58" s="466">
        <f>PGL_Supplies!D8/1000</f>
        <v>0</v>
      </c>
      <c r="F58" s="466">
        <f>PGL_Supplies!D9/1000</f>
        <v>0</v>
      </c>
      <c r="G58" s="466">
        <f>PGL_Supplies!D10/1000</f>
        <v>0</v>
      </c>
      <c r="H58" s="466">
        <f>PGL_Supplies!D11/1000</f>
        <v>0</v>
      </c>
      <c r="I58" s="467">
        <f>PGL_Supplies!D12/1000</f>
        <v>0</v>
      </c>
    </row>
    <row r="59" spans="1:10" ht="15.75">
      <c r="A59" s="841"/>
      <c r="B59" s="832" t="s">
        <v>414</v>
      </c>
      <c r="C59" s="832"/>
      <c r="D59" s="466">
        <f>PGL_Supplies!E7/1000</f>
        <v>0</v>
      </c>
      <c r="E59" s="466">
        <f>PGL_Supplies!E8/1000</f>
        <v>0</v>
      </c>
      <c r="F59" s="466">
        <f>PGL_Supplies!E9/1000</f>
        <v>0</v>
      </c>
      <c r="G59" s="466">
        <f>PGL_Supplies!E10/1000</f>
        <v>0</v>
      </c>
      <c r="H59" s="466">
        <f>PGL_Supplies!E11/1000</f>
        <v>0</v>
      </c>
      <c r="I59" s="467">
        <f>PGL_Supplies!E12/1000</f>
        <v>0</v>
      </c>
    </row>
    <row r="60" spans="1:10" ht="15.75">
      <c r="A60" s="859"/>
      <c r="B60" s="860" t="s">
        <v>140</v>
      </c>
      <c r="C60" s="860"/>
      <c r="D60" s="468">
        <f>PGL_Supplies!G7/1000</f>
        <v>0</v>
      </c>
      <c r="E60" s="468">
        <f>PGL_Supplies!G8/1000</f>
        <v>0</v>
      </c>
      <c r="F60" s="468">
        <f>PGL_Supplies!G9/1000</f>
        <v>0</v>
      </c>
      <c r="G60" s="468">
        <f>PGL_Supplies!G10/1000</f>
        <v>0</v>
      </c>
      <c r="H60" s="468">
        <f>PGL_Supplies!G11/1000</f>
        <v>0</v>
      </c>
      <c r="I60" s="469">
        <f>PGL_Supplies!G12/1000</f>
        <v>0</v>
      </c>
    </row>
    <row r="61" spans="1:10" ht="16.5" thickBot="1">
      <c r="A61" s="862" t="s">
        <v>158</v>
      </c>
      <c r="B61" s="863"/>
      <c r="C61" s="863"/>
      <c r="D61" s="476">
        <f t="shared" ref="D61:I61" si="2">SUM(D33:D60)</f>
        <v>441.18899999999996</v>
      </c>
      <c r="E61" s="476">
        <f t="shared" si="2"/>
        <v>343.92499999999995</v>
      </c>
      <c r="F61" s="476">
        <f t="shared" si="2"/>
        <v>327.86099999999999</v>
      </c>
      <c r="G61" s="476">
        <f t="shared" si="2"/>
        <v>327.86099999999999</v>
      </c>
      <c r="H61" s="476">
        <f t="shared" si="2"/>
        <v>327.86099999999999</v>
      </c>
      <c r="I61" s="1118">
        <f t="shared" si="2"/>
        <v>327.86099999999999</v>
      </c>
    </row>
    <row r="62" spans="1:10">
      <c r="A62" s="864" t="s">
        <v>159</v>
      </c>
      <c r="B62" s="865"/>
      <c r="C62" s="865"/>
      <c r="D62" s="477">
        <f t="shared" ref="D62:I62" si="3">IF(D61-D30&lt;0,0,D61-D30)</f>
        <v>3.9999999999054126E-3</v>
      </c>
      <c r="E62" s="477">
        <f t="shared" si="3"/>
        <v>0</v>
      </c>
      <c r="F62" s="477">
        <f t="shared" si="3"/>
        <v>0</v>
      </c>
      <c r="G62" s="477">
        <f t="shared" si="3"/>
        <v>5.1159999999999854</v>
      </c>
      <c r="H62" s="477">
        <f t="shared" si="3"/>
        <v>0</v>
      </c>
      <c r="I62" s="1119">
        <f t="shared" si="3"/>
        <v>0</v>
      </c>
    </row>
    <row r="63" spans="1:10" ht="15.75" thickBot="1">
      <c r="A63" s="866" t="s">
        <v>160</v>
      </c>
      <c r="B63" s="850"/>
      <c r="C63" s="867"/>
      <c r="D63" s="478">
        <f t="shared" ref="D63:I63" si="4">IF(D30-D61&lt;0,0,D30-D61)</f>
        <v>0</v>
      </c>
      <c r="E63" s="478">
        <f t="shared" si="4"/>
        <v>126.03800000000007</v>
      </c>
      <c r="F63" s="478">
        <f t="shared" si="4"/>
        <v>9.8840000000000146</v>
      </c>
      <c r="G63" s="478">
        <f t="shared" si="4"/>
        <v>0</v>
      </c>
      <c r="H63" s="478">
        <f t="shared" si="4"/>
        <v>9.8840000000000146</v>
      </c>
      <c r="I63" s="1120">
        <f t="shared" si="4"/>
        <v>24.884000000000015</v>
      </c>
    </row>
    <row r="64" spans="1:10" ht="16.5" thickTop="1" thickBot="1">
      <c r="A64" s="1107" t="s">
        <v>749</v>
      </c>
      <c r="B64" s="1108"/>
      <c r="C64" s="1108"/>
      <c r="D64" s="1109">
        <f>PGL_Supplies!V7/1000</f>
        <v>124.989</v>
      </c>
      <c r="E64" s="1109">
        <f>PGL_Supplies!V8/1000</f>
        <v>119.514</v>
      </c>
      <c r="F64" s="1109">
        <f>PGL_Supplies!V9/1000</f>
        <v>119.514</v>
      </c>
      <c r="G64" s="1109">
        <f>PGL_Supplies!V10/1000</f>
        <v>119.514</v>
      </c>
      <c r="H64" s="1109">
        <f>PGL_Supplies!V11/1000</f>
        <v>119.514</v>
      </c>
      <c r="I64" s="1110">
        <f>PGL_Supplies!V12/1000</f>
        <v>119.514</v>
      </c>
    </row>
    <row r="65" spans="3:3" ht="15.75" thickTop="1"/>
    <row r="67" spans="3:3">
      <c r="C67" s="113" t="s">
        <v>770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2001-06-13T20:20:06Z</cp:lastPrinted>
  <dcterms:created xsi:type="dcterms:W3CDTF">1997-07-16T16:14:22Z</dcterms:created>
  <dcterms:modified xsi:type="dcterms:W3CDTF">2023-09-10T17:06:23Z</dcterms:modified>
</cp:coreProperties>
</file>