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177632-71C6-4A99-BDE4-BC35CE1F236B}" xr6:coauthVersionLast="47" xr6:coauthVersionMax="47" xr10:uidLastSave="{00000000-0000-0000-0000-000000000000}"/>
  <bookViews>
    <workbookView xWindow="-120" yWindow="-120" windowWidth="38640" windowHeight="15720" firstSheet="2" activeTab="4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<sst xmlns="http://schemas.openxmlformats.org/spreadsheetml/2006/main" count="2146" uniqueCount="800">
  <si>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</si>
  <si>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</si>
  <si>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</si>
  <si>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</si>
  <si>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</si>
  <si>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</si>
  <si>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</si>
  <si>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</si>
  <si>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</si>
  <si>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</si>
  <si>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</si>
  <si>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</si>
  <si>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</si>
  <si>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</si>
  <si>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</si>
  <si>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</si>
  <si>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</si>
  <si>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</si>
  <si>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</si>
  <si>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</si>
  <si>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</si>
  <si>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</si>
  <si>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</si>
  <si>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</si>
  <si>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</si>
  <si>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</si>
  <si>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</si>
  <si>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</si>
  <si>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</si>
  <si>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</si>
  <si>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</si>
  <si>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</si>
  <si>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</si>
  <si>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</si>
  <si>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</si>
  <si>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</si>
  <si>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</si>
  <si>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</si>
  <si>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</si>
  <si>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</si>
  <si>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</si>
  <si>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</si>
  <si>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</si>
  <si>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</si>
  <si>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</si>
  <si>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</si>
  <si>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</si>
  <si>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</si>
  <si>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</si>
  <si>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</si>
  <si>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</si>
  <si>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</si>
  <si>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</si>
  <si>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</si>
  <si>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</si>
  <si>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</si>
  <si>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</si>
  <si>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</si>
  <si>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</si>
  <si>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</si>
  <si>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</si>
  <si>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</si>
  <si>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</si>
  <si>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</si>
  <si>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</si>
  <si>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</si>
  <si>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</si>
  <si>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</si>
  <si>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</si>
  <si>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</si>
  <si>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</si>
  <si>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</si>
  <si>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</si>
  <si>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</si>
  <si>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</si>
  <si>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</si>
  <si>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</si>
  <si>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</si>
  <si>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</si>
  <si>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</si>
  <si>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</si>
  <si>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</si>
  <si>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</si>
  <si>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</si>
  <si>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</si>
  <si>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</si>
  <si>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</si>
  <si>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</si>
  <si>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</si>
  <si>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</si>
  <si>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</si>
  <si>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</si>
  <si>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</si>
  <si>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</si>
  <si>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</si>
  <si>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</si>
  <si>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</si>
  <si>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</si>
  <si>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</si>
  <si>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</si>
  <si>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</si>
  <si>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</si>
  <si>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</si>
  <si>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</si>
  <si>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</si>
  <si>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</si>
  <si>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</si>
  <si>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</si>
  <si>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</si>
  <si>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</si>
  <si>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</si>
  <si>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</si>
  <si>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</si>
  <si>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</si>
  <si>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</si>
  <si>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</si>
  <si>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</si>
  <si>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</si>
  <si>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</si>
  <si>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</si>
  <si>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</si>
  <si>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</si>
  <si>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</si>
  <si>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</si>
  <si>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</si>
  <si>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</si>
  <si>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</si>
  <si>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</si>
  <si>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</si>
  <si>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</si>
  <si>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</si>
  <si>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</si>
  <si>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</si>
  <si>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</si>
  <si>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</si>
  <si>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</si>
  <si>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</si>
  <si>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</si>
  <si>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</si>
  <si>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</si>
  <si>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</si>
  <si>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</si>
  <si>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</si>
  <si>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</si>
  <si>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</si>
  <si>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</si>
  <si>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</si>
  <si>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</si>
  <si>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</si>
  <si>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</si>
  <si>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</si>
  <si>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</si>
  <si>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</si>
  <si>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</si>
  <si>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</si>
  <si>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</si>
  <si>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</si>
  <si>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</si>
  <si>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</si>
  <si>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</si>
  <si>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</si>
  <si>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</si>
  <si>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</si>
  <si>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</si>
  <si>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</si>
  <si>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</si>
  <si>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</si>
  <si>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</si>
  <si>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</si>
  <si>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</si>
  <si>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</si>
  <si>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</si>
  <si>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</si>
  <si>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</si>
  <si>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</si>
  <si>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</si>
  <si>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</si>
  <si>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</si>
  <si>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</si>
  <si>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</si>
  <si>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</si>
  <si>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</si>
  <si>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</si>
  <si>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</si>
  <si>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</si>
  <si>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</si>
  <si>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</si>
  <si>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</si>
  <si>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</si>
  <si>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</si>
  <si>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</si>
  <si>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</si>
  <si>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</si>
  <si>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</si>
  <si>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</si>
  <si>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</si>
  <si>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</si>
  <si>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</si>
  <si>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</si>
  <si>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</si>
  <si>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</si>
  <si>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</si>
  <si>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</si>
  <si>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</si>
  <si>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</si>
  <si>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</si>
  <si>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</si>
  <si>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</si>
  <si>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</si>
  <si>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</si>
  <si>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</si>
  <si>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</si>
  <si>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</si>
  <si>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</si>
  <si>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</si>
  <si>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</si>
  <si>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</si>
  <si>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</si>
  <si>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</si>
  <si>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</si>
  <si>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</si>
  <si>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</si>
  <si>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</si>
  <si>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</si>
  <si>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</si>
  <si>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</si>
  <si>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</si>
  <si>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</si>
  <si>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</si>
  <si>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</si>
  <si>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</si>
  <si>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</si>
  <si>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</si>
  <si>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</si>
  <si>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</si>
  <si>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</si>
  <si>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</si>
  <si>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</si>
  <si>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</si>
  <si>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</si>
  <si>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</si>
  <si>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</si>
  <si>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</si>
  <si>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</si>
  <si>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</si>
  <si>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</si>
  <si>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</si>
  <si>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</si>
  <si>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</si>
  <si>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</si>
  <si>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</si>
  <si>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</si>
  <si>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</si>
  <si>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</si>
  <si>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</si>
  <si>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</si>
  <si>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</si>
  <si>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</si>
  <si>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</si>
  <si>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</si>
  <si>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</si>
  <si>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</si>
  <si>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</si>
  <si>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</si>
  <si>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</si>
  <si>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</si>
  <si>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</si>
  <si>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</si>
  <si>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</si>
  <si>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</si>
  <si>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</si>
  <si>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</si>
  <si>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</si>
  <si>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</si>
  <si>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</si>
  <si>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</si>
  <si>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</si>
  <si>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</si>
  <si>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</si>
  <si>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</si>
  <si>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</si>
  <si>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</si>
  <si>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</si>
  <si>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</si>
  <si>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</si>
  <si>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</si>
  <si>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</si>
  <si>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</si>
  <si>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</si>
  <si>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</si>
  <si>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</si>
  <si>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</si>
  <si>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</si>
  <si>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</si>
  <si>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</si>
  <si>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</si>
  <si>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</si>
  <si>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</si>
  <si>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</si>
  <si>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</si>
  <si>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</si>
  <si>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</si>
  <si>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</si>
  <si>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</si>
  <si>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</si>
  <si>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</si>
  <si>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</si>
  <si>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</si>
  <si>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</si>
  <si>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</si>
  <si>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</si>
  <si>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</si>
  <si>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</si>
  <si>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</si>
  <si>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</si>
  <si>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</si>
  <si>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</si>
  <si>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</si>
  <si>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</si>
  <si>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</si>
  <si>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</si>
  <si>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</si>
  <si>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</si>
  <si>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</si>
  <si>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</si>
  <si>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</si>
  <si>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</si>
  <si>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</si>
  <si>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</si>
  <si>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</si>
  <si>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</si>
  <si>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</si>
  <si>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</si>
  <si>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</si>
  <si>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</si>
  <si>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</si>
  <si>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</si>
  <si>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</si>
  <si>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</si>
  <si>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</si>
  <si>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</si>
  <si>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</si>
  <si>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</si>
  <si>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</si>
  <si>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</si>
  <si>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</si>
  <si>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</si>
  <si>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</si>
  <si>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</si>
  <si>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</si>
  <si>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</si>
  <si>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</si>
  <si>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</si>
  <si>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</si>
  <si>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</si>
  <si>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</si>
  <si>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</si>
  <si>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</si>
  <si>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</si>
  <si>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</si>
  <si>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</si>
  <si>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</si>
  <si>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</si>
  <si>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</si>
  <si>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</si>
  <si>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</si>
  <si>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</si>
  <si>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</si>
  <si>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</si>
  <si>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</si>
  <si>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</si>
  <si>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</si>
  <si>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</si>
  <si>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</si>
  <si>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</si>
  <si>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</si>
  <si>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</si>
  <si>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</si>
  <si>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</si>
  <si>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</si>
  <si>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</si>
  <si>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</si>
  <si>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</si>
  <si>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</si>
  <si>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</si>
  <si>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</si>
  <si>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</si>
  <si>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</si>
  <si>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</si>
  <si>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</si>
  <si>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</si>
  <si>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</si>
  <si>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</si>
  <si>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</si>
  <si>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</si>
  <si>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</si>
  <si>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</si>
  <si>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</si>
  <si>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</si>
  <si>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</si>
  <si>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</si>
  <si>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</si>
  <si>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</si>
  <si>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</si>
  <si>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</si>
  <si>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</si>
  <si>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</si>
  <si>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</si>
  <si>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</si>
  <si>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</si>
  <si>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</si>
  <si>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</si>
  <si>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</si>
  <si>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</si>
  <si>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</si>
  <si>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</si>
  <si>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</si>
  <si>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</si>
  <si>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</si>
  <si>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</si>
  <si>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</si>
  <si>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</si>
  <si>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</si>
  <si>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</si>
  <si>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</si>
  <si>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</si>
  <si>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</si>
  <si>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</si>
  <si>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</si>
  <si>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</si>
  <si>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</si>
  <si>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</si>
  <si>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</si>
  <si>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</si>
  <si>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</si>
  <si>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</si>
  <si>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</si>
  <si>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</si>
  <si>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</si>
  <si>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</si>
  <si>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</si>
  <si>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</si>
  <si>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</si>
  <si>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</si>
  <si>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</si>
  <si>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</si>
  <si>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</si>
  <si>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</si>
  <si>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</si>
  <si>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</si>
  <si>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</si>
  <si>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</si>
  <si>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</si>
  <si>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</si>
  <si>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</si>
  <si>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</si>
  <si>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</si>
  <si>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</si>
  <si>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</si>
  <si>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</si>
  <si>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</si>
  <si>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</si>
  <si>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</si>
  <si>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</si>
  <si>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</si>
  <si>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</si>
  <si>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</si>
  <si>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</si>
  <si>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</si>
  <si>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</si>
  <si>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</si>
  <si>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</si>
  <si>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</si>
  <si>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</si>
  <si>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</si>
  <si>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</si>
  <si>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</si>
  <si>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</si>
  <si>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</si>
  <si>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</si>
  <si>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</si>
  <si>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</si>
  <si>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</si>
  <si>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</si>
  <si>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</si>
  <si>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</si>
  <si>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</si>
  <si>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</si>
  <si>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</si>
  <si>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</si>
  <si>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</si>
  <si>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</si>
  <si>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</si>
  <si>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</si>
  <si>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</si>
  <si>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</si>
  <si>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</si>
  <si>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</si>
  <si>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</si>
  <si>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</si>
  <si>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</si>
  <si>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</si>
  <si>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</si>
  <si>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</si>
  <si>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</si>
  <si>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</si>
  <si>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</si>
  <si>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</si>
  <si>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</si>
  <si>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</si>
  <si>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</si>
  <si>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</si>
  <si>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</si>
  <si>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</si>
  <si>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</si>
  <si>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</si>
  <si>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</si>
  <si>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</si>
  <si>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</si>
  <si>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</si>
  <si>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</si>
  <si>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</si>
  <si>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</si>
  <si>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</si>
  <si>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</si>
  <si>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</si>
  <si>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</si>
  <si>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</si>
  <si>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</si>
  <si>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</si>
  <si>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</si>
  <si>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</si>
  <si>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</si>
  <si>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</si>
  <si>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</si>
  <si>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</si>
  <si>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</si>
  <si>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</si>
  <si>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</si>
  <si>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</si>
  <si>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</si>
  <si>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</si>
  <si>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</si>
  <si>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</si>
  <si>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</si>
  <si>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</si>
  <si>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</si>
  <si>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</si>
  <si>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</si>
  <si>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</si>
  <si>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</si>
  <si>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</si>
  <si>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</si>
  <si>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</si>
  <si>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</si>
  <si>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</si>
  <si>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</si>
  <si>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</si>
  <si>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</si>
  <si>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</si>
  <si>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</si>
  <si>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</si>
  <si>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</si>
  <si>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</si>
  <si>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</si>
  <si>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</si>
  <si>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</si>
  <si>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</si>
  <si>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</si>
  <si>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</si>
  <si>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</si>
  <si>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</si>
  <si>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</si>
  <si>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</si>
  <si>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</si>
  <si>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</si>
  <si>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</si>
  <si>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</si>
  <si>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</si>
  <si>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</si>
  <si>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</si>
  <si>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</si>
  <si>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</si>
  <si>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</si>
  <si>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</si>
  <si>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</si>
  <si>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</si>
  <si>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</si>
  <si>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</si>
  <si>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</si>
  <si>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</si>
  <si>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</si>
  <si>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</si>
  <si>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</si>
  <si>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</si>
  <si>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</si>
  <si>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</si>
  <si>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</si>
  <si>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</si>
  <si>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</si>
  <si>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</si>
  <si>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</si>
  <si>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</si>
  <si>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</si>
  <si>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</si>
  <si>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</si>
  <si>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</si>
  <si>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</si>
  <si>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</si>
  <si>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</si>
  <si>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</si>
  <si>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</si>
  <si>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</si>
  <si>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</si>
  <si>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</si>
  <si>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</si>
  <si>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</si>
  <si>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</si>
  <si>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</si>
  <si>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</si>
  <si>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</si>
  <si>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</si>
  <si>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</si>
  <si>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</si>
  <si>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</si>
  <si>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</si>
  <si>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</si>
  <si>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</si>
  <si>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</si>
  <si>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</si>
  <si>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</si>
  <si>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</si>
  <si>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</si>
  <si>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</si>
  <si>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</si>
  <si>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</si>
  <si>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</si>
  <si>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</si>
  <si>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</si>
  <si>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</si>
  <si>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</si>
  <si>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</si>
  <si>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</si>
  <si>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</si>
  <si>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</si>
  <si>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</si>
  <si>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</si>
  <si>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</si>
  <si>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</si>
  <si>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</si>
  <si>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</si>
  <si>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</si>
  <si>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</si>
  <si>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</si>
  <si>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</si>
  <si>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</si>
  <si>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</si>
  <si>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</si>
  <si>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</si>
  <si>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</si>
  <si>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</si>
  <si>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</si>
  <si>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</si>
  <si>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</si>
  <si>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</si>
  <si>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</si>
  <si>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</si>
  <si>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</si>
  <si>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</si>
  <si>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</si>
  <si>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</si>
  <si>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</si>
  <si>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</si>
  <si>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</si>
  <si>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</si>
  <si>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</si>
  <si>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</si>
  <si>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</si>
  <si>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</si>
  <si>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</si>
  <si>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</si>
  <si>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</si>
  <si>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</si>
  <si>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</si>
  <si>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</si>
  <si>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</si>
  <si>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</si>
  <si>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</si>
  <si>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</si>
  <si>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</si>
  <si>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</si>
  <si>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</si>
  <si>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</si>
  <si>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</si>
  <si>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</si>
  <si>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</si>
  <si>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</si>
  <si>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</si>
  <si>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</si>
  <si>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</si>
  <si>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</si>
  <si>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</si>
  <si>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</si>
  <si>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</si>
  <si>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</si>
  <si>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</si>
  <si>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</si>
  <si>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</si>
  <si>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</si>
  <si>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</si>
  <si>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</si>
  <si>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</si>
  <si>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</si>
  <si>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</si>
  <si>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</si>
  <si>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</si>
  <si>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</si>
  <si>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</si>
  <si>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</si>
  <si>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</si>
  <si>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</si>
  <si>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</si>
  <si>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</si>
  <si>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</si>
  <si>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</si>
  <si>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</si>
  <si>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</si>
  <si>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</si>
  <si>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</si>
  <si>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</si>
  <si>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</si>
  <si>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</si>
  <si>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</si>
  <si>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</si>
  <si>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</si>
  <si>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</si>
  <si>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</si>
  <si>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</si>
  <si>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</si>
  <si>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</si>
  <si>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</si>
  <si>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</si>
  <si>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</si>
  <si>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</si>
  <si>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</si>
  <si>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</si>
  <si>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</si>
  <si>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</si>
  <si>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</si>
  <si>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</si>
  <si>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</si>
  <si>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</si>
  <si>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</si>
  <si>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</si>
  <si>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</si>
  <si>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</si>
  <si>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</si>
  <si>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</si>
  <si>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</si>
  <si>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</si>
  <si>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</si>
  <si>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</si>
  <si>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</si>
  <si>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</si>
  <si>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</si>
  <si>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</si>
  <si>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</si>
  <si>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</si>
  <si>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</si>
  <si>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</si>
  <si>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</si>
  <si>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</si>
  <si>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</si>
  <si>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</si>
  <si>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</si>
  <si>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</si>
  <si>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</si>
  <si>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</si>
  <si>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</si>
  <si>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</si>
  <si>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</si>
  <si>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</si>
  <si>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</si>
  <si>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</si>
  <si>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</si>
  <si>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</si>
  <si>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</si>
  <si>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</si>
  <si>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</si>
  <si>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</si>
  <si>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</si>
  <si>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</si>
  <si>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</si>
  <si>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 xml:space="preserve">  SEVERAL HOURS OF SUNSHINE.</t>
  </si>
  <si>
    <t xml:space="preserve">  PARTLY CLOUDY.</t>
  </si>
  <si>
    <t xml:space="preserve">  TODAY - MOSTLY SUNNY WITH A WARM BREEZE.</t>
  </si>
  <si>
    <t xml:space="preserve">  TONIGHT - MAINLY CLEAR AND COOL.</t>
  </si>
  <si>
    <t xml:space="preserve">  INTERVALS OF CLOUDS AND SUN.</t>
  </si>
  <si>
    <t xml:space="preserve">  SOME SUNSHINE WITH A CHANCE OF A THUNDERSTORM IN THE AFTERNOON.</t>
  </si>
  <si>
    <t xml:space="preserve">  PARTLY 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</si>
</sst>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8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trike/>
      <sz val="12"/>
      <color indexed="5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  <xf numFmtId="0" fontId="6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77C74F5-2CF3-6468-577E-6B4A15163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96079C8-DD42-F39D-B228-E8911168A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501B5FE-99B3-3405-9133-778BDDF6C8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952CCF7-2FD6-C541-BA5F-A093BB7C9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4BACF9D-21AF-7CFD-71A1-F1F7F7209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938B07D-EA53-BB54-B685-08AF2C7A0B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DF8A678-F53E-6208-A368-498AA7D58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7EF5D068-70B5-289B-52DA-7BB3213A2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2FD2606-4013-4934-E560-9106627E8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826ECF6B-0B2C-1B8C-87CC-10270B7DA9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A6496797-8003-168A-BD88-3D541C8D3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392BA901-D6DD-055E-6AD2-F916B323C1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1BE28AE-2C1D-C437-78B0-B5962831E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1E25EFE-62A1-EC2E-CFFF-6CC84913C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8937C387-2CA7-CC9F-5651-71DBD9A0F2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BCF13949-88CD-ADA6-CEFD-737B6E53E4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45BDB7C7-9162-E820-D1BE-2BF4473CD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1942E9F-F81A-ECA0-3E9C-65141CD0F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AA6EE34D-8421-2D02-DE5E-DCF412B06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9C797549-1677-03E7-B050-B3AAFECD2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FFB8C449-2093-FAAB-A863-A7374BCC1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A8CABCD5-4287-C3AD-AC6B-6CB0FDA14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2E278528-A4DD-404A-8018-F86890E01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63CDECEC-ED81-D4D5-42E9-AFBD8037A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870897E-9CA0-C235-A167-4B0D340EE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EBD7460B-D718-BA9E-FAFC-78C39F969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418ED3D8-AF44-E039-B7E3-242641E89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3B0E8036-FB8A-914D-6BB9-DC793DD7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81B311FD-7627-B992-01E8-1DAF8B533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543D5C35-A05B-1F43-936F-54D0CFE3F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475E7BD3-9409-80AC-CC04-580A2E888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1DA9FEAA-970B-8E57-8AF2-EE8C3F56A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AD6BF02C-3E68-0631-FE9F-CAE06CEA3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1327F271-9B63-FD57-BCE6-E0F85C827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281E1392-0CF0-74A2-58D7-1723F0ED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BE45B9EA-0FCE-692C-6FFB-C66723FC1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30DA9024-B6B4-9BDD-84CB-8470D53E6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6A147549-E65F-4656-C6E1-8B88E3C0E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82E5C134-55E1-0072-2D1C-75874905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640D09ED-1E06-B7AD-4132-9D4B69D8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796B4874-7AD3-B1C7-6C85-FBCE590A6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0FC38AF6-373A-D109-9BFD-9462849C5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7CEA3A2F-7D49-24DC-71CB-D8E377003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75284828-826E-579D-F1A3-DC992862C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791" name="Day_1">
          <a:extLst>
            <a:ext uri="{FF2B5EF4-FFF2-40B4-BE49-F238E27FC236}">
              <a16:creationId xmlns:a16="http://schemas.microsoft.com/office/drawing/2014/main" id="{2A999A55-30EF-2396-2A0A-2CC371FF5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792" name="Day_2">
          <a:extLst>
            <a:ext uri="{FF2B5EF4-FFF2-40B4-BE49-F238E27FC236}">
              <a16:creationId xmlns:a16="http://schemas.microsoft.com/office/drawing/2014/main" id="{630C1EE8-FCC3-8008-7936-F0D98F7F5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793" name="Day_3">
          <a:extLst>
            <a:ext uri="{FF2B5EF4-FFF2-40B4-BE49-F238E27FC236}">
              <a16:creationId xmlns:a16="http://schemas.microsoft.com/office/drawing/2014/main" id="{6BF11A3D-50E6-BC3F-990B-251316302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794" name="Day_4">
          <a:extLst>
            <a:ext uri="{FF2B5EF4-FFF2-40B4-BE49-F238E27FC236}">
              <a16:creationId xmlns:a16="http://schemas.microsoft.com/office/drawing/2014/main" id="{AAB15B2D-95F7-762D-316F-8733584A5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795" name="Day_5">
          <a:extLst>
            <a:ext uri="{FF2B5EF4-FFF2-40B4-BE49-F238E27FC236}">
              <a16:creationId xmlns:a16="http://schemas.microsoft.com/office/drawing/2014/main" id="{750E3AAA-7F7F-674B-8ED1-D0706F870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796" name="Day_6">
          <a:extLst>
            <a:ext uri="{FF2B5EF4-FFF2-40B4-BE49-F238E27FC236}">
              <a16:creationId xmlns:a16="http://schemas.microsoft.com/office/drawing/2014/main" id="{9CF8B06E-5FCA-A4FF-3A78-2C3C8DC10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91EDD896-E242-B06A-8F78-B54EEB9F068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8D65D4F5-8630-3979-A339-F76F0635CC77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C321365F-7FFB-66FD-84DD-9D6E5657E8A7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33EFA389-3125-1B47-720C-828206D948D5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88DB3FA1-08B8-6D64-023D-852542A2A313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B1A41728-8EBE-40A4-5264-7F98C027357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1FB0883D-3FDE-E92E-4C0B-9E9C398EAB31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5958B0A9-BA6E-FD6C-AB67-EE51D66EFE2C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6084C8AA-D18B-3FC2-0C7D-B53126F754DC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6E0F6F1-C16E-4F03-2B5E-FB935EBF0D35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628AA81D-65E1-AE0E-5FDF-50CBB245AC71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CE0B9545-D0A4-D937-51BD-6BB6698CDB96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EAF62EDA-BBDB-0B2E-0FC9-7BF85DF7D9FC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62BE7FFB-7E66-5AE4-F7E8-360F63B0185B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1F3AD652-9803-349B-FEC9-268EB24E8825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3F23EF5A-81E3-2B6E-25B2-3E2E4DE0B87E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F773C4FD-8866-1355-1DA8-1E76AC46FC80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38A4A736-9E4A-FE73-672C-22D32FAEEF1C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AE67B522-3EDB-703D-B585-8E6F9F80F755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8C280292-8096-F2F8-3013-164F081F353D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00E5AC9D-4D89-4217-A455-CA6BEE544532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FC5141A1-4610-11F4-B8CE-82DFA1103E9C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6DED8EA8-BD51-EA9A-9C30-7F60A222E75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95A8AAC9-8D4A-FD8F-BF88-1EC0FFD2F39E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EB48C736-A8F9-C8EF-5AC7-65A220D390C6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332FD8FA-40D6-FA17-0DCD-005DA410258D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5DE9E727-9F2A-A8AC-6025-E152F15E8A6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DA3DB988-9D3B-A8E1-E6AF-557A1758BF67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78AE2C71-0BB1-3A3C-1515-45D744B909ED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8E44528D-9CF7-FC7A-8F8E-3707D7F2B3A1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A072EB50-90D9-588F-9AEF-951AF96F974B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075B54C7-1BD0-33A3-B97F-86ADB0A9246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C0F8EC4-419D-0963-5CCE-0E521E5D9A64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9B4746A5-6990-FEB9-83AA-B9B550CD73EE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51F3441E-FEC9-B70A-5B7D-F07D9335FA82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0C10EC93-F198-1696-200B-8EE7862A53BC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290D556D-5DFC-2212-A768-0159E227E590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BB3173AC-C2CB-14BF-102B-495F62354B93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466823E3-7862-5445-4FD8-93BBAF104BDD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42392119-8A7C-CDBA-ACA7-72374393E804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60F14056-5EC9-A5ED-3139-219FF91E4C09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FF5902AB-F1C8-6097-40D3-A6C0299E27E9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091E8AA3-9468-C86E-D381-2FF107A5C586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1E22A0CA-AFEE-C91E-28E2-5C0C9BF43CD0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48D2307B-CABD-FD63-63F1-A0BECC54DCA9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71D1D8B0-C205-F6FE-9102-79C6B75DD155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1E479E24-864D-7523-7F5A-F15A49658B9E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DB52EA2B-553A-2EE1-451E-AF16273F818E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BFDA50C7-FE9F-597E-7140-2A4F1C0F5A6E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C0346D62-EF38-A137-299A-CA35E59DD6A0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180850F7-A845-CED7-E401-3F04AD7D7FE7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DD83141D-3E74-9453-2966-FEE3B07AAEB0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B9EC9A4D-B74A-1BEE-9B53-FB659AE7A1D9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DBF40AAE-0C4C-717E-283D-90CB5A6BAAD3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DE7459AA-6DF0-F048-3062-3F4C9E871E6D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F9601DC6-8365-6DE2-0CF6-8BFF162B4B8F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B08E7EF5-4D55-BB7D-2078-212F5BF2C945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6DD4746F-4EE4-6E23-AAD1-484E0B53356E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73947B09-E912-EC18-25B0-EA885DC1CDB2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A6060D80-8F67-D07E-F79B-5A22645E8D02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24F92F90-9ABA-6B83-AA37-6B30B589990F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74D0E03F-D608-1BAA-39D6-2487E7900BEF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51A6C0E7-206C-FE4C-7F17-0BBEEEFAC373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4EE58C0C-D9A9-5B0C-C0C2-0382302600C9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06C05A9B-A801-2EE0-9D4C-CBE2831DB2E3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EE303796-4B9F-0250-29A2-9366B58CFF24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A1C955C2-77E5-B130-1D1C-59869A1396FB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72EDF5DE-0188-36C6-2CEA-4B7AE1BD0F94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E0948A99-B92B-C47C-9697-5DE24A600C05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0E34C832-25CA-95D5-A9EE-BDCF490A09EF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B6B2B8F8-74C1-4B04-D188-A8EDE16D3BF3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80AEE89A-BB72-DCBE-3735-2382DEEF3247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5E478896-8086-2241-F903-418D014E4CAC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FB471F4D-FA0D-AABA-AAA6-9BF9F354B6AA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A86F98A7-33FD-22E6-1A35-9799C8C97DF8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9EEDE318-9FAE-6ED8-66A8-609A55C382D1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CCF73932-F708-2081-B5F5-D1B4D5268A36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F1C82C2-B2A9-1B85-568A-1A117B9A9DA6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3D729077-379C-0F82-58EA-CD63E214DB87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B89049EF-D968-69EB-E742-0AC93D781BC8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FF44B2EF-71AD-C043-A190-A62B948D9350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67507BE1-E4FC-69D1-46A8-FA079F51FFA3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84552BBD-115D-8A8B-0FC4-3B8E3D2770B8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BBACA32A-99AE-ED93-6B32-45EE47D8E2C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583D091F-8F4E-2338-8921-A7D3110FB33D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AC97C5D9-1C54-078A-9681-C36CB1CE9803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EC0AC3ED-51A0-AF43-939F-214B9EB99866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CFFACD2E-1392-18CA-9968-A93389D9863F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A56C7651-C30A-5650-72D9-F1E2D2A97971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09602C0-5199-B7E4-B39E-0C6C0AA8A549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ED8A8AC8-0DD1-5EDB-248E-A26ECF0494A1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235E8621-6599-2BB4-EEC3-C95FABD1F232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D78EBC55-60BE-53EF-BF86-43B784C145E7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E27CD703-903E-D3F6-E878-DEF48FB7EBB3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0123080E-0D16-61E8-628E-6EC082D454DB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BD3DB6A1-B959-D05D-0F03-7BB67FF851C8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E98DBF01-A45B-24E4-2208-38746D5F0020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081BCBA5-313D-7318-02F4-99184F53B7D4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767492BC-5307-0EF5-33D1-B0EDF630FFA8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2C17D107-D980-519A-6464-41861A388AE4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E590B2FE-44D8-1754-DE88-16EE8DD9F825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CA04D9A7-526E-F0A7-C282-A49DB1654955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234F134A-2014-0037-B105-062E9331718F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CD2C750D-5B05-F29A-77C6-19CFA3EE7CAC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2B47F285-1C67-1BB0-4573-C91D3FFC6365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94148D15-D456-A155-0C3A-0313164A7BF6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0D0EF16E-8601-FAA2-1AA3-A056FADD129E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B1AA97D2-164A-C456-5BEF-D216F138D562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00A3C811-29D8-E27C-859E-C02A868F2899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BA7929BF-E1E4-D15E-9DD0-0F6F6C9B203B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6DBD62DF-59B7-15EB-3103-A0F664627B58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B0E83B64-EC68-A50C-2226-05654D59F0CC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A4115E7A-0BED-A067-8CEF-33EEBA43485E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3EFDD870-6F28-FBC0-B1F9-E63D96E14191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8EE5C54C-BE8A-9BA9-09B0-9948AAADF4BE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E99D1E81-CC32-9998-6E18-44ED7C68523F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8B48B7D8-6471-2805-FBFB-EBF56C4101DF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5901BF39-B4D8-7A06-3C98-B72DF5719B54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3C3EAC12-8212-B059-A0F3-7B05B3B36B45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0B7C19DB-0F37-31CB-9A5E-7482A6C9AEB4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3B774C72-70BB-B77D-F32D-227AAB716994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EAA000C3-A951-353F-7898-782ECB33C441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E497ABF1-0326-921B-B7DE-745A40ACDA90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E9E2AD40-BCAD-A4F1-4B7E-AB2DA3EBB863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9B239CD2-87CD-3815-A299-B3F90CA840F7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D06D21F1-8F53-9E51-F813-EF8279C96536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7DDF5BCB-00FB-0E9D-5817-6CF65CE472D5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83ABBD7B-8E40-9B2B-B17D-8D72D78FC00E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0B68D6EF-9B2F-6F78-7C75-A2A43A8EE54A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B3340C05-EAF0-45F0-F854-A81407D34C5D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>
      <selection activeCell="A2" sqref="A2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93" t="s">
        <v>11</v>
      </c>
      <c r="B1" s="812"/>
    </row>
    <row r="2" spans="1:88">
      <c r="A2" s="1111" t="s">
        <v>11</v>
      </c>
      <c r="B2" t="s">
        <v>11</v>
      </c>
    </row>
    <row r="3" spans="1:88" ht="15.75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THU</v>
      </c>
      <c r="I1" s="880">
        <f>D4</f>
        <v>37007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THU</v>
      </c>
      <c r="E3" s="843" t="str">
        <f t="shared" si="0"/>
        <v>FRI</v>
      </c>
      <c r="F3" s="843" t="str">
        <f t="shared" si="0"/>
        <v>SAT</v>
      </c>
      <c r="G3" s="843" t="str">
        <f t="shared" si="0"/>
        <v>SUN</v>
      </c>
      <c r="H3" s="843" t="str">
        <f t="shared" si="0"/>
        <v>MON</v>
      </c>
      <c r="I3" s="844" t="str">
        <f t="shared" si="0"/>
        <v>TUE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37007</v>
      </c>
      <c r="E4" s="847">
        <f>Weather_Input!A6</f>
        <v>37008</v>
      </c>
      <c r="F4" s="847">
        <f>Weather_Input!A7</f>
        <v>37009</v>
      </c>
      <c r="G4" s="847">
        <f>Weather_Input!A8</f>
        <v>37010</v>
      </c>
      <c r="H4" s="847">
        <f>Weather_Input!A9</f>
        <v>37011</v>
      </c>
      <c r="I4" s="848">
        <f>Weather_Input!A10</f>
        <v>37012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75/52/64</v>
      </c>
      <c r="E5" s="881" t="str">
        <f>TEXT(Weather_Input!B6,"0")&amp;"/"&amp;TEXT(Weather_Input!C6,"0") &amp; "/" &amp; TEXT((Weather_Input!B6+Weather_Input!C6)/2,"0")</f>
        <v>64/42/53</v>
      </c>
      <c r="F5" s="881" t="str">
        <f>TEXT(Weather_Input!B7,"0")&amp;"/"&amp;TEXT(Weather_Input!C7,"0") &amp; "/" &amp; TEXT((Weather_Input!B7+Weather_Input!C7)/2,"0")</f>
        <v>67/47/57</v>
      </c>
      <c r="G5" s="881" t="str">
        <f>TEXT(Weather_Input!B8,"0")&amp;"/"&amp;TEXT(Weather_Input!C8,"0") &amp; "/" &amp; TEXT((Weather_Input!B8+Weather_Input!C8)/2,"0")</f>
        <v>78/56/67</v>
      </c>
      <c r="H5" s="881" t="str">
        <f>TEXT(Weather_Input!B9,"0")&amp;"/"&amp;TEXT(Weather_Input!C9,"0") &amp; "/" &amp; TEXT((Weather_Input!B9+Weather_Input!C9)/2,"0")</f>
        <v>80/58/69</v>
      </c>
      <c r="I5" s="882" t="str">
        <f>TEXT(Weather_Input!B10,"0")&amp;"/"&amp;TEXT(Weather_Input!C10,"0") &amp; "/" &amp; TEXT((Weather_Input!B10+Weather_Input!C10)/2,"0")</f>
        <v>80/58/69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43</v>
      </c>
      <c r="E6" s="850">
        <f ca="1">VLOOKUP(E4,NSG_Sendouts,CELL("Col",NSG_Deliveries!C6),FALSE)/1000</f>
        <v>56</v>
      </c>
      <c r="F6" s="850">
        <f ca="1">VLOOKUP(F4,NSG_Sendouts,CELL("Col",NSG_Deliveries!C7),FALSE)/1000</f>
        <v>53</v>
      </c>
      <c r="G6" s="850">
        <f ca="1">VLOOKUP(G4,NSG_Sendouts,CELL("Col",NSG_Deliveries!C8),FALSE)/1000</f>
        <v>44</v>
      </c>
      <c r="H6" s="850">
        <f ca="1">VLOOKUP(H4,NSG_Sendouts,CELL("Col",NSG_Deliveries!C9),FALSE)/1000</f>
        <v>46</v>
      </c>
      <c r="I6" s="855">
        <f ca="1">VLOOKUP(I4,NSG_Sendouts,CELL("Col",NSG_Deliveries!C10),FALSE)/1000</f>
        <v>46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9.91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72.91</v>
      </c>
      <c r="E19" s="859">
        <f t="shared" ca="1" si="1"/>
        <v>76</v>
      </c>
      <c r="F19" s="859">
        <f t="shared" ca="1" si="1"/>
        <v>73</v>
      </c>
      <c r="G19" s="859">
        <f t="shared" ca="1" si="1"/>
        <v>64</v>
      </c>
      <c r="H19" s="859">
        <f t="shared" ca="1" si="1"/>
        <v>66</v>
      </c>
      <c r="I19" s="860">
        <f t="shared" ca="1" si="1"/>
        <v>66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0</v>
      </c>
      <c r="E25" s="850">
        <f>NSG_Supplies!F8/1000</f>
        <v>3.1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52.905000000000001</v>
      </c>
      <c r="E32" s="850">
        <f>NSG_Supplies!R8/1000</f>
        <v>52.905000000000001</v>
      </c>
      <c r="F32" s="850">
        <f>NSG_Supplies!R9/1000</f>
        <v>52.905000000000001</v>
      </c>
      <c r="G32" s="850">
        <f>NSG_Supplies!R10/1000</f>
        <v>52.905000000000001</v>
      </c>
      <c r="H32" s="850">
        <f>NSG_Supplies!R11/1000</f>
        <v>52.905000000000001</v>
      </c>
      <c r="I32" s="851">
        <f>NSG_Supplies!R12/1000</f>
        <v>52.905000000000001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72.905000000000001</v>
      </c>
      <c r="E37" s="890">
        <f t="shared" si="2"/>
        <v>76.004999999999995</v>
      </c>
      <c r="F37" s="890">
        <f t="shared" si="2"/>
        <v>72.905000000000001</v>
      </c>
      <c r="G37" s="890">
        <f t="shared" si="2"/>
        <v>72.905000000000001</v>
      </c>
      <c r="H37" s="890">
        <f t="shared" si="2"/>
        <v>72.905000000000001</v>
      </c>
      <c r="I37" s="891">
        <f t="shared" si="2"/>
        <v>72.905000000000001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4.9999999999954525E-3</v>
      </c>
      <c r="F38" s="894">
        <f t="shared" ca="1" si="3"/>
        <v>0</v>
      </c>
      <c r="G38" s="894">
        <f t="shared" ca="1" si="3"/>
        <v>8.9050000000000011</v>
      </c>
      <c r="H38" s="894">
        <f t="shared" ca="1" si="3"/>
        <v>6.9050000000000011</v>
      </c>
      <c r="I38" s="895">
        <f t="shared" ca="1" si="3"/>
        <v>6.9050000000000011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4.9999999999954525E-3</v>
      </c>
      <c r="E39" s="876">
        <f t="shared" ca="1" si="4"/>
        <v>0</v>
      </c>
      <c r="F39" s="876">
        <f t="shared" ca="1" si="4"/>
        <v>9.4999999999998863E-2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27.905000000000001</v>
      </c>
      <c r="E40" s="1173">
        <f>NSG_Supplies!S8/1000</f>
        <v>27.905000000000001</v>
      </c>
      <c r="F40" s="1173">
        <f>NSG_Supplies!S9/1000</f>
        <v>27.905000000000001</v>
      </c>
      <c r="G40" s="1173">
        <f>NSG_Supplies!S10/1000</f>
        <v>27.905000000000001</v>
      </c>
      <c r="H40" s="1173">
        <f>NSG_Supplies!S11/1000</f>
        <v>27.905000000000001</v>
      </c>
      <c r="I40" s="1174">
        <f>NSG_Supplies!S12/1000</f>
        <v>27.905000000000001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15</v>
      </c>
      <c r="E42" s="901">
        <f>Weather_Input!D6</f>
        <v>11</v>
      </c>
      <c r="F42" s="901">
        <f>Weather_Input!D7</f>
        <v>12</v>
      </c>
      <c r="G42" s="902"/>
      <c r="H42" s="897"/>
      <c r="I42" s="897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37007</v>
      </c>
      <c r="G1" s="770" t="str">
        <f>CHOOSE(WEEKDAY(F1),"SUN","MON","TUE","WED","THU","FRI","SAT")</f>
        <v>THU</v>
      </c>
      <c r="H1" s="592" t="s">
        <v>258</v>
      </c>
      <c r="I1" s="593"/>
    </row>
    <row r="2" spans="1:9" ht="15.75">
      <c r="A2" s="258" t="s">
        <v>11</v>
      </c>
      <c r="B2" s="609" t="s">
        <v>696</v>
      </c>
      <c r="C2" s="962"/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3">
        <f>Weather_Input!B5</f>
        <v>75</v>
      </c>
      <c r="C4" s="964">
        <f>Weather_Input!C5</f>
        <v>52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635</v>
      </c>
      <c r="B5" s="965"/>
      <c r="C5" s="966">
        <f>PGL_Requirements!H7/1000</f>
        <v>0</v>
      </c>
      <c r="D5" s="620"/>
      <c r="E5" s="302"/>
      <c r="F5" s="620"/>
      <c r="G5" s="607"/>
      <c r="H5" s="302"/>
      <c r="I5" s="296"/>
    </row>
    <row r="6" spans="1:9" ht="15.75">
      <c r="A6" s="262" t="s">
        <v>424</v>
      </c>
      <c r="B6" s="1163" t="s">
        <v>11</v>
      </c>
      <c r="C6" s="967">
        <f>PGL_Deliveries!C5/1000</f>
        <v>268</v>
      </c>
      <c r="D6" s="1163" t="s">
        <v>11</v>
      </c>
      <c r="E6" s="269"/>
      <c r="F6" s="602"/>
      <c r="G6" s="269"/>
      <c r="H6" s="602"/>
      <c r="I6" s="267"/>
    </row>
    <row r="7" spans="1:9" ht="15.75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142.405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-3.3306690738754696E-15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-169.03600000000003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266.01800000000003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15.007999999999999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573</v>
      </c>
      <c r="B18" s="615" t="s">
        <v>11</v>
      </c>
      <c r="C18" s="1136">
        <f>PGL_Requirements!G7/1000</f>
        <v>34.404000000000003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705</v>
      </c>
      <c r="B19" s="617" t="s">
        <v>11</v>
      </c>
      <c r="C19" s="511">
        <f>SUM(C9:C17)-C18</f>
        <v>219.99100000000001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-2.46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48.008999999999986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5" thickBot="1">
      <c r="A24" s="493" t="s">
        <v>432</v>
      </c>
      <c r="B24" s="973" t="s">
        <v>11</v>
      </c>
      <c r="C24" s="974">
        <f>SUM(B54+B56+B57)</f>
        <v>2.5451999999999999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7.25" thickTop="1" thickBot="1">
      <c r="A25" s="637" t="s">
        <v>433</v>
      </c>
      <c r="B25" s="978" t="s">
        <v>11</v>
      </c>
      <c r="C25" s="979">
        <f>SUM(C22:C24)</f>
        <v>50.554199999999987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75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56.058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-124.58799999999999</v>
      </c>
      <c r="D29" s="986" t="s">
        <v>11</v>
      </c>
      <c r="E29" s="985">
        <f>-PGL_Supplies!AC7/1000</f>
        <v>-124.58799999999999</v>
      </c>
      <c r="F29" s="307"/>
      <c r="G29" s="985">
        <f>-PGL_Supplies!AC7/1000</f>
        <v>-124.58799999999999</v>
      </c>
      <c r="H29" s="514"/>
      <c r="I29" s="987">
        <f>-PGL_Supplies!AC7/1000</f>
        <v>-124.58799999999999</v>
      </c>
      <c r="L29" s="1102"/>
    </row>
    <row r="30" spans="1:12" ht="16.5" thickBot="1">
      <c r="A30" s="326" t="s">
        <v>11</v>
      </c>
      <c r="B30" s="487" t="s">
        <v>11</v>
      </c>
      <c r="C30" s="1186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5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75" thickBot="1">
      <c r="A33" s="1133" t="s">
        <v>4</v>
      </c>
      <c r="B33" s="324">
        <f>PGL_Supplies!Y7/1000</f>
        <v>137.405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5" thickBot="1">
      <c r="A34" s="559" t="s">
        <v>448</v>
      </c>
      <c r="B34" s="1124">
        <f>+B33+B32-B31</f>
        <v>142.405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5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40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1.1599999999999999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0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75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5" thickBot="1">
      <c r="A41" s="559" t="s">
        <v>448</v>
      </c>
      <c r="B41" s="566">
        <f>B40+B37-B36-B38+B39</f>
        <v>-3.3306690738754696E-15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75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169.68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5" thickBot="1">
      <c r="A52" s="425" t="s">
        <v>455</v>
      </c>
      <c r="B52" s="324">
        <f>PGL_Supplies!H7/1000</f>
        <v>1.254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0.61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748</v>
      </c>
      <c r="B54" s="324">
        <f>PGL_Requirements!Q7/1000</f>
        <v>2.5451999999999999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8" t="s">
        <v>457</v>
      </c>
      <c r="B55" s="519">
        <f>-B49+B50+B52+B56+B57-B53-B51</f>
        <v>-169.03600000000003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0</v>
      </c>
      <c r="I56" s="1007" t="s">
        <v>11</v>
      </c>
    </row>
    <row r="57" spans="1:9" ht="15.75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258.97000000000003</v>
      </c>
      <c r="I57" s="1007" t="s">
        <v>11</v>
      </c>
    </row>
    <row r="58" spans="1:9" ht="16.5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7.048</v>
      </c>
      <c r="I58" s="1011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266.01800000000003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75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700</v>
      </c>
      <c r="G62" s="594"/>
      <c r="H62" s="1087" t="s">
        <v>11</v>
      </c>
      <c r="I62" s="1085">
        <f>H57-I59-I61</f>
        <v>258.97000000000003</v>
      </c>
    </row>
    <row r="63" spans="1:9" ht="16.5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v>7.048</v>
      </c>
    </row>
    <row r="64" spans="1:9" ht="15.75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5" t="s">
        <v>787</v>
      </c>
      <c r="G64" s="434"/>
      <c r="H64" s="1116"/>
      <c r="I64" s="1182">
        <f>PGL_Requirements!H7/1000</f>
        <v>0</v>
      </c>
    </row>
    <row r="65" spans="1:9" ht="15.75">
      <c r="A65" s="370" t="s">
        <v>739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266.01800000000003</v>
      </c>
    </row>
    <row r="66" spans="1:9" ht="16.5" thickBot="1">
      <c r="A66" s="1188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5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5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5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5" thickBot="1">
      <c r="A70" s="1187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THU</v>
      </c>
      <c r="G1" s="1082">
        <f>Weather_Input!A5</f>
        <v>37007</v>
      </c>
      <c r="H1" s="589" t="s">
        <v>258</v>
      </c>
      <c r="I1" s="593"/>
    </row>
    <row r="2" spans="1:9" ht="20.25">
      <c r="A2" s="642" t="s">
        <v>11</v>
      </c>
      <c r="B2" s="793" t="s">
        <v>561</v>
      </c>
      <c r="C2" s="953"/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0.25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75</v>
      </c>
      <c r="C4" s="758">
        <f>Weather_Input!C5</f>
        <v>52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43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43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3.25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4" thickBot="1">
      <c r="A19" s="703" t="s">
        <v>433</v>
      </c>
      <c r="B19" s="704"/>
      <c r="C19" s="705">
        <f>C7+C12</f>
        <v>43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441</v>
      </c>
      <c r="B24" s="717"/>
      <c r="C24" s="711">
        <f>NSG_Requirements!H7/1000</f>
        <v>9.91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442</v>
      </c>
      <c r="B25" s="714"/>
      <c r="C25" s="711">
        <f>-NSG_Supplies!F7/1000</f>
        <v>0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-52.905000000000001</v>
      </c>
      <c r="D26" s="718"/>
      <c r="E26" s="711">
        <f>-NSG_Supplies!R7/1000</f>
        <v>-52.905000000000001</v>
      </c>
      <c r="F26" s="718"/>
      <c r="G26" s="711">
        <f>-NSG_Supplies!R7/1000</f>
        <v>-52.905000000000001</v>
      </c>
      <c r="H26" s="717"/>
      <c r="I26" s="776">
        <f>-NSG_Supplies!R7/1000</f>
        <v>-52.905000000000001</v>
      </c>
    </row>
    <row r="27" spans="1:9" ht="20.25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25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25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25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75</v>
      </c>
      <c r="C5" s="266">
        <f>Weather_Input!C5</f>
        <v>52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268</v>
      </c>
      <c r="C8" s="274">
        <f>NSG_Deliveries!C5/1000</f>
        <v>43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225.76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15.007999999999999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-32.275000000000006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1.254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34.404000000000003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-175.34299999999999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-2.46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90.197000000000017</v>
      </c>
      <c r="C20" s="295">
        <f>C8+C18+C19</f>
        <v>43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2.5451999999999999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92.742200000000011</v>
      </c>
      <c r="C23" s="301">
        <f>C20</f>
        <v>43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0.61</v>
      </c>
      <c r="C27" s="310">
        <f>NSG_Requirements!P7/1000</f>
        <v>0</v>
      </c>
      <c r="D27" s="310">
        <f>PGL_Requirements!R7/1000</f>
        <v>0.61</v>
      </c>
      <c r="E27" s="310">
        <f>NSG_Requirements!P7/1000</f>
        <v>0</v>
      </c>
      <c r="F27" s="310">
        <f>PGL_Requirements!R7/1000</f>
        <v>0.61</v>
      </c>
      <c r="G27" s="310">
        <f>NSG_Requirements!P7/1000</f>
        <v>0</v>
      </c>
      <c r="H27" s="311">
        <f>+B27</f>
        <v>0.61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-124.58799999999999</v>
      </c>
      <c r="C32" s="315">
        <f>-NSG_Supplies!R7/1000</f>
        <v>-52.905000000000001</v>
      </c>
      <c r="D32" s="315">
        <f>B32</f>
        <v>-124.58799999999999</v>
      </c>
      <c r="E32" s="315">
        <f>C32</f>
        <v>-52.905000000000001</v>
      </c>
      <c r="F32" s="315">
        <f>B32</f>
        <v>-124.58799999999999</v>
      </c>
      <c r="G32" s="315">
        <f>C32</f>
        <v>-52.905000000000001</v>
      </c>
      <c r="H32" s="320">
        <f>B32</f>
        <v>-124.58799999999999</v>
      </c>
      <c r="I32" s="321">
        <f>C32</f>
        <v>-52.905000000000001</v>
      </c>
    </row>
    <row r="33" spans="1:9" ht="17.100000000000001" customHeight="1">
      <c r="A33" s="319" t="s">
        <v>394</v>
      </c>
      <c r="B33" s="315">
        <f>-PGL_Supplies!X7/1000</f>
        <v>-5</v>
      </c>
      <c r="C33" s="315">
        <f>-NSG_Supplies!S7/1000</f>
        <v>-27.905000000000001</v>
      </c>
      <c r="D33" s="315">
        <f>B33</f>
        <v>-5</v>
      </c>
      <c r="E33" s="315">
        <f>C33</f>
        <v>-27.905000000000001</v>
      </c>
      <c r="F33" s="315">
        <f>B33</f>
        <v>-5</v>
      </c>
      <c r="G33" s="315">
        <f>C33</f>
        <v>-27.905000000000001</v>
      </c>
      <c r="H33" s="320">
        <f>B33</f>
        <v>-5</v>
      </c>
      <c r="I33" s="321">
        <f>C33</f>
        <v>-27.905000000000001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56.058</v>
      </c>
      <c r="C35" s="310">
        <f>NSG_Requirements!H7/1000</f>
        <v>9.91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169.68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1.254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2.5451999999999999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2.5451999999999999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1.254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225.76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225.76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137.405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169.68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-32.275000000000006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THU</v>
      </c>
      <c r="H73" s="406">
        <f>Weather_Input!A5</f>
        <v>37007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56.057999999999993</v>
      </c>
      <c r="D97" s="602"/>
      <c r="E97" s="614">
        <f>+C97</f>
        <v>56.057999999999993</v>
      </c>
      <c r="F97" s="602"/>
      <c r="G97" s="614">
        <f>+C97</f>
        <v>56.057999999999993</v>
      </c>
      <c r="H97" s="602"/>
      <c r="I97" s="285">
        <f>+C97</f>
        <v>56.057999999999993</v>
      </c>
    </row>
    <row r="98" spans="1:9" ht="15">
      <c r="A98" s="493" t="s">
        <v>60</v>
      </c>
      <c r="B98" s="282" t="s">
        <v>11</v>
      </c>
      <c r="C98" s="623">
        <f>B149</f>
        <v>1.254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225.76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137.405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34.404000000000003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1.1599999999999999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-5</v>
      </c>
      <c r="C123" s="315">
        <f>-NSG_Supplies!S7/1000</f>
        <v>-27.905000000000001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56.058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1.1599999999999999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5" thickBot="1">
      <c r="A133" s="559" t="s">
        <v>448</v>
      </c>
      <c r="B133" s="566">
        <f>B126+B127+B130+B131+B132-B125-B128-B129</f>
        <v>56.057999999999993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75" thickBot="1">
      <c r="A140" s="425" t="s">
        <v>394</v>
      </c>
      <c r="B140" s="324">
        <f>PGL_Supplies!V7/1000</f>
        <v>225.76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5" thickBot="1">
      <c r="A141" s="559" t="s">
        <v>448</v>
      </c>
      <c r="B141" s="561">
        <f>-B135+B136+B137-B138+B139+B140</f>
        <v>225.76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169.68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75" thickBot="1">
      <c r="A146" s="425" t="s">
        <v>455</v>
      </c>
      <c r="B146" s="324">
        <f>PGL_Supplies!H7/1000</f>
        <v>1.254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2.5451999999999999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457</v>
      </c>
      <c r="B149" s="519">
        <f>B144+B146</f>
        <v>1.254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394</v>
      </c>
      <c r="B160" s="611">
        <f>PGL_Supplies!Y7/1000</f>
        <v>137.405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5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5" thickBot="1">
      <c r="A162" s="399" t="s">
        <v>457</v>
      </c>
      <c r="B162" s="612">
        <f>B154+B156+B158+B159+B160-B153-B155-B157-B161</f>
        <v>137.405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37008.470119907404</v>
      </c>
      <c r="F22" s="164" t="s">
        <v>272</v>
      </c>
      <c r="G22" s="191">
        <f ca="1">NOW()</f>
        <v>37008.470119907404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37008.470119907404</v>
      </c>
      <c r="F22" s="164" t="s">
        <v>272</v>
      </c>
      <c r="G22" s="191">
        <f ca="1">NOW()</f>
        <v>37008.470119907404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37007</v>
      </c>
      <c r="C5" s="15"/>
      <c r="D5" s="22" t="s">
        <v>290</v>
      </c>
      <c r="E5" s="23">
        <f>Weather_Input!B5</f>
        <v>75</v>
      </c>
      <c r="F5" s="24" t="s">
        <v>291</v>
      </c>
      <c r="G5" s="25">
        <f>Weather_Input!H5</f>
        <v>4</v>
      </c>
      <c r="H5" s="26" t="s">
        <v>292</v>
      </c>
      <c r="I5" s="27">
        <f ca="1">G5-(VLOOKUP(B5,DD_Normal_Data,CELL("Col",B6),FALSE))</f>
        <v>-9</v>
      </c>
    </row>
    <row r="6" spans="1:109" ht="15">
      <c r="A6" s="18"/>
      <c r="B6" s="21"/>
      <c r="C6" s="15"/>
      <c r="D6" s="22" t="s">
        <v>176</v>
      </c>
      <c r="E6" s="23">
        <f>Weather_Input!C5</f>
        <v>52</v>
      </c>
      <c r="F6" s="24" t="s">
        <v>293</v>
      </c>
      <c r="G6" s="25">
        <f>Weather_Input!F5</f>
        <v>345</v>
      </c>
      <c r="H6" s="26" t="s">
        <v>294</v>
      </c>
      <c r="I6" s="27">
        <f ca="1">G6-(VLOOKUP(B5,DD_Normal_Data,CELL("Col",C7),FALSE))</f>
        <v>-110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64.900000000000006</v>
      </c>
      <c r="F7" s="24" t="s">
        <v>296</v>
      </c>
      <c r="G7" s="25">
        <f>Weather_Input!G5</f>
        <v>6378</v>
      </c>
      <c r="H7" s="26" t="s">
        <v>296</v>
      </c>
      <c r="I7" s="123">
        <f ca="1">G7-(VLOOKUP(B5,DD_Normal_Data,CELL("Col",D4),FALSE))</f>
        <v>275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PARTLY CLOUDY.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37008</v>
      </c>
      <c r="C10" s="15"/>
      <c r="D10" s="153" t="s">
        <v>290</v>
      </c>
      <c r="E10" s="23">
        <f>Weather_Input!B6</f>
        <v>64</v>
      </c>
      <c r="F10" s="24" t="s">
        <v>291</v>
      </c>
      <c r="G10" s="25">
        <f>IF(E12&lt;65,65-(Weather_Input!B6+Weather_Input!C6)/2,0)</f>
        <v>12</v>
      </c>
      <c r="H10" s="26" t="s">
        <v>292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176</v>
      </c>
      <c r="E11" s="23">
        <f>Weather_Input!C6</f>
        <v>42</v>
      </c>
      <c r="F11" s="24" t="s">
        <v>293</v>
      </c>
      <c r="G11" s="25">
        <f>IF(DAY(B10)=1,G10,G6+G10)</f>
        <v>357</v>
      </c>
      <c r="H11" s="30" t="s">
        <v>294</v>
      </c>
      <c r="I11" s="27">
        <f ca="1">G11-(VLOOKUP(B10,DD_Normal_Data,CELL("Col",C12),FALSE))</f>
        <v>-110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53</v>
      </c>
      <c r="F12" s="24" t="s">
        <v>296</v>
      </c>
      <c r="G12" s="25">
        <f>IF(AND(DAY(B10)=1,MONTH(B10)=8),G10,G7+G10)</f>
        <v>6390</v>
      </c>
      <c r="H12" s="26" t="s">
        <v>296</v>
      </c>
      <c r="I12" s="27">
        <f ca="1">G12-(VLOOKUP(B10,DD_Normal_Data,CELL("Col",D9),FALSE))</f>
        <v>275</v>
      </c>
    </row>
    <row r="13" spans="1:109" ht="15">
      <c r="A13" s="18"/>
      <c r="B13" s="21"/>
      <c r="C13" s="15"/>
      <c r="D13" s="32" t="str">
        <f>IF(Weather_Input!I6=""," ",Weather_Input!I6)</f>
        <v xml:space="preserve">  TODAY - MOSTLY SUNNY WITH A WARM BREEZE.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MAINLY CLEAR AND COOL.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37009</v>
      </c>
      <c r="C15" s="15"/>
      <c r="D15" s="22" t="s">
        <v>290</v>
      </c>
      <c r="E15" s="23">
        <f>Weather_Input!B7</f>
        <v>67</v>
      </c>
      <c r="F15" s="24" t="s">
        <v>291</v>
      </c>
      <c r="G15" s="25">
        <f>IF(E17&lt;65,65-(Weather_Input!B7+Weather_Input!C7)/2,0)</f>
        <v>8</v>
      </c>
      <c r="H15" s="26" t="s">
        <v>292</v>
      </c>
      <c r="I15" s="27">
        <f ca="1">G15-(VLOOKUP(B15,DD_Normal_Data,CELL("Col",B16),FALSE))</f>
        <v>-4</v>
      </c>
    </row>
    <row r="16" spans="1:109" ht="15">
      <c r="A16" s="18"/>
      <c r="B16" s="20"/>
      <c r="C16" s="15"/>
      <c r="D16" s="22" t="s">
        <v>176</v>
      </c>
      <c r="E16" s="23">
        <f>Weather_Input!C7</f>
        <v>47</v>
      </c>
      <c r="F16" s="24" t="s">
        <v>293</v>
      </c>
      <c r="G16" s="25">
        <f>IF(DAY(B15)=1,G15,G11+G15)</f>
        <v>365</v>
      </c>
      <c r="H16" s="30" t="s">
        <v>294</v>
      </c>
      <c r="I16" s="27">
        <f ca="1">G16-(VLOOKUP(B15,DD_Normal_Data,CELL("Col",C17),FALSE))</f>
        <v>-114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57</v>
      </c>
      <c r="F17" s="24" t="s">
        <v>296</v>
      </c>
      <c r="G17" s="25">
        <f>IF(AND(DAY(B15)=1,MONTH(B15)=8),G15,G12+G15)</f>
        <v>6398</v>
      </c>
      <c r="H17" s="26" t="s">
        <v>296</v>
      </c>
      <c r="I17" s="27">
        <f ca="1">G17-(VLOOKUP(B15,DD_Normal_Data,CELL("Col",D14),FALSE))</f>
        <v>271</v>
      </c>
    </row>
    <row r="18" spans="1:109" ht="15">
      <c r="A18" s="18"/>
      <c r="B18" s="20"/>
      <c r="C18" s="15"/>
      <c r="D18" s="32" t="str">
        <f>IF(Weather_Input!I7=""," ",Weather_Input!I7)</f>
        <v xml:space="preserve">  INTERVALS OF CLOUDS AND SUN.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37010</v>
      </c>
      <c r="C20" s="15"/>
      <c r="D20" s="22" t="s">
        <v>290</v>
      </c>
      <c r="E20" s="23">
        <f>Weather_Input!B8</f>
        <v>78</v>
      </c>
      <c r="F20" s="24" t="s">
        <v>291</v>
      </c>
      <c r="G20" s="25">
        <f>IF(E22&lt;65,65-(Weather_Input!B8+Weather_Input!C8)/2,0)</f>
        <v>0</v>
      </c>
      <c r="H20" s="26" t="s">
        <v>292</v>
      </c>
      <c r="I20" s="27">
        <f ca="1">G20-(VLOOKUP(B20,DD_Normal_Data,CELL("Col",B21),FALSE))</f>
        <v>-12</v>
      </c>
    </row>
    <row r="21" spans="1:109" ht="15">
      <c r="A21" s="18"/>
      <c r="B21" s="21"/>
      <c r="C21" s="15"/>
      <c r="D21" s="22" t="s">
        <v>176</v>
      </c>
      <c r="E21" s="23">
        <f>Weather_Input!C8</f>
        <v>56</v>
      </c>
      <c r="F21" s="24" t="s">
        <v>293</v>
      </c>
      <c r="G21" s="25">
        <f>IF(DAY(B20)=1,G20,G16+G20)</f>
        <v>365</v>
      </c>
      <c r="H21" s="30" t="s">
        <v>294</v>
      </c>
      <c r="I21" s="27">
        <f ca="1">G21-(VLOOKUP(B20,DD_Normal_Data,CELL("Col",C22),FALSE))</f>
        <v>-126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67</v>
      </c>
      <c r="F22" s="24" t="s">
        <v>296</v>
      </c>
      <c r="G22" s="25">
        <f>IF(AND(DAY(B20)=1,MONTH(B20)=8),G20,G17+G20)</f>
        <v>6398</v>
      </c>
      <c r="H22" s="26" t="s">
        <v>296</v>
      </c>
      <c r="I22" s="27">
        <f ca="1">G22-(VLOOKUP(B20,DD_Normal_Data,CELL("Col",D19),FALSE))</f>
        <v>259</v>
      </c>
    </row>
    <row r="23" spans="1:109" ht="15">
      <c r="A23" s="18"/>
      <c r="B23" s="21"/>
      <c r="C23" s="15"/>
      <c r="D23" s="32" t="str">
        <f>IF(Weather_Input!I8=""," ",Weather_Input!I8)</f>
        <v xml:space="preserve">  SEVERAL HOURS OF SUNSHINE.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37011</v>
      </c>
      <c r="C25" s="15"/>
      <c r="D25" s="22" t="s">
        <v>290</v>
      </c>
      <c r="E25" s="23">
        <f>Weather_Input!B9</f>
        <v>80</v>
      </c>
      <c r="F25" s="24" t="s">
        <v>291</v>
      </c>
      <c r="G25" s="25">
        <f>IF(E27&lt;65,65-(Weather_Input!B9+Weather_Input!C9)/2,0)</f>
        <v>0</v>
      </c>
      <c r="H25" s="26" t="s">
        <v>292</v>
      </c>
      <c r="I25" s="27">
        <f ca="1">G25-(VLOOKUP(B25,DD_Normal_Data,CELL("Col",B26),FALSE))</f>
        <v>-12</v>
      </c>
    </row>
    <row r="26" spans="1:109" ht="15">
      <c r="A26" s="18"/>
      <c r="B26" s="21"/>
      <c r="C26" s="15"/>
      <c r="D26" s="22" t="s">
        <v>176</v>
      </c>
      <c r="E26" s="23">
        <f>Weather_Input!C9</f>
        <v>58</v>
      </c>
      <c r="F26" s="24" t="s">
        <v>293</v>
      </c>
      <c r="G26" s="25">
        <f>IF(DAY(B25)=1,G25,G21+G25)</f>
        <v>365</v>
      </c>
      <c r="H26" s="30" t="s">
        <v>294</v>
      </c>
      <c r="I26" s="27">
        <f ca="1">G26-(VLOOKUP(B25,DD_Normal_Data,CELL("Col",C27),FALSE))</f>
        <v>-138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69</v>
      </c>
      <c r="F27" s="24" t="s">
        <v>296</v>
      </c>
      <c r="G27" s="25">
        <f>IF(AND(DAY(B25)=1,MONTH(B25)=8),G25,G22+G25)</f>
        <v>6398</v>
      </c>
      <c r="H27" s="26" t="s">
        <v>296</v>
      </c>
      <c r="I27" s="27">
        <f ca="1">G27-(VLOOKUP(B25,DD_Normal_Data,CELL("Col",D24),FALSE))</f>
        <v>247</v>
      </c>
    </row>
    <row r="28" spans="1:109" ht="15">
      <c r="A28" s="18"/>
      <c r="B28" s="20"/>
      <c r="C28" s="15"/>
      <c r="D28" s="32" t="str">
        <f>IF(Weather_Input!I9=""," ",Weather_Input!I9)</f>
        <v xml:space="preserve">  SOME SUNSHINE WITH A CHANCE OF A THUNDERSTORM IN THE AFTERNOON.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37012</v>
      </c>
      <c r="C30" s="15"/>
      <c r="D30" s="22" t="s">
        <v>290</v>
      </c>
      <c r="E30" s="23">
        <f>Weather_Input!B10</f>
        <v>80</v>
      </c>
      <c r="F30" s="24" t="s">
        <v>291</v>
      </c>
      <c r="G30" s="25">
        <f>IF(E32&lt;65,65-(Weather_Input!B10+Weather_Input!C10)/2,0)</f>
        <v>0</v>
      </c>
      <c r="H30" s="26" t="s">
        <v>292</v>
      </c>
      <c r="I30" s="27">
        <f ca="1">G30-(VLOOKUP(B30,DD_Normal_Data,CELL("Col",B31),FALSE))</f>
        <v>-11</v>
      </c>
    </row>
    <row r="31" spans="1:109" ht="15">
      <c r="A31" s="15"/>
      <c r="B31" s="15"/>
      <c r="C31" s="15"/>
      <c r="D31" s="22" t="s">
        <v>176</v>
      </c>
      <c r="E31" s="23">
        <f>Weather_Input!C10</f>
        <v>58</v>
      </c>
      <c r="F31" s="24" t="s">
        <v>293</v>
      </c>
      <c r="G31" s="25">
        <f>IF(DAY(B30)=1,G30,G26+G30)</f>
        <v>0</v>
      </c>
      <c r="H31" s="30" t="s">
        <v>294</v>
      </c>
      <c r="I31" s="27">
        <f ca="1">G31-(VLOOKUP(B30,DD_Normal_Data,CELL("Col",C32),FALSE))</f>
        <v>-11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69</v>
      </c>
      <c r="F32" s="24" t="s">
        <v>296</v>
      </c>
      <c r="G32" s="25">
        <f>IF(AND(DAY(B30)=1,MONTH(B30)=8),G30,G27+G30)</f>
        <v>6398</v>
      </c>
      <c r="H32" s="26" t="s">
        <v>296</v>
      </c>
      <c r="I32" s="27">
        <f ca="1">G32-(VLOOKUP(B30,DD_Normal_Data,CELL("Col",D29),FALSE))</f>
        <v>236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37007</v>
      </c>
      <c r="C36" s="91">
        <f>B10</f>
        <v>37008</v>
      </c>
      <c r="D36" s="91">
        <f>B15</f>
        <v>37009</v>
      </c>
      <c r="E36" s="91">
        <f xml:space="preserve">       B20</f>
        <v>37010</v>
      </c>
      <c r="F36" s="91">
        <f>B25</f>
        <v>37011</v>
      </c>
      <c r="G36" s="91">
        <f>B30</f>
        <v>37012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268</v>
      </c>
      <c r="C37" s="41">
        <f ca="1">(VLOOKUP(C36,PGL_Sendouts,(CELL("COL",PGL_Deliveries!C7))))/1000</f>
        <v>330</v>
      </c>
      <c r="D37" s="41">
        <f ca="1">(VLOOKUP(D36,PGL_Sendouts,(CELL("COL",PGL_Deliveries!C8))))/1000</f>
        <v>280</v>
      </c>
      <c r="E37" s="41">
        <f ca="1">(VLOOKUP(E36,PGL_Sendouts,(CELL("COL",PGL_Deliveries!C9))))/1000</f>
        <v>235</v>
      </c>
      <c r="F37" s="41">
        <f ca="1">(VLOOKUP(F36,PGL_Sendouts,(CELL("COL",PGL_Deliveries!C10))))/1000</f>
        <v>250</v>
      </c>
      <c r="G37" s="41">
        <f ca="1">(VLOOKUP(G36,PGL_Sendouts,(CELL("COL",PGL_Deliveries!C10))))/1000</f>
        <v>250</v>
      </c>
      <c r="H37" s="14"/>
      <c r="I37" s="15"/>
    </row>
    <row r="38" spans="1:9" ht="15">
      <c r="A38" s="15" t="s">
        <v>301</v>
      </c>
      <c r="B38" s="41">
        <f>PGL_6_Day_Report!D30</f>
        <v>572.45720000000006</v>
      </c>
      <c r="C38" s="41">
        <f>PGL_6_Day_Report!E30</f>
        <v>585.44449999999995</v>
      </c>
      <c r="D38" s="41">
        <f>PGL_6_Day_Report!F30</f>
        <v>559.22749999999996</v>
      </c>
      <c r="E38" s="41">
        <f>PGL_6_Day_Report!G30</f>
        <v>525.03</v>
      </c>
      <c r="F38" s="41">
        <f>PGL_6_Day_Report!H30</f>
        <v>540.03</v>
      </c>
      <c r="G38" s="41">
        <f>PGL_6_Day_Report!I30</f>
        <v>454.21</v>
      </c>
      <c r="H38" s="14"/>
      <c r="I38" s="15"/>
    </row>
    <row r="39" spans="1:9" ht="15">
      <c r="A39" s="42" t="s">
        <v>109</v>
      </c>
      <c r="B39" s="41">
        <f>SUM(PGL_Supplies!Z7:AE7)/1000</f>
        <v>424.71800000000002</v>
      </c>
      <c r="C39" s="41">
        <f>SUM(PGL_Supplies!Z8:AE8)/1000</f>
        <v>415.71899999999999</v>
      </c>
      <c r="D39" s="41">
        <f>SUM(PGL_Supplies!Z9:AE9)/1000</f>
        <v>420.339</v>
      </c>
      <c r="E39" s="41">
        <f>SUM(PGL_Supplies!Z10:AE10)/1000</f>
        <v>420.339</v>
      </c>
      <c r="F39" s="41">
        <f>SUM(PGL_Supplies!Z11:AE11)/1000</f>
        <v>420.339</v>
      </c>
      <c r="G39" s="41">
        <f>SUM(PGL_Supplies!Z12:AE12)/1000</f>
        <v>415.71899999999999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40.61</v>
      </c>
      <c r="C41" s="41">
        <f>SUM(PGL_Requirements!R7:U7)/1000</f>
        <v>40.61</v>
      </c>
      <c r="D41" s="41">
        <f>SUM(PGL_Requirements!R7:U7)/1000</f>
        <v>40.61</v>
      </c>
      <c r="E41" s="41">
        <f>SUM(PGL_Requirements!R7:U7)/1000</f>
        <v>40.61</v>
      </c>
      <c r="F41" s="41">
        <f>SUM(PGL_Requirements!R7:U7)/1000</f>
        <v>40.61</v>
      </c>
      <c r="G41" s="41">
        <f>SUM(PGL_Requirements!R7:U7)/1000</f>
        <v>40.61</v>
      </c>
      <c r="H41" s="14"/>
      <c r="I41" s="15"/>
    </row>
    <row r="42" spans="1:9" ht="15">
      <c r="A42" s="15" t="s">
        <v>132</v>
      </c>
      <c r="B42" s="41">
        <f>PGL_Supplies!V7/1000</f>
        <v>225.76</v>
      </c>
      <c r="C42" s="41">
        <f>PGL_Supplies!V8/1000</f>
        <v>225.76</v>
      </c>
      <c r="D42" s="41">
        <f>PGL_Supplies!V9/1000</f>
        <v>225.76</v>
      </c>
      <c r="E42" s="41">
        <f>PGL_Supplies!V10/1000</f>
        <v>225.76</v>
      </c>
      <c r="F42" s="41">
        <f>PGL_Supplies!V11/1000</f>
        <v>225.76</v>
      </c>
      <c r="G42" s="41">
        <f>PGL_Supplies!V12/1000</f>
        <v>225.76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37007</v>
      </c>
      <c r="C44" s="91">
        <f t="shared" si="0"/>
        <v>37008</v>
      </c>
      <c r="D44" s="91">
        <f t="shared" si="0"/>
        <v>37009</v>
      </c>
      <c r="E44" s="91">
        <f t="shared" si="0"/>
        <v>37010</v>
      </c>
      <c r="F44" s="91">
        <f t="shared" si="0"/>
        <v>37011</v>
      </c>
      <c r="G44" s="91">
        <f t="shared" si="0"/>
        <v>37012</v>
      </c>
      <c r="H44" s="14"/>
      <c r="I44" s="15"/>
    </row>
    <row r="45" spans="1:9" ht="15">
      <c r="A45" s="15" t="s">
        <v>56</v>
      </c>
      <c r="B45" s="41">
        <f ca="1">NSG_6_Day_Report!D6</f>
        <v>43</v>
      </c>
      <c r="C45" s="41">
        <f ca="1">NSG_6_Day_Report!E6</f>
        <v>56</v>
      </c>
      <c r="D45" s="41">
        <f ca="1">NSG_6_Day_Report!F6</f>
        <v>53</v>
      </c>
      <c r="E45" s="41">
        <f ca="1">NSG_6_Day_Report!G6</f>
        <v>44</v>
      </c>
      <c r="F45" s="41">
        <f ca="1">NSG_6_Day_Report!H6</f>
        <v>46</v>
      </c>
      <c r="G45" s="41">
        <f ca="1">NSG_6_Day_Report!I6</f>
        <v>46</v>
      </c>
      <c r="H45" s="14"/>
      <c r="I45" s="15"/>
    </row>
    <row r="46" spans="1:9" ht="15">
      <c r="A46" s="42" t="s">
        <v>301</v>
      </c>
      <c r="B46" s="41">
        <f ca="1">NSG_6_Day_Report!D19</f>
        <v>72.91</v>
      </c>
      <c r="C46" s="41">
        <f ca="1">NSG_6_Day_Report!E19</f>
        <v>76</v>
      </c>
      <c r="D46" s="41">
        <f ca="1">NSG_6_Day_Report!F19</f>
        <v>73</v>
      </c>
      <c r="E46" s="41">
        <f ca="1">NSG_6_Day_Report!G19</f>
        <v>64</v>
      </c>
      <c r="F46" s="41">
        <f ca="1">NSG_6_Day_Report!H19</f>
        <v>66</v>
      </c>
      <c r="G46" s="41">
        <f ca="1">NSG_6_Day_Report!I19</f>
        <v>66</v>
      </c>
      <c r="H46" s="14"/>
      <c r="I46" s="15"/>
    </row>
    <row r="47" spans="1:9" ht="15">
      <c r="A47" s="42" t="s">
        <v>109</v>
      </c>
      <c r="B47" s="41">
        <f>SUM(NSG_Supplies!P7:R7)/1000</f>
        <v>72.905000000000001</v>
      </c>
      <c r="C47" s="41">
        <f>SUM(NSG_Supplies!P8:R8)/1000</f>
        <v>72.905000000000001</v>
      </c>
      <c r="D47" s="41">
        <f>SUM(NSG_Supplies!P9:R9)/1000</f>
        <v>72.905000000000001</v>
      </c>
      <c r="E47" s="41">
        <f>SUM(NSG_Supplies!P10:R10)/1000</f>
        <v>72.905000000000001</v>
      </c>
      <c r="F47" s="41">
        <f>SUM(NSG_Supplies!P11:R11)/1000</f>
        <v>72.905000000000001</v>
      </c>
      <c r="G47" s="41">
        <f>SUM(NSG_Supplies!P12:R12)/1000</f>
        <v>72.905000000000001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27.905000000000001</v>
      </c>
      <c r="C50" s="41">
        <f>NSG_Supplies!S8/1000</f>
        <v>27.905000000000001</v>
      </c>
      <c r="D50" s="41">
        <f>NSG_Supplies!S9/1000</f>
        <v>27.905000000000001</v>
      </c>
      <c r="E50" s="41">
        <f>NSG_Supplies!S10/1000</f>
        <v>27.905000000000001</v>
      </c>
      <c r="F50" s="41">
        <f>NSG_Supplies!S11/1000</f>
        <v>27.905000000000001</v>
      </c>
      <c r="G50" s="41">
        <f>NSG_Supplies!S12/1000</f>
        <v>27.905000000000001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37007</v>
      </c>
      <c r="C52" s="91">
        <f t="shared" si="1"/>
        <v>37008</v>
      </c>
      <c r="D52" s="91">
        <f t="shared" si="1"/>
        <v>37009</v>
      </c>
      <c r="E52" s="91">
        <f t="shared" si="1"/>
        <v>37010</v>
      </c>
      <c r="F52" s="91">
        <f t="shared" si="1"/>
        <v>37011</v>
      </c>
      <c r="G52" s="91">
        <f t="shared" si="1"/>
        <v>37012</v>
      </c>
      <c r="H52" s="14"/>
      <c r="I52" s="15"/>
    </row>
    <row r="53" spans="1:9" ht="15">
      <c r="A53" s="94" t="s">
        <v>305</v>
      </c>
      <c r="B53" s="41">
        <f>PGL_Requirements!P7/1000</f>
        <v>169.68</v>
      </c>
      <c r="C53" s="41">
        <f>PGL_Requirements!P8/1000</f>
        <v>160</v>
      </c>
      <c r="D53" s="41">
        <f>PGL_Requirements!P9/1000</f>
        <v>220</v>
      </c>
      <c r="E53" s="41">
        <f>PGL_Requirements!P10/1000</f>
        <v>240</v>
      </c>
      <c r="F53" s="41">
        <f>PGL_Requirements!P11/1000</f>
        <v>240</v>
      </c>
      <c r="G53" s="41">
        <f>PGL_Requirements!P12/1000</f>
        <v>160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0"/>
    </row>
    <row r="3" spans="1:8" ht="15.75" thickBot="1">
      <c r="A3" s="98" t="s">
        <v>311</v>
      </c>
    </row>
    <row r="4" spans="1:8">
      <c r="A4" s="99"/>
      <c r="B4" s="1141" t="str">
        <f>Six_Day_Summary!A10</f>
        <v>Friday</v>
      </c>
      <c r="C4" s="1142" t="str">
        <f>Six_Day_Summary!A15</f>
        <v>Saturday</v>
      </c>
      <c r="D4" s="1142" t="str">
        <f>Six_Day_Summary!A20</f>
        <v>Sunday</v>
      </c>
      <c r="E4" s="1142" t="str">
        <f>Six_Day_Summary!A25</f>
        <v>Monday</v>
      </c>
      <c r="F4" s="1143" t="str">
        <f>Six_Day_Summary!A30</f>
        <v>Tuesday</v>
      </c>
      <c r="G4" s="100"/>
    </row>
    <row r="5" spans="1:8">
      <c r="A5" s="103" t="s">
        <v>312</v>
      </c>
      <c r="B5" s="1144">
        <f>Weather_Input!A6</f>
        <v>37008</v>
      </c>
      <c r="C5" s="1145">
        <f>Weather_Input!A7</f>
        <v>37009</v>
      </c>
      <c r="D5" s="1145">
        <f>Weather_Input!A8</f>
        <v>37010</v>
      </c>
      <c r="E5" s="1145">
        <f>Weather_Input!A9</f>
        <v>37011</v>
      </c>
      <c r="F5" s="1146">
        <f>Weather_Input!A10</f>
        <v>37012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73.388000000000005</v>
      </c>
      <c r="C6" s="1147">
        <f>PGL_Supplies!AC9/1000+PGL_Supplies!L9/1000-PGL_Requirements!O9/1000+C15-PGL_Requirements!T9/1000</f>
        <v>112.578</v>
      </c>
      <c r="D6" s="1147">
        <f>PGL_Supplies!AC10/1000+PGL_Supplies!L10/1000-PGL_Requirements!O10/1000+D15-PGL_Requirements!T10/1000</f>
        <v>112.578</v>
      </c>
      <c r="E6" s="1147">
        <f>PGL_Supplies!AC11/1000+PGL_Supplies!L11/1000-PGL_Requirements!O11/1000+E15-PGL_Requirements!T11/1000</f>
        <v>112.578</v>
      </c>
      <c r="F6" s="1148">
        <f>PGL_Supplies!AC12/1000+PGL_Supplies!L12/1000-PGL_Requirements!O12/1000+F15-PGL_Requirements!T12/1000</f>
        <v>112.578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75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Friday</v>
      </c>
      <c r="C21" s="1157" t="str">
        <f t="shared" si="0"/>
        <v>Saturday</v>
      </c>
      <c r="D21" s="1157" t="str">
        <f t="shared" si="0"/>
        <v>Sunday</v>
      </c>
      <c r="E21" s="1157" t="str">
        <f t="shared" si="0"/>
        <v>Monday</v>
      </c>
      <c r="F21" s="1158" t="str">
        <f t="shared" si="0"/>
        <v>Tuesday</v>
      </c>
      <c r="G21" s="100"/>
    </row>
    <row r="22" spans="1:7">
      <c r="A22" s="107" t="s">
        <v>312</v>
      </c>
      <c r="B22" s="1159">
        <f t="shared" si="0"/>
        <v>37008</v>
      </c>
      <c r="C22" s="1159">
        <f t="shared" si="0"/>
        <v>37009</v>
      </c>
      <c r="D22" s="1159">
        <f t="shared" si="0"/>
        <v>37010</v>
      </c>
      <c r="E22" s="1159">
        <f t="shared" si="0"/>
        <v>37011</v>
      </c>
      <c r="F22" s="1160">
        <f t="shared" si="0"/>
        <v>37012</v>
      </c>
      <c r="G22" s="100"/>
    </row>
    <row r="23" spans="1:7">
      <c r="A23" s="100" t="s">
        <v>313</v>
      </c>
      <c r="B23" s="1153">
        <f>NSG_Supplies!R8/1000+NSG_Supplies!F8/1000-NSG_Requirements!H8/1000</f>
        <v>56.005000000000003</v>
      </c>
      <c r="C23" s="1153">
        <f>NSG_Supplies!R9/1000+NSG_Supplies!F9/1000-NSG_Requirements!H9/1000</f>
        <v>52.905000000000001</v>
      </c>
      <c r="D23" s="1153">
        <f>NSG_Supplies!R10/1000+NSG_Supplies!F10/1000-NSG_Requirements!H10/1000</f>
        <v>52.905000000000001</v>
      </c>
      <c r="E23" s="1153">
        <f>NSG_Supplies!R12/1000+NSG_Supplies!F11/1000-NSG_Requirements!H11/1000</f>
        <v>52.905000000000001</v>
      </c>
      <c r="F23" s="1148">
        <f>NSG_Supplies!R12/1000+NSG_Supplies!F12/1000-NSG_Requirements!H12/1000</f>
        <v>52.905000000000001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75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0" t="s">
        <v>382</v>
      </c>
      <c r="C1" s="909">
        <f>Weather_Input!A6</f>
        <v>37008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160</v>
      </c>
      <c r="I4" s="176">
        <f>AVERAGE(H4/1.025)</f>
        <v>156.09756097560978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6.666666666666667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261.98099999999999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152.62899999999999</v>
      </c>
      <c r="D11" s="789"/>
      <c r="E11" s="1130"/>
      <c r="F11" s="435" t="s">
        <v>379</v>
      </c>
      <c r="G11" s="447">
        <f>G8+G10</f>
        <v>261.98099999999999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152.62899999999999</v>
      </c>
      <c r="D14" s="438"/>
      <c r="E14" s="440">
        <f>AVERAGE(C14/24)</f>
        <v>6.359541666666666</v>
      </c>
      <c r="F14" s="782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765</v>
      </c>
      <c r="C15" s="154">
        <f>PGL_Supplies!Z8/1000</f>
        <v>41.16</v>
      </c>
      <c r="D15" s="60"/>
      <c r="E15" s="161"/>
      <c r="F15" s="782" t="s">
        <v>564</v>
      </c>
      <c r="G15" s="447">
        <f>SUM(G11)-G16</f>
        <v>237.892</v>
      </c>
      <c r="H15" s="438" t="s">
        <v>11</v>
      </c>
      <c r="I15" s="440">
        <f>AVERAGE(G15/24)</f>
        <v>9.9121666666666659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40</v>
      </c>
      <c r="E16" s="161"/>
      <c r="F16" s="782" t="s">
        <v>575</v>
      </c>
      <c r="G16" s="448">
        <f>PGL_Requirements!H8/1000</f>
        <v>24.088999999999999</v>
      </c>
      <c r="H16" s="448" t="s">
        <v>11</v>
      </c>
      <c r="I16" s="440">
        <f>AVERAGE(G16/24)</f>
        <v>1.0037083333333332</v>
      </c>
    </row>
    <row r="17" spans="1:9" ht="15.75" customHeight="1" thickTop="1" thickBot="1">
      <c r="B17" s="435" t="s">
        <v>379</v>
      </c>
      <c r="C17" s="447">
        <f>SUM(C15:C16)-SUM(D15:D16)</f>
        <v>1.1599999999999966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1.1599999999999999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-3.3306690738754696E-15</v>
      </c>
      <c r="D20" s="441" t="s">
        <v>11</v>
      </c>
      <c r="E20" s="440">
        <f>AVERAGE(C20/24)</f>
        <v>-1.3877787807814457E-16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0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5" customWidth="1"/>
    <col min="2" max="2" width="8.109375" style="1045" customWidth="1"/>
    <col min="3" max="3" width="7.88671875" style="1045" customWidth="1"/>
    <col min="4" max="4" width="5.88671875" style="1045" customWidth="1"/>
    <col min="5" max="5" width="4.44140625" style="1045" customWidth="1"/>
    <col min="6" max="6" width="5.21875" style="1045" customWidth="1"/>
    <col min="7" max="7" width="9" style="1045" customWidth="1"/>
    <col min="8" max="11" width="8.88671875" style="1045"/>
    <col min="12" max="12" width="14.88671875" style="1045" customWidth="1"/>
    <col min="13" max="13" width="5.6640625" style="1045" customWidth="1"/>
    <col min="14" max="16384" width="8.88671875" style="1045"/>
  </cols>
  <sheetData>
    <row r="1" spans="1:22" ht="22.5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37008</v>
      </c>
      <c r="I1" s="932"/>
      <c r="J1" s="934"/>
      <c r="K1" s="934"/>
    </row>
    <row r="2" spans="1:22" ht="16.5" customHeight="1">
      <c r="A2" s="952" t="s">
        <v>687</v>
      </c>
      <c r="C2" s="1046">
        <v>316</v>
      </c>
      <c r="F2" s="1047">
        <v>315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5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5" customHeight="1">
      <c r="A9" s="954">
        <f>PGL_Supplies!I8/1000</f>
        <v>20</v>
      </c>
      <c r="H9" s="954">
        <v>0</v>
      </c>
      <c r="I9" s="1051"/>
      <c r="K9" s="932" t="s">
        <v>691</v>
      </c>
      <c r="L9" s="954">
        <f>NSG_Deliveries!C6/1000</f>
        <v>56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5" customHeight="1">
      <c r="A11" s="954">
        <f>Billy_Sheet!C20</f>
        <v>-3.3306690738754696E-15</v>
      </c>
      <c r="B11" s="1051"/>
      <c r="H11" s="954">
        <f>NSG_Supplies!U8/1000</f>
        <v>0</v>
      </c>
      <c r="K11" s="935" t="s">
        <v>692</v>
      </c>
      <c r="L11" s="960">
        <f>SUM(K4+K17+K19+H11+H9-L9)</f>
        <v>5.000000000002558E-3</v>
      </c>
      <c r="N11" s="935"/>
      <c r="O11" s="960"/>
      <c r="U11" s="934"/>
      <c r="V11" s="948"/>
    </row>
    <row r="12" spans="1:22" ht="14.45" customHeight="1">
      <c r="A12" s="932" t="s">
        <v>753</v>
      </c>
      <c r="H12" s="954"/>
      <c r="U12" s="934"/>
      <c r="V12" s="954"/>
    </row>
    <row r="13" spans="1:22" ht="14.45" customHeight="1">
      <c r="A13" s="1049">
        <f>PGL_Supplies!Y8/1000</f>
        <v>152.62899999999999</v>
      </c>
      <c r="H13" s="954"/>
      <c r="U13" s="934"/>
      <c r="V13" s="954"/>
    </row>
    <row r="14" spans="1:22" ht="14.45" customHeight="1">
      <c r="H14" s="954"/>
      <c r="U14" s="934"/>
      <c r="V14" s="954"/>
    </row>
    <row r="15" spans="1:22" ht="15.6" customHeight="1">
      <c r="B15" s="1045" t="s">
        <v>11</v>
      </c>
      <c r="C15" s="1052">
        <v>320</v>
      </c>
      <c r="F15" s="1052">
        <v>320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395</v>
      </c>
      <c r="D18" s="1054"/>
      <c r="E18" s="1054"/>
      <c r="F18" s="1047">
        <v>815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56.005000000000003</v>
      </c>
      <c r="N19" s="1057"/>
    </row>
    <row r="20" spans="1:17" ht="17.25" customHeight="1">
      <c r="A20" s="954">
        <f>Billy_Sheet!G15</f>
        <v>237.892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0.98099999999999998</v>
      </c>
      <c r="H26" s="935"/>
      <c r="I26" s="935"/>
      <c r="J26" s="935" t="s">
        <v>580</v>
      </c>
      <c r="K26" s="1059">
        <f>PGL_Deliveries!C6/1000</f>
        <v>330</v>
      </c>
      <c r="L26" s="932" t="s">
        <v>691</v>
      </c>
      <c r="M26" s="954">
        <f>NSG_Deliveries!C6/1000</f>
        <v>56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227.43199999999996</v>
      </c>
      <c r="L28" s="935" t="s">
        <v>745</v>
      </c>
      <c r="M28" s="960">
        <f>SUM(J2+K17+K19+H11+H9-M26)</f>
        <v>20.004999999999995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37007</v>
      </c>
      <c r="G29" s="954">
        <f>PGL_Requirements!H7/1000</f>
        <v>0</v>
      </c>
      <c r="H29" s="933"/>
      <c r="J29" s="935" t="s">
        <v>695</v>
      </c>
      <c r="K29" s="954">
        <f>PGL_Supplies!AC8/1000+PGL_Supplies!L8/1000-PGL_Requirements!O8/1000</f>
        <v>73.388000000000005</v>
      </c>
    </row>
    <row r="30" spans="1:17" ht="10.5" customHeight="1">
      <c r="A30" s="937"/>
      <c r="B30" s="954"/>
      <c r="C30" s="935"/>
      <c r="D30" s="954"/>
      <c r="F30" s="1112">
        <f>PGL_Requirements!A8</f>
        <v>37008</v>
      </c>
      <c r="G30" s="954">
        <f>PGL_Requirements!H8/1000</f>
        <v>24.088999999999999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-29.180000000000064</v>
      </c>
    </row>
    <row r="32" spans="1:17">
      <c r="A32" s="954">
        <f>PGL_Supplies!H8/1000</f>
        <v>1</v>
      </c>
      <c r="G32" s="954">
        <f>PGL_Requirements!P8/1000</f>
        <v>160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456</v>
      </c>
      <c r="F38" s="1052">
        <v>753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411.52099999999996</v>
      </c>
      <c r="B40" s="948"/>
      <c r="C40" s="947"/>
      <c r="D40" s="948"/>
      <c r="E40" s="948"/>
      <c r="F40" s="1062"/>
      <c r="G40" s="1062">
        <f>SUM(G30:G35)</f>
        <v>184.089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227.43199999999996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317.5</v>
      </c>
      <c r="E45" s="1067"/>
      <c r="F45" s="1068">
        <v>6.7000000000000004E-2</v>
      </c>
      <c r="G45" s="1069">
        <f>(C45-D45)*F45</f>
        <v>6.1975000000000007</v>
      </c>
      <c r="H45" s="1069">
        <f>(D45-B45)*F45</f>
        <v>4.5225</v>
      </c>
      <c r="I45" s="954"/>
      <c r="J45" s="1070"/>
    </row>
    <row r="46" spans="1:11">
      <c r="A46" s="934" t="s">
        <v>672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318</v>
      </c>
      <c r="E47" s="1067"/>
      <c r="F47" s="1068">
        <v>0.14099999999999999</v>
      </c>
      <c r="G47" s="1069">
        <f>(C47-D47)*F47</f>
        <v>12.972</v>
      </c>
      <c r="H47" s="1069">
        <f>(D47-B47)*F47</f>
        <v>9.5879999999999992</v>
      </c>
      <c r="I47" s="954"/>
    </row>
    <row r="48" spans="1:11">
      <c r="A48" s="934" t="s">
        <v>674</v>
      </c>
      <c r="B48" s="1071">
        <v>285</v>
      </c>
      <c r="C48" s="1065">
        <v>750</v>
      </c>
      <c r="D48" s="1066">
        <f>SUM(C18+C38)/2</f>
        <v>425.5</v>
      </c>
      <c r="E48" s="1067"/>
      <c r="F48" s="1068">
        <v>0.161</v>
      </c>
      <c r="G48" s="1069">
        <f>(C48-D48)*F48</f>
        <v>52.244500000000002</v>
      </c>
      <c r="H48" s="1069">
        <f>(D48-B48)*F48</f>
        <v>22.6205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71.414000000000001</v>
      </c>
      <c r="H49" s="1069">
        <f>SUM(H45:H48)</f>
        <v>36.730999999999995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A6" sqref="A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37007</v>
      </c>
      <c r="B5" s="11">
        <v>75</v>
      </c>
      <c r="C5" s="49">
        <v>52</v>
      </c>
      <c r="D5" s="49">
        <v>15</v>
      </c>
      <c r="E5" s="11">
        <v>64.900000000000006</v>
      </c>
      <c r="F5" s="11">
        <v>345</v>
      </c>
      <c r="G5" s="11">
        <v>6378</v>
      </c>
      <c r="H5" s="11">
        <v>4</v>
      </c>
      <c r="I5" s="911" t="s">
        <v>794</v>
      </c>
      <c r="J5" s="911" t="s">
        <v>11</v>
      </c>
      <c r="K5" s="11">
        <v>3</v>
      </c>
      <c r="L5" s="11">
        <v>1</v>
      </c>
      <c r="N5" s="15" t="str">
        <f>I5&amp;" "&amp;I5</f>
        <v xml:space="preserve">  PARTLY CLOUDY.   PARTLY CLOUDY.</v>
      </c>
      <c r="AE5" s="15">
        <v>1</v>
      </c>
      <c r="AH5" s="15" t="s">
        <v>34</v>
      </c>
    </row>
    <row r="6" spans="1:34" ht="16.5" customHeight="1">
      <c r="A6" s="88">
        <f>A5+1</f>
        <v>37008</v>
      </c>
      <c r="B6" s="11">
        <v>64</v>
      </c>
      <c r="C6" s="49">
        <v>42</v>
      </c>
      <c r="D6" s="49">
        <v>11</v>
      </c>
      <c r="E6" s="11" t="s">
        <v>11</v>
      </c>
      <c r="F6" s="11" t="s">
        <v>11</v>
      </c>
      <c r="G6" s="11"/>
      <c r="H6" s="11" t="s">
        <v>11</v>
      </c>
      <c r="I6" s="911" t="s">
        <v>795</v>
      </c>
      <c r="J6" s="911" t="s">
        <v>796</v>
      </c>
      <c r="K6" s="11">
        <v>1</v>
      </c>
      <c r="L6" s="11" t="s">
        <v>633</v>
      </c>
      <c r="N6" s="15" t="str">
        <f>I6&amp;" "&amp;J6</f>
        <v xml:space="preserve">  TODAY - MOSTLY SUNNY WITH A WARM BREEZE.   TONIGHT - MAINLY CLEAR AND COOL.</v>
      </c>
      <c r="AE6" s="15">
        <v>1</v>
      </c>
      <c r="AH6" s="15" t="s">
        <v>35</v>
      </c>
    </row>
    <row r="7" spans="1:34" ht="16.5" customHeight="1">
      <c r="A7" s="88">
        <f>A6+1</f>
        <v>37009</v>
      </c>
      <c r="B7" s="11">
        <v>67</v>
      </c>
      <c r="C7" s="49">
        <v>47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1" t="s">
        <v>797</v>
      </c>
      <c r="J7" s="911" t="s">
        <v>11</v>
      </c>
      <c r="K7" s="11">
        <v>3</v>
      </c>
      <c r="L7" s="11" t="s">
        <v>22</v>
      </c>
      <c r="N7" s="15" t="str">
        <f>I7&amp;" "&amp;J7</f>
        <v xml:space="preserve">  INTERVALS OF CLOUDS AND SUN.  </v>
      </c>
    </row>
    <row r="8" spans="1:34" ht="16.5" customHeight="1">
      <c r="A8" s="88">
        <f>A7+1</f>
        <v>37010</v>
      </c>
      <c r="B8" s="11">
        <v>78</v>
      </c>
      <c r="C8" s="49">
        <v>56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11" t="s">
        <v>793</v>
      </c>
      <c r="J8" s="911" t="s">
        <v>11</v>
      </c>
      <c r="K8" s="11">
        <v>3</v>
      </c>
      <c r="L8" s="11"/>
      <c r="N8" s="15" t="str">
        <f>I8&amp;" "&amp;J8</f>
        <v xml:space="preserve">  SEVERAL HOURS OF SUNSHINE.  </v>
      </c>
    </row>
    <row r="9" spans="1:34" ht="16.5" customHeight="1">
      <c r="A9" s="88">
        <f>A8+1</f>
        <v>37011</v>
      </c>
      <c r="B9" s="11">
        <v>80</v>
      </c>
      <c r="C9" s="49">
        <v>58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1" t="s">
        <v>798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  PARTLY SUNNY.  </v>
      </c>
    </row>
    <row r="10" spans="1:34" ht="16.5" customHeight="1">
      <c r="A10" s="88">
        <f>A9+1</f>
        <v>37012</v>
      </c>
      <c r="B10" s="11">
        <v>80</v>
      </c>
      <c r="C10" s="49">
        <v>58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1" t="s">
        <v>799</v>
      </c>
      <c r="J10" s="911" t="s">
        <v>11</v>
      </c>
      <c r="K10" s="11">
        <v>3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285.77100000000002</v>
      </c>
      <c r="C2" s="60"/>
      <c r="D2" s="121" t="s">
        <v>325</v>
      </c>
      <c r="E2" s="426">
        <f>Weather_Input!A5</f>
        <v>37007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2.46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86.57</v>
      </c>
      <c r="C5" s="64"/>
      <c r="D5" s="59" t="s">
        <v>582</v>
      </c>
      <c r="E5" s="154">
        <f>PGL_Deliveries!O5/1000</f>
        <v>8.8999999999999996E-2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130.756</v>
      </c>
      <c r="C6" s="169"/>
      <c r="D6" s="59" t="s">
        <v>583</v>
      </c>
      <c r="E6" s="154">
        <f>PGL_Deliveries!P5/1000</f>
        <v>0.81100000000000005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217.32599999999999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142.23699999999999</v>
      </c>
      <c r="C8" s="631"/>
      <c r="D8" s="117" t="s">
        <v>585</v>
      </c>
      <c r="E8" s="154">
        <f>PGL_Deliveries!N5/1000</f>
        <v>0.435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0.19400000000000001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4.1849999999999996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15.007999999999999</v>
      </c>
      <c r="C11" s="64"/>
      <c r="D11" s="117" t="s">
        <v>587</v>
      </c>
      <c r="E11" s="154">
        <f>PGL_Deliveries!R5/1000</f>
        <v>3.3170000000000002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1.06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263.52100000000002</v>
      </c>
      <c r="C13" s="64"/>
      <c r="D13" s="117" t="s">
        <v>219</v>
      </c>
      <c r="E13" s="154">
        <f>PGL_Deliveries!F5/1000</f>
        <v>16.143999999999998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36.344000000000001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-169.03600000000003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34.404000000000003</v>
      </c>
      <c r="D16" s="117" t="s">
        <v>223</v>
      </c>
      <c r="E16" s="154">
        <f>PGL_Deliveries!L5/1000</f>
        <v>0.111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3.2949999999999999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5">
        <f>SUM(B8:B17)-C16</f>
        <v>217.32599999999999</v>
      </c>
      <c r="C18" s="169"/>
      <c r="D18" s="179" t="s">
        <v>592</v>
      </c>
      <c r="E18" s="178">
        <f>SUM(E5:E17)</f>
        <v>65.984999999999999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137.405</v>
      </c>
      <c r="C19" s="631"/>
      <c r="D19" s="117" t="s">
        <v>320</v>
      </c>
      <c r="E19" s="154">
        <f>PGL_Deliveries!AI5/1000</f>
        <v>0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5</v>
      </c>
      <c r="C20" s="64"/>
      <c r="D20" s="117" t="s">
        <v>189</v>
      </c>
      <c r="E20" s="154">
        <f>PGL_Deliveries!AW5/1000+B41</f>
        <v>2.5451999999999999</v>
      </c>
      <c r="F20" s="171"/>
      <c r="H20"/>
      <c r="I20"/>
      <c r="J20"/>
      <c r="K20"/>
      <c r="L20"/>
      <c r="M20"/>
    </row>
    <row r="21" spans="1:13" ht="16.5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68.530199999999994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142.405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40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56.058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124.58799999999999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169.68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1.254</v>
      </c>
      <c r="C40" s="64"/>
      <c r="D40" s="212" t="s">
        <v>224</v>
      </c>
      <c r="E40" s="211">
        <f>SUM(E22:E37)-SUM(F23:F39)-E33</f>
        <v>68.53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8">
        <f>PGL_Supplies!AB7/1000</f>
        <v>258.97000000000003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2.5451999999999999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750</v>
      </c>
      <c r="B44" s="210" t="s">
        <v>11</v>
      </c>
      <c r="C44" s="226">
        <f>PGL_Requirements!R7/1000</f>
        <v>0.61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75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52</v>
      </c>
      <c r="C46" s="162"/>
      <c r="D46" s="60" t="s">
        <v>630</v>
      </c>
      <c r="E46" s="808">
        <f>PGL_Supplies!T7/1000</f>
        <v>7.048</v>
      </c>
      <c r="F46" s="171"/>
    </row>
    <row r="47" spans="1:13" ht="15">
      <c r="A47" s="173" t="s">
        <v>622</v>
      </c>
      <c r="B47" s="60">
        <f>Weather_Input!E5</f>
        <v>64.900000000000006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15</v>
      </c>
      <c r="C48" s="162"/>
      <c r="D48" s="251" t="s">
        <v>245</v>
      </c>
      <c r="E48" s="154">
        <f>PGL_Deliveries!AI5/1000</f>
        <v>0</v>
      </c>
      <c r="F48" s="161"/>
    </row>
    <row r="49" spans="1:6" ht="15">
      <c r="A49" s="172" t="s">
        <v>624</v>
      </c>
      <c r="B49" s="154">
        <f>PGL_Deliveries!AM5/1000</f>
        <v>1.0249999999999999</v>
      </c>
      <c r="C49" s="162"/>
      <c r="D49" s="60" t="s">
        <v>791</v>
      </c>
      <c r="E49" s="154">
        <f>PGL_Deliveries!AJ5/1000</f>
        <v>5.49</v>
      </c>
      <c r="F49" s="161"/>
    </row>
    <row r="50" spans="1:6" ht="15.75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9.5180000000000007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5" t="s">
        <v>5</v>
      </c>
      <c r="B3" s="244">
        <f>NSG_Deliveries!H5/1000</f>
        <v>43.113</v>
      </c>
      <c r="C3" s="120"/>
      <c r="D3" s="230" t="s">
        <v>325</v>
      </c>
      <c r="E3" s="429">
        <f>Weather_Input!A5</f>
        <v>37007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43.113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43.113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52.905000000000001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9.7919999999999998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43.113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37007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37006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131129</v>
      </c>
      <c r="O6" s="204">
        <v>0</v>
      </c>
      <c r="P6" s="204">
        <v>44472029</v>
      </c>
      <c r="Q6" s="204">
        <v>15045098</v>
      </c>
      <c r="R6" s="204">
        <v>29426931</v>
      </c>
      <c r="S6" s="204">
        <v>0</v>
      </c>
    </row>
    <row r="7" spans="1:19">
      <c r="A7" s="4">
        <f>B1</f>
        <v>37007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137405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44609434</v>
      </c>
      <c r="Q7">
        <f>IF(O7&gt;0,Q6+O7,Q6)</f>
        <v>15045098</v>
      </c>
      <c r="R7">
        <f>IF(P7&gt;Q7,P7-Q7,0)</f>
        <v>29564336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A5" sqref="A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37007</v>
      </c>
      <c r="B5" s="1">
        <f>(Weather_Input!B5+Weather_Input!C5)/2</f>
        <v>63.5</v>
      </c>
      <c r="C5" s="912">
        <v>268000</v>
      </c>
      <c r="D5" s="913">
        <v>86570</v>
      </c>
      <c r="E5" s="913">
        <v>0</v>
      </c>
      <c r="F5" s="913">
        <v>16144</v>
      </c>
      <c r="G5" s="913">
        <v>1060</v>
      </c>
      <c r="H5" s="913">
        <v>36344</v>
      </c>
      <c r="I5" s="913">
        <v>130756</v>
      </c>
      <c r="J5" s="913">
        <v>2460</v>
      </c>
      <c r="K5" s="913">
        <v>0</v>
      </c>
      <c r="L5" s="913">
        <v>111</v>
      </c>
      <c r="M5" s="913">
        <v>3295</v>
      </c>
      <c r="N5" s="913">
        <v>435</v>
      </c>
      <c r="O5" s="913">
        <v>89</v>
      </c>
      <c r="P5" s="913">
        <v>811</v>
      </c>
      <c r="Q5" s="913">
        <v>194</v>
      </c>
      <c r="R5" s="913">
        <v>3317</v>
      </c>
      <c r="S5" s="918">
        <v>4185</v>
      </c>
      <c r="T5" s="1161">
        <v>0</v>
      </c>
      <c r="U5" s="912">
        <f>SUM(D5:S5)-T5</f>
        <v>285771</v>
      </c>
      <c r="V5" s="912">
        <v>142237</v>
      </c>
      <c r="W5" s="11">
        <v>0</v>
      </c>
      <c r="X5" s="11">
        <v>0</v>
      </c>
      <c r="Y5" s="11">
        <v>0</v>
      </c>
      <c r="Z5" s="11">
        <v>254904</v>
      </c>
      <c r="AA5" s="11">
        <v>8617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5490</v>
      </c>
      <c r="AK5" s="11">
        <v>9518</v>
      </c>
      <c r="AL5" s="11">
        <v>0</v>
      </c>
      <c r="AM5" s="1">
        <v>1025</v>
      </c>
      <c r="AN5" s="1"/>
      <c r="AO5" s="1">
        <v>34404</v>
      </c>
      <c r="AP5" s="1">
        <v>0</v>
      </c>
      <c r="AQ5" s="1">
        <v>56058</v>
      </c>
      <c r="AR5" s="1">
        <v>0</v>
      </c>
      <c r="AS5" s="1">
        <v>0</v>
      </c>
      <c r="AT5" s="1">
        <v>1254</v>
      </c>
      <c r="AU5" s="1">
        <v>169680</v>
      </c>
      <c r="AV5" s="1">
        <v>610</v>
      </c>
      <c r="AW5" s="627">
        <f>AU5*0.015</f>
        <v>2545.1999999999998</v>
      </c>
      <c r="AX5" s="1">
        <v>0</v>
      </c>
      <c r="AY5" s="1"/>
      <c r="AZ5" s="1">
        <v>1060</v>
      </c>
      <c r="BA5" s="1">
        <v>4110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37008</v>
      </c>
      <c r="B6" s="931">
        <f>(Weather_Input!B6+Weather_Input!C6)/2</f>
        <v>53</v>
      </c>
      <c r="C6" s="912">
        <v>330000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37009</v>
      </c>
      <c r="B7" s="931">
        <f>(Weather_Input!B7+Weather_Input!C7)/2</f>
        <v>57</v>
      </c>
      <c r="C7" s="912">
        <v>280000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37010</v>
      </c>
      <c r="B8" s="931">
        <f>(Weather_Input!B8+Weather_Input!C8)/2</f>
        <v>67</v>
      </c>
      <c r="C8" s="912">
        <v>235000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37011</v>
      </c>
      <c r="B9" s="931">
        <f>(Weather_Input!B9+Weather_Input!C9)/2</f>
        <v>69</v>
      </c>
      <c r="C9" s="912">
        <v>250000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37012</v>
      </c>
      <c r="B10" s="931">
        <f>(Weather_Input!B10+Weather_Input!C10)/2</f>
        <v>69</v>
      </c>
      <c r="C10" s="912">
        <v>250000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37007</v>
      </c>
      <c r="B5" s="1">
        <f>(Weather_Input!B5+Weather_Input!C5)/2</f>
        <v>63.5</v>
      </c>
      <c r="C5" s="912">
        <v>43000</v>
      </c>
      <c r="D5" s="912">
        <v>0</v>
      </c>
      <c r="E5" s="912">
        <v>43113</v>
      </c>
      <c r="F5" s="912">
        <v>0</v>
      </c>
      <c r="G5" s="912">
        <v>0</v>
      </c>
      <c r="H5" s="920">
        <f>SUM(D5:G5)</f>
        <v>43113</v>
      </c>
      <c r="I5" s="1">
        <v>1010</v>
      </c>
      <c r="J5" s="1" t="s">
        <v>11</v>
      </c>
      <c r="K5" s="1">
        <v>9792</v>
      </c>
      <c r="L5" s="1">
        <v>0</v>
      </c>
      <c r="M5" s="1">
        <v>20000</v>
      </c>
      <c r="N5" s="1">
        <v>0</v>
      </c>
    </row>
    <row r="6" spans="1:14">
      <c r="A6" s="12">
        <f>A5+1</f>
        <v>37008</v>
      </c>
      <c r="B6" s="931">
        <f>(Weather_Input!B6+Weather_Input!C6)/2</f>
        <v>53</v>
      </c>
      <c r="C6" s="912">
        <v>56000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37009</v>
      </c>
      <c r="B7" s="931">
        <f>(Weather_Input!B7+Weather_Input!C7)/2</f>
        <v>57</v>
      </c>
      <c r="C7" s="912">
        <v>53000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37010</v>
      </c>
      <c r="B8" s="931">
        <f>(Weather_Input!B8+Weather_Input!C8)/2</f>
        <v>67</v>
      </c>
      <c r="C8" s="912">
        <v>44000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37011</v>
      </c>
      <c r="B9" s="931">
        <f>(Weather_Input!B9+Weather_Input!C9)/2</f>
        <v>69</v>
      </c>
      <c r="C9" s="912">
        <v>46000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37012</v>
      </c>
      <c r="B10" s="931">
        <f>(Weather_Input!B10+Weather_Input!C10)/2</f>
        <v>69</v>
      </c>
      <c r="C10" s="912">
        <v>46000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abSelected="1" zoomScale="75" workbookViewId="0">
      <selection activeCell="H10" sqref="H10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3">
        <f>Weather_Input!A5</f>
        <v>37007</v>
      </c>
      <c r="B7" s="921">
        <v>0</v>
      </c>
      <c r="C7" s="922">
        <v>1160</v>
      </c>
      <c r="D7" s="625">
        <v>0</v>
      </c>
      <c r="E7" s="625">
        <v>0</v>
      </c>
      <c r="F7" s="921">
        <v>0</v>
      </c>
      <c r="G7" s="921">
        <v>34404</v>
      </c>
      <c r="H7" s="923">
        <v>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56058</v>
      </c>
      <c r="P7" s="625">
        <v>169680</v>
      </c>
      <c r="Q7" s="627">
        <f t="shared" ref="Q7:Q12" si="0">P7*0.015</f>
        <v>2545.1999999999998</v>
      </c>
      <c r="R7" s="625">
        <v>610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37007</v>
      </c>
    </row>
    <row r="8" spans="1:89" s="1" customFormat="1" ht="12.75">
      <c r="A8" s="833">
        <f>A7+1</f>
        <v>37008</v>
      </c>
      <c r="B8" s="921">
        <v>0</v>
      </c>
      <c r="C8" s="922">
        <v>1160</v>
      </c>
      <c r="D8" s="625">
        <v>0</v>
      </c>
      <c r="E8" s="625">
        <v>0</v>
      </c>
      <c r="F8" s="921">
        <v>0</v>
      </c>
      <c r="G8" s="921">
        <v>0</v>
      </c>
      <c r="H8" s="923">
        <v>24089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39190</v>
      </c>
      <c r="P8" s="625">
        <v>160000</v>
      </c>
      <c r="Q8" s="627">
        <f t="shared" si="0"/>
        <v>2400</v>
      </c>
      <c r="R8" s="625">
        <v>650</v>
      </c>
      <c r="S8" s="625">
        <v>0</v>
      </c>
      <c r="T8" s="625">
        <v>0</v>
      </c>
      <c r="U8" s="624">
        <v>40000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37008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3">
        <f>A8+1</f>
        <v>37009</v>
      </c>
      <c r="B9" s="921">
        <v>0</v>
      </c>
      <c r="C9" s="922">
        <v>1160</v>
      </c>
      <c r="D9" s="625">
        <v>4620</v>
      </c>
      <c r="E9" s="625">
        <v>0</v>
      </c>
      <c r="F9" s="921">
        <v>0</v>
      </c>
      <c r="G9" s="921">
        <v>0</v>
      </c>
      <c r="H9" s="923">
        <v>18995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220000</v>
      </c>
      <c r="Q9" s="627">
        <f t="shared" si="0"/>
        <v>3300</v>
      </c>
      <c r="R9" s="625">
        <v>650</v>
      </c>
      <c r="S9" s="625">
        <v>0</v>
      </c>
      <c r="T9" s="625">
        <v>0</v>
      </c>
      <c r="U9" s="624">
        <v>40000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37009</v>
      </c>
      <c r="AN9" s="624"/>
    </row>
    <row r="10" spans="1:89" s="1" customFormat="1" ht="12.75">
      <c r="A10" s="833">
        <f>A9+1</f>
        <v>37010</v>
      </c>
      <c r="B10" s="921">
        <v>0</v>
      </c>
      <c r="C10" s="922">
        <v>1160</v>
      </c>
      <c r="D10" s="625">
        <v>4620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240000</v>
      </c>
      <c r="Q10" s="627">
        <f t="shared" si="0"/>
        <v>3600</v>
      </c>
      <c r="R10" s="625">
        <v>650</v>
      </c>
      <c r="S10" s="625">
        <v>0</v>
      </c>
      <c r="T10" s="625">
        <v>0</v>
      </c>
      <c r="U10" s="624">
        <v>40000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37010</v>
      </c>
    </row>
    <row r="11" spans="1:89" s="1" customFormat="1" ht="12.75">
      <c r="A11" s="833">
        <f>A10+1</f>
        <v>37011</v>
      </c>
      <c r="B11" s="921">
        <v>0</v>
      </c>
      <c r="C11" s="922">
        <v>1160</v>
      </c>
      <c r="D11" s="625">
        <v>4620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240000</v>
      </c>
      <c r="Q11" s="627">
        <f t="shared" si="0"/>
        <v>3600</v>
      </c>
      <c r="R11" s="625">
        <v>650</v>
      </c>
      <c r="S11" s="625">
        <v>0</v>
      </c>
      <c r="T11" s="625">
        <v>0</v>
      </c>
      <c r="U11" s="624">
        <v>40000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37011</v>
      </c>
    </row>
    <row r="12" spans="1:89" s="1" customFormat="1" ht="12.75">
      <c r="A12" s="833">
        <f>A11+1</f>
        <v>37012</v>
      </c>
      <c r="B12" s="921">
        <v>0</v>
      </c>
      <c r="C12" s="922">
        <v>1160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160000</v>
      </c>
      <c r="Q12" s="627">
        <f t="shared" si="0"/>
        <v>2400</v>
      </c>
      <c r="R12" s="625">
        <v>650</v>
      </c>
      <c r="S12" s="625">
        <v>0</v>
      </c>
      <c r="T12" s="625">
        <v>0</v>
      </c>
      <c r="U12" s="624">
        <v>40000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37012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R1" zoomScale="75" workbookViewId="0">
      <selection activeCell="AB16" sqref="AB16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37007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921">
        <v>0</v>
      </c>
      <c r="H7" s="625">
        <v>1254</v>
      </c>
      <c r="I7" s="625">
        <v>15008</v>
      </c>
      <c r="J7" s="625">
        <v>2460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7048</v>
      </c>
      <c r="U7" s="625">
        <v>0</v>
      </c>
      <c r="V7" s="626">
        <v>225760</v>
      </c>
      <c r="W7" s="626">
        <v>0</v>
      </c>
      <c r="X7" s="624">
        <v>5000</v>
      </c>
      <c r="Y7" s="924">
        <v>137405</v>
      </c>
      <c r="Z7" s="626">
        <v>41160</v>
      </c>
      <c r="AA7" s="1">
        <v>0</v>
      </c>
      <c r="AB7" s="624">
        <v>258970</v>
      </c>
      <c r="AC7" s="624">
        <v>124588</v>
      </c>
      <c r="AD7" s="624">
        <v>0</v>
      </c>
      <c r="AE7" s="924">
        <v>0</v>
      </c>
      <c r="AF7" s="51">
        <f>Weather_Input!A5</f>
        <v>37007</v>
      </c>
      <c r="AI7" s="624"/>
      <c r="AJ7" s="624"/>
      <c r="AK7" s="624"/>
    </row>
    <row r="8" spans="1:37">
      <c r="A8" s="833">
        <f>A7+1</f>
        <v>37008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20000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225760</v>
      </c>
      <c r="W8" s="626">
        <v>0</v>
      </c>
      <c r="X8" s="624">
        <v>0</v>
      </c>
      <c r="Y8" s="924">
        <v>152629</v>
      </c>
      <c r="Z8" s="626">
        <v>41160</v>
      </c>
      <c r="AA8" s="1">
        <v>0</v>
      </c>
      <c r="AB8" s="624">
        <v>261981</v>
      </c>
      <c r="AC8" s="624">
        <v>112578</v>
      </c>
      <c r="AD8" s="624">
        <v>0</v>
      </c>
      <c r="AE8" s="924">
        <v>0</v>
      </c>
      <c r="AF8" s="833">
        <f>AF7+1</f>
        <v>37008</v>
      </c>
      <c r="AI8" s="624"/>
      <c r="AJ8" s="624"/>
      <c r="AK8" s="624"/>
    </row>
    <row r="9" spans="1:37" s="624" customFormat="1">
      <c r="A9" s="833">
        <f>A8+1</f>
        <v>37009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225760</v>
      </c>
      <c r="W9" s="626">
        <v>0</v>
      </c>
      <c r="X9" s="624">
        <v>0</v>
      </c>
      <c r="Y9" s="924">
        <v>152629</v>
      </c>
      <c r="Z9" s="626">
        <v>41160</v>
      </c>
      <c r="AA9" s="1">
        <v>4620</v>
      </c>
      <c r="AB9" s="624">
        <v>261981</v>
      </c>
      <c r="AC9" s="624">
        <v>112578</v>
      </c>
      <c r="AD9" s="624">
        <v>0</v>
      </c>
      <c r="AE9" s="924">
        <v>0</v>
      </c>
      <c r="AF9" s="833">
        <f>AF8+1</f>
        <v>37009</v>
      </c>
    </row>
    <row r="10" spans="1:37">
      <c r="A10" s="833">
        <f>A9+1</f>
        <v>37010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225760</v>
      </c>
      <c r="W10" s="626">
        <v>0</v>
      </c>
      <c r="X10" s="624">
        <v>0</v>
      </c>
      <c r="Y10" s="924">
        <v>152629</v>
      </c>
      <c r="Z10" s="626">
        <v>41160</v>
      </c>
      <c r="AA10" s="1">
        <v>4620</v>
      </c>
      <c r="AB10" s="624">
        <v>261981</v>
      </c>
      <c r="AC10" s="624">
        <v>112578</v>
      </c>
      <c r="AD10" s="624">
        <v>0</v>
      </c>
      <c r="AE10" s="924">
        <v>0</v>
      </c>
      <c r="AF10" s="833">
        <f>AF9+1</f>
        <v>37010</v>
      </c>
      <c r="AI10" s="624"/>
      <c r="AJ10" s="624"/>
      <c r="AK10" s="624"/>
    </row>
    <row r="11" spans="1:37">
      <c r="A11" s="833">
        <f>A10+1</f>
        <v>37011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225760</v>
      </c>
      <c r="W11" s="626">
        <v>0</v>
      </c>
      <c r="X11" s="624">
        <v>0</v>
      </c>
      <c r="Y11" s="924">
        <v>152629</v>
      </c>
      <c r="Z11" s="626">
        <v>41160</v>
      </c>
      <c r="AA11" s="1">
        <v>4620</v>
      </c>
      <c r="AB11" s="624">
        <v>261981</v>
      </c>
      <c r="AC11" s="624">
        <v>112578</v>
      </c>
      <c r="AD11" s="624">
        <v>0</v>
      </c>
      <c r="AE11" s="924">
        <v>0</v>
      </c>
      <c r="AF11" s="833">
        <f>AF10+1</f>
        <v>37011</v>
      </c>
    </row>
    <row r="12" spans="1:37">
      <c r="A12" s="833">
        <f>A11+1</f>
        <v>37012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225760</v>
      </c>
      <c r="W12" s="626">
        <v>0</v>
      </c>
      <c r="X12" s="624">
        <v>0</v>
      </c>
      <c r="Y12" s="924">
        <v>152629</v>
      </c>
      <c r="Z12" s="626">
        <v>41160</v>
      </c>
      <c r="AA12" s="1">
        <v>0</v>
      </c>
      <c r="AB12" s="624">
        <v>261981</v>
      </c>
      <c r="AC12" s="624">
        <v>112578</v>
      </c>
      <c r="AD12" s="624">
        <v>0</v>
      </c>
      <c r="AE12" s="924">
        <v>0</v>
      </c>
      <c r="AF12" s="833">
        <f>AF11+1</f>
        <v>37012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A5" sqref="A5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4">
        <f>Weather_Input!A5</f>
        <v>37007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9910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37007</v>
      </c>
      <c r="AG7" s="624"/>
      <c r="AH7" s="624"/>
      <c r="AI7" s="624"/>
      <c r="AJ7" s="624"/>
      <c r="AK7" s="624"/>
    </row>
    <row r="8" spans="1:128" s="1" customFormat="1" ht="12.75">
      <c r="A8" s="834">
        <f>Weather_Input!A6</f>
        <v>37008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37008</v>
      </c>
      <c r="AG8" s="624"/>
      <c r="AH8" s="624"/>
      <c r="AI8" s="624"/>
      <c r="AJ8" s="624"/>
      <c r="AK8" s="624"/>
    </row>
    <row r="9" spans="1:128" s="1" customFormat="1" ht="12.75">
      <c r="A9" s="833">
        <f>A8+1</f>
        <v>37009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37009</v>
      </c>
      <c r="AG9" s="624"/>
      <c r="AH9" s="624"/>
      <c r="AI9" s="624"/>
      <c r="AJ9" s="624"/>
      <c r="AK9" s="624"/>
    </row>
    <row r="10" spans="1:128" s="1" customFormat="1" ht="12.75">
      <c r="A10" s="833">
        <f>A9+1</f>
        <v>37010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37010</v>
      </c>
      <c r="AG10" s="624"/>
      <c r="AH10" s="624"/>
      <c r="AI10" s="624"/>
      <c r="AJ10" s="624"/>
      <c r="AK10" s="624"/>
    </row>
    <row r="11" spans="1:128" s="1" customFormat="1" ht="12.75">
      <c r="A11" s="833">
        <f>A10+1</f>
        <v>37011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37011</v>
      </c>
      <c r="AG11" s="624"/>
      <c r="AH11" s="624"/>
      <c r="AI11" s="624"/>
      <c r="AJ11" s="624"/>
      <c r="AK11" s="624"/>
    </row>
    <row r="12" spans="1:128" s="1" customFormat="1" ht="12.75">
      <c r="A12" s="833">
        <f>A11+1</f>
        <v>37012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37012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A7" sqref="A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37007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627">
        <f>(R7+S7+C7+PGL_Requirements!Y7+PGL_Requirements!Z7-NSG_Requirements!C7)*0.05</f>
        <v>4040.5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52905</v>
      </c>
      <c r="S7" s="627">
        <v>27905</v>
      </c>
      <c r="T7" s="627">
        <v>0</v>
      </c>
      <c r="U7" s="627">
        <v>0</v>
      </c>
      <c r="V7" s="833">
        <f>Weather_Input!A5</f>
        <v>37007</v>
      </c>
      <c r="W7" s="624"/>
      <c r="X7" s="624"/>
    </row>
    <row r="8" spans="1:24">
      <c r="A8" s="833">
        <f>A7+1</f>
        <v>37008</v>
      </c>
      <c r="B8" s="627">
        <v>0</v>
      </c>
      <c r="C8" s="628">
        <v>0</v>
      </c>
      <c r="D8" s="627">
        <v>0</v>
      </c>
      <c r="E8" s="627">
        <v>0</v>
      </c>
      <c r="F8" s="627">
        <v>3100</v>
      </c>
      <c r="G8" s="627">
        <f>(R8+S8+C8+PGL_Requirements!Y8+PGL_Requirements!Z8-NSG_Requirements!C8)*0.05</f>
        <v>4040.5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52905</v>
      </c>
      <c r="S8" s="627">
        <v>27905</v>
      </c>
      <c r="T8" s="627">
        <v>0</v>
      </c>
      <c r="U8" s="627">
        <v>0</v>
      </c>
      <c r="V8" s="833">
        <f>V7+1</f>
        <v>37008</v>
      </c>
      <c r="W8" s="624"/>
      <c r="X8" s="624"/>
    </row>
    <row r="9" spans="1:24">
      <c r="A9" s="833">
        <f>A8+1</f>
        <v>37009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4040.5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52905</v>
      </c>
      <c r="S9" s="627">
        <v>27905</v>
      </c>
      <c r="T9" s="627">
        <v>0</v>
      </c>
      <c r="U9" s="627">
        <v>0</v>
      </c>
      <c r="V9" s="833">
        <f>V8+1</f>
        <v>37009</v>
      </c>
      <c r="W9" s="624"/>
      <c r="X9" s="624"/>
    </row>
    <row r="10" spans="1:24">
      <c r="A10" s="833">
        <f>A9+1</f>
        <v>37010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4040.5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52905</v>
      </c>
      <c r="S10" s="627">
        <v>27905</v>
      </c>
      <c r="T10" s="627">
        <v>0</v>
      </c>
      <c r="U10" s="627">
        <v>0</v>
      </c>
      <c r="V10" s="833">
        <f>V9+1</f>
        <v>37010</v>
      </c>
      <c r="W10" s="624"/>
      <c r="X10" s="624"/>
    </row>
    <row r="11" spans="1:24">
      <c r="A11" s="833">
        <f>A10+1</f>
        <v>37011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4040.5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52905</v>
      </c>
      <c r="S11" s="627">
        <v>27905</v>
      </c>
      <c r="T11" s="627">
        <v>0</v>
      </c>
      <c r="U11" s="627">
        <v>0</v>
      </c>
      <c r="V11" s="833">
        <f>V10+1</f>
        <v>37011</v>
      </c>
      <c r="W11" s="624"/>
      <c r="X11" s="624"/>
    </row>
    <row r="12" spans="1:24">
      <c r="A12" s="833">
        <f>A11+1</f>
        <v>37012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4040.5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52905</v>
      </c>
      <c r="S12" s="627">
        <v>27905</v>
      </c>
      <c r="T12" s="627">
        <v>0</v>
      </c>
      <c r="U12" s="627">
        <v>0</v>
      </c>
      <c r="V12" s="833">
        <f>V11+1</f>
        <v>37012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THU</v>
      </c>
      <c r="I1" s="838">
        <f>D4</f>
        <v>37007</v>
      </c>
    </row>
    <row r="2" spans="1:256" ht="15.75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5" thickBot="1">
      <c r="A3" s="842"/>
      <c r="B3" s="840"/>
      <c r="C3" s="840"/>
      <c r="D3" s="843" t="str">
        <f t="shared" ref="D3:I3" si="0">CHOOSE(WEEKDAY(D4),"SUN","MON","TUE","WED","THU","FRI","SAT")</f>
        <v>THU</v>
      </c>
      <c r="E3" s="843" t="str">
        <f t="shared" si="0"/>
        <v>FRI</v>
      </c>
      <c r="F3" s="843" t="str">
        <f t="shared" si="0"/>
        <v>SAT</v>
      </c>
      <c r="G3" s="843" t="str">
        <f t="shared" si="0"/>
        <v>SUN</v>
      </c>
      <c r="H3" s="843" t="str">
        <f t="shared" si="0"/>
        <v>MON</v>
      </c>
      <c r="I3" s="844" t="str">
        <f t="shared" si="0"/>
        <v>TUE</v>
      </c>
    </row>
    <row r="4" spans="1:256" ht="15.75" thickBot="1">
      <c r="A4" s="845"/>
      <c r="B4" s="846"/>
      <c r="C4" s="846"/>
      <c r="D4" s="466">
        <f>Weather_Input!A5</f>
        <v>37007</v>
      </c>
      <c r="E4" s="466">
        <f>Weather_Input!A6</f>
        <v>37008</v>
      </c>
      <c r="F4" s="466">
        <f>Weather_Input!A7</f>
        <v>37009</v>
      </c>
      <c r="G4" s="466">
        <f>Weather_Input!A8</f>
        <v>37010</v>
      </c>
      <c r="H4" s="466">
        <f>Weather_Input!A9</f>
        <v>37011</v>
      </c>
      <c r="I4" s="467">
        <f>Weather_Input!A10</f>
        <v>37012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75/52/64</v>
      </c>
      <c r="E5" s="468" t="str">
        <f>TEXT(Weather_Input!B6,"0")&amp;"/"&amp;TEXT(Weather_Input!C6,"0") &amp; "/" &amp; TEXT((Weather_Input!B6+Weather_Input!C6)/2,"0")</f>
        <v>64/42/53</v>
      </c>
      <c r="F5" s="468" t="str">
        <f>TEXT(Weather_Input!B7,"0")&amp;"/"&amp;TEXT(Weather_Input!C7,"0") &amp; "/" &amp; TEXT((Weather_Input!B7+Weather_Input!C7)/2,"0")</f>
        <v>67/47/57</v>
      </c>
      <c r="G5" s="468" t="str">
        <f>TEXT(Weather_Input!B8,"0")&amp;"/"&amp;TEXT(Weather_Input!C8,"0") &amp; "/" &amp; TEXT((Weather_Input!B8+Weather_Input!C8)/2,"0")</f>
        <v>78/56/67</v>
      </c>
      <c r="H5" s="468" t="str">
        <f>TEXT(Weather_Input!B9,"0")&amp;"/"&amp;TEXT(Weather_Input!C9,"0") &amp; "/" &amp; TEXT((Weather_Input!B9+Weather_Input!C9)/2,"0")</f>
        <v>80/58/69</v>
      </c>
      <c r="I5" s="469" t="str">
        <f>TEXT(Weather_Input!B10,"0")&amp;"/"&amp;TEXT(Weather_Input!C10,"0") &amp; "/" &amp; TEXT((Weather_Input!B10+Weather_Input!C10)/2,"0")</f>
        <v>80/58/69</v>
      </c>
    </row>
    <row r="6" spans="1:256" ht="15.75">
      <c r="A6" s="852" t="s">
        <v>139</v>
      </c>
      <c r="B6" s="840"/>
      <c r="C6" s="840"/>
      <c r="D6" s="468">
        <f>PGL_Deliveries!C5/1000</f>
        <v>268</v>
      </c>
      <c r="E6" s="468">
        <f>PGL_Deliveries!C6/1000</f>
        <v>330</v>
      </c>
      <c r="F6" s="468">
        <f>PGL_Deliveries!C7/1000</f>
        <v>280</v>
      </c>
      <c r="G6" s="468">
        <f>PGL_Deliveries!C8/1000</f>
        <v>235</v>
      </c>
      <c r="H6" s="468">
        <f>PGL_Deliveries!C9/1000</f>
        <v>250</v>
      </c>
      <c r="I6" s="469">
        <f>PGL_Deliveries!C10/1000</f>
        <v>250</v>
      </c>
    </row>
    <row r="7" spans="1:256" ht="15.75">
      <c r="A7" s="852" t="s">
        <v>574</v>
      </c>
      <c r="B7" s="840" t="s">
        <v>421</v>
      </c>
      <c r="C7" s="840"/>
      <c r="D7" s="468">
        <f>PGL_Requirements!H7/1000*0.5</f>
        <v>0</v>
      </c>
      <c r="E7" s="468">
        <f>PGL_Requirements!H8/1000*0.5</f>
        <v>12.044499999999999</v>
      </c>
      <c r="F7" s="468">
        <f>PGL_Requirements!H9/1000*0.5</f>
        <v>9.4975000000000005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9" t="s">
        <v>144</v>
      </c>
      <c r="B13" s="840" t="s">
        <v>145</v>
      </c>
      <c r="C13" s="840" t="s">
        <v>60</v>
      </c>
      <c r="D13" s="468">
        <f>PGL_Requirements!P7/1000</f>
        <v>169.68</v>
      </c>
      <c r="E13" s="468">
        <f>PGL_Requirements!P8/1000</f>
        <v>160</v>
      </c>
      <c r="F13" s="468">
        <f>PGL_Requirements!P9/1000</f>
        <v>220</v>
      </c>
      <c r="G13" s="468">
        <f>PGL_Requirements!P10/1000</f>
        <v>240</v>
      </c>
      <c r="H13" s="468">
        <f>PGL_Requirements!P11/1000</f>
        <v>240</v>
      </c>
      <c r="I13" s="469">
        <f>PGL_Requirements!P12/1000</f>
        <v>160</v>
      </c>
    </row>
    <row r="14" spans="1:256" ht="15.75">
      <c r="A14" s="849"/>
      <c r="B14" s="840"/>
      <c r="C14" s="840" t="s">
        <v>101</v>
      </c>
      <c r="D14" s="468">
        <f>PGL_Requirements!Q7/1000</f>
        <v>2.5451999999999999</v>
      </c>
      <c r="E14" s="468">
        <f>PGL_Requirements!Q8/1000</f>
        <v>2.4</v>
      </c>
      <c r="F14" s="468">
        <f>PGL_Requirements!Q9/1000</f>
        <v>3.3</v>
      </c>
      <c r="G14" s="468">
        <f>PGL_Requirements!Q10/1000</f>
        <v>3.6</v>
      </c>
      <c r="H14" s="468">
        <f>PGL_Requirements!Q11/1000</f>
        <v>3.6</v>
      </c>
      <c r="I14" s="469">
        <f>PGL_Requirements!Q12/1000</f>
        <v>2.4</v>
      </c>
    </row>
    <row r="15" spans="1:256" ht="15.75">
      <c r="A15" s="849"/>
      <c r="C15" s="840" t="s">
        <v>746</v>
      </c>
      <c r="D15" s="468">
        <f>PGL_Requirements!R7/1000</f>
        <v>0.61</v>
      </c>
      <c r="E15" s="468">
        <f>PGL_Requirements!R8/1000</f>
        <v>0.65</v>
      </c>
      <c r="F15" s="468">
        <f>PGL_Requirements!R9/1000</f>
        <v>0.65</v>
      </c>
      <c r="G15" s="468">
        <f>PGL_Requirements!R10/1000</f>
        <v>0.65</v>
      </c>
      <c r="H15" s="468">
        <f>PGL_Requirements!R11/1000</f>
        <v>0.65</v>
      </c>
      <c r="I15" s="469">
        <f>PGL_Requirements!R12/1000</f>
        <v>0.65</v>
      </c>
    </row>
    <row r="16" spans="1:256" ht="15.75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40</v>
      </c>
      <c r="F18" s="468">
        <f>PGL_Requirements!U9/1000</f>
        <v>40</v>
      </c>
      <c r="G18" s="468">
        <f>PGL_Requirements!U10/1000</f>
        <v>40</v>
      </c>
      <c r="H18" s="468">
        <f>PGL_Requirements!U11/1000</f>
        <v>40</v>
      </c>
      <c r="I18" s="469">
        <f>PGL_Requirements!U12/1000</f>
        <v>40</v>
      </c>
    </row>
    <row r="19" spans="1:10" ht="15.75">
      <c r="A19" s="849"/>
      <c r="B19" s="840" t="s">
        <v>141</v>
      </c>
      <c r="C19" s="840" t="s">
        <v>90</v>
      </c>
      <c r="D19" s="468">
        <f>PGL_Requirements!O7/1000</f>
        <v>56.058</v>
      </c>
      <c r="E19" s="468">
        <f>PGL_Requirements!O8/1000</f>
        <v>39.19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2" t="s">
        <v>149</v>
      </c>
      <c r="B24" s="840"/>
      <c r="C24" s="840"/>
      <c r="D24" s="468">
        <f>PGL_Requirements!G7/1000</f>
        <v>34.404000000000003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9"/>
      <c r="B26" s="840" t="s">
        <v>68</v>
      </c>
      <c r="C26" s="840"/>
      <c r="D26" s="468">
        <f>PGL_Requirements!C7/1000</f>
        <v>1.1599999999999999</v>
      </c>
      <c r="E26" s="468">
        <f>PGL_Requirements!C8/1000</f>
        <v>1.1599999999999999</v>
      </c>
      <c r="F26" s="468">
        <f>PGL_Requirements!C9/1000</f>
        <v>1.1599999999999999</v>
      </c>
      <c r="G26" s="468">
        <f>PGL_Requirements!C10/1000</f>
        <v>1.1599999999999999</v>
      </c>
      <c r="H26" s="468">
        <f>PGL_Requirements!C11/1000</f>
        <v>1.1599999999999999</v>
      </c>
      <c r="I26" s="469">
        <f>PGL_Requirements!C12/1000</f>
        <v>1.1599999999999999</v>
      </c>
    </row>
    <row r="27" spans="1:10" ht="15.75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4.62</v>
      </c>
      <c r="G27" s="468">
        <f>PGL_Requirements!D10/1000</f>
        <v>4.62</v>
      </c>
      <c r="H27" s="468">
        <f>PGL_Requirements!D11/1000</f>
        <v>4.62</v>
      </c>
      <c r="I27" s="469">
        <f>PGL_Requirements!D12/1000</f>
        <v>0</v>
      </c>
    </row>
    <row r="28" spans="1:10" ht="15.75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7" t="s">
        <v>151</v>
      </c>
      <c r="B30" s="858"/>
      <c r="C30" s="858"/>
      <c r="D30" s="472">
        <f t="shared" ref="D30:I30" si="1">SUM(D6:D29)</f>
        <v>572.45720000000006</v>
      </c>
      <c r="E30" s="472">
        <f t="shared" si="1"/>
        <v>585.44449999999995</v>
      </c>
      <c r="F30" s="472">
        <f t="shared" si="1"/>
        <v>559.22749999999996</v>
      </c>
      <c r="G30" s="472">
        <f t="shared" si="1"/>
        <v>525.03</v>
      </c>
      <c r="H30" s="472">
        <f t="shared" si="1"/>
        <v>540.03</v>
      </c>
      <c r="I30" s="1175">
        <f t="shared" si="1"/>
        <v>454.21</v>
      </c>
    </row>
    <row r="31" spans="1:10" ht="17.25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5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6.5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9"/>
      <c r="B34" s="840"/>
      <c r="C34" s="840" t="s">
        <v>94</v>
      </c>
      <c r="D34" s="468">
        <f>PGL_Supplies!H7/1000</f>
        <v>1.254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9"/>
      <c r="B35" s="840"/>
      <c r="C35" s="840" t="s">
        <v>61</v>
      </c>
      <c r="D35" s="468">
        <f>PGL_Supplies!J7/1000</f>
        <v>2.46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2" t="s">
        <v>628</v>
      </c>
      <c r="B43" s="840" t="s">
        <v>421</v>
      </c>
      <c r="C43" s="840"/>
      <c r="D43" s="468">
        <f>PGL_Supplies!T7/1000*0.5</f>
        <v>3.524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6" t="s">
        <v>774</v>
      </c>
      <c r="B47" s="840" t="s">
        <v>752</v>
      </c>
      <c r="C47" s="840"/>
      <c r="D47" s="468">
        <f>PGL_Supplies!Y7/1000</f>
        <v>137.405</v>
      </c>
      <c r="E47" s="468">
        <f>PGL_Supplies!Y8/1000</f>
        <v>152.62899999999999</v>
      </c>
      <c r="F47" s="468">
        <f>PGL_Supplies!Y9/1000</f>
        <v>152.62899999999999</v>
      </c>
      <c r="G47" s="468">
        <f>PGL_Supplies!Y10/1000</f>
        <v>152.62899999999999</v>
      </c>
      <c r="H47" s="468">
        <f>PGL_Supplies!Y11/1000</f>
        <v>152.62899999999999</v>
      </c>
      <c r="I47" s="469">
        <f>PGL_Supplies!Y12/1000</f>
        <v>152.62899999999999</v>
      </c>
    </row>
    <row r="48" spans="1:9" ht="15.75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41.16</v>
      </c>
      <c r="F48" s="468">
        <f>PGL_Supplies!Z9/1000</f>
        <v>41.16</v>
      </c>
      <c r="G48" s="468">
        <f>PGL_Supplies!Z10/1000</f>
        <v>41.16</v>
      </c>
      <c r="H48" s="468">
        <f>PGL_Supplies!Z11/1000</f>
        <v>41.16</v>
      </c>
      <c r="I48" s="469">
        <f>PGL_Supplies!Z12/1000</f>
        <v>41.16</v>
      </c>
    </row>
    <row r="49" spans="1:10" ht="15.75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4.62</v>
      </c>
      <c r="G49" s="468">
        <f>PGL_Supplies!AA10/1000</f>
        <v>4.62</v>
      </c>
      <c r="H49" s="468">
        <f>PGL_Supplies!AA11/1000</f>
        <v>4.62</v>
      </c>
      <c r="I49" s="469">
        <f>PGL_Supplies!AA12/1000</f>
        <v>0</v>
      </c>
    </row>
    <row r="50" spans="1:10" ht="15.75">
      <c r="A50" s="852"/>
      <c r="B50" s="840" t="s">
        <v>421</v>
      </c>
      <c r="C50" s="853"/>
      <c r="D50" s="468">
        <f>PGL_Supplies!AB7/1000</f>
        <v>258.97000000000003</v>
      </c>
      <c r="E50" s="468">
        <f>PGL_Supplies!AB8/1000</f>
        <v>261.98099999999999</v>
      </c>
      <c r="F50" s="468">
        <f>PGL_Supplies!AB9/1000</f>
        <v>261.98099999999999</v>
      </c>
      <c r="G50" s="468">
        <f>PGL_Supplies!AB10/1000</f>
        <v>261.98099999999999</v>
      </c>
      <c r="H50" s="468">
        <f>PGL_Supplies!AB11/1000</f>
        <v>261.98099999999999</v>
      </c>
      <c r="I50" s="469">
        <f>PGL_Supplies!AB12/1000</f>
        <v>261.98099999999999</v>
      </c>
    </row>
    <row r="51" spans="1:10" ht="15.75">
      <c r="A51" s="852"/>
      <c r="B51" s="840" t="s">
        <v>141</v>
      </c>
      <c r="C51" s="840"/>
      <c r="D51" s="468">
        <f>PGL_Supplies!AC7/1000</f>
        <v>124.58799999999999</v>
      </c>
      <c r="E51" s="468">
        <f>PGL_Supplies!AC8/1000</f>
        <v>112.578</v>
      </c>
      <c r="F51" s="468">
        <f>PGL_Supplies!AC9/1000</f>
        <v>112.578</v>
      </c>
      <c r="G51" s="468">
        <f>PGL_Supplies!AC10/1000</f>
        <v>112.578</v>
      </c>
      <c r="H51" s="468">
        <f>PGL_Supplies!AC11/1000</f>
        <v>112.578</v>
      </c>
      <c r="I51" s="469">
        <f>PGL_Supplies!AC12/1000</f>
        <v>112.578</v>
      </c>
    </row>
    <row r="52" spans="1:10" ht="15.75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6"/>
      <c r="B53" s="840" t="s">
        <v>158</v>
      </c>
      <c r="C53" s="840"/>
      <c r="D53" s="468">
        <f>PGL_Supplies!I7/1000</f>
        <v>15.007999999999999</v>
      </c>
      <c r="E53" s="468">
        <f>PGL_Supplies!I8/1000</f>
        <v>20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 ht="15.75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2" t="s">
        <v>792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9" t="s">
        <v>763</v>
      </c>
      <c r="B56" s="840" t="s">
        <v>752</v>
      </c>
      <c r="C56" s="840"/>
      <c r="D56" s="468">
        <f>PGL_Supplies!X7/1000</f>
        <v>5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9"/>
      <c r="B59" s="840" t="s">
        <v>421</v>
      </c>
      <c r="C59" s="840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0" t="s">
        <v>160</v>
      </c>
      <c r="B61" s="871"/>
      <c r="C61" s="871"/>
      <c r="D61" s="478">
        <f t="shared" ref="D61:I61" si="2">SUM(D33:D60)</f>
        <v>589.36900000000003</v>
      </c>
      <c r="E61" s="478">
        <f t="shared" si="2"/>
        <v>589.34799999999996</v>
      </c>
      <c r="F61" s="478">
        <f t="shared" si="2"/>
        <v>583.96799999999996</v>
      </c>
      <c r="G61" s="478">
        <f t="shared" si="2"/>
        <v>583.96799999999996</v>
      </c>
      <c r="H61" s="478">
        <f t="shared" si="2"/>
        <v>583.96799999999996</v>
      </c>
      <c r="I61" s="1177">
        <f t="shared" si="2"/>
        <v>579.34799999999996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16.911799999999971</v>
      </c>
      <c r="E62" s="479">
        <f t="shared" si="3"/>
        <v>3.9035000000000082</v>
      </c>
      <c r="F62" s="479">
        <f t="shared" si="3"/>
        <v>24.740499999999997</v>
      </c>
      <c r="G62" s="479">
        <f t="shared" si="3"/>
        <v>58.937999999999988</v>
      </c>
      <c r="H62" s="479">
        <f t="shared" si="3"/>
        <v>43.937999999999988</v>
      </c>
      <c r="I62" s="1178">
        <f t="shared" si="3"/>
        <v>125.13799999999998</v>
      </c>
    </row>
    <row r="63" spans="1:10" ht="15.75" thickBot="1">
      <c r="A63" s="874" t="s">
        <v>162</v>
      </c>
      <c r="B63" s="858"/>
      <c r="C63" s="875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5" thickTop="1" thickBot="1">
      <c r="A64" s="1166" t="s">
        <v>778</v>
      </c>
      <c r="B64" s="1167"/>
      <c r="C64" s="1167"/>
      <c r="D64" s="1168">
        <f>PGL_Supplies!V7/1000</f>
        <v>225.76</v>
      </c>
      <c r="E64" s="1168">
        <f>PGL_Supplies!V8/1000</f>
        <v>225.76</v>
      </c>
      <c r="F64" s="1168">
        <f>PGL_Supplies!V9/1000</f>
        <v>225.76</v>
      </c>
      <c r="G64" s="1168">
        <f>PGL_Supplies!V10/1000</f>
        <v>225.76</v>
      </c>
      <c r="H64" s="1168">
        <f>PGL_Supplies!V11/1000</f>
        <v>225.76</v>
      </c>
      <c r="I64" s="1169">
        <f>PGL_Supplies!V12/1000</f>
        <v>225.76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2001-04-27T16:10:33Z</cp:lastPrinted>
  <dcterms:created xsi:type="dcterms:W3CDTF">1997-07-16T16:14:22Z</dcterms:created>
  <dcterms:modified xsi:type="dcterms:W3CDTF">2023-09-10T17:06:33Z</dcterms:modified>
</cp:coreProperties>
</file>