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DFC1F1-040B-4B51-9CB7-D2C411B65C5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<sst xmlns="http://schemas.openxmlformats.org/spreadsheetml/2006/main" count="2146" uniqueCount="799">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</sst>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D58E499-E4A4-109A-6294-4A80491A2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461FB82-BD2F-AF01-279C-EF95396E0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7C8C684-87E5-E6A9-24AD-B347143D0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4BC5916-A507-36B5-BFB0-FAB584458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6846F82-A543-661A-6E32-507CD2347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148F74D-C11B-54AC-2772-7D8C17D64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7EDA4F6-395E-6DBB-5E10-3DDB4F6C6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345051A-CDCF-80E0-6AE4-54943ACC4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33BCB19-32F6-A98C-F1BD-CE2CFA40B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2970005-A3DE-4459-9184-0969582DF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3BBD4B1-B7C1-09B4-D381-B96230425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CFA35ED-FF7F-A4CF-0C73-C5C9C3D88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7D5C9C5-A238-461E-1B4A-00FCD9190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62212F8-6D98-5C31-5A1A-7F461285C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2903420-B18D-7B64-F2C2-33CDB6C80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D7AF625-CD03-8430-8609-6660FB985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BB2EAA7-FCB8-D41A-B6E0-9648026A7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A26F67E-D3E8-744E-D119-306BF45E3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43AD310-DD8B-BE78-F199-A6A9CBABE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EB75A41-DEB4-73F3-EF65-B9B9C303C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175B9148-C126-534A-0328-5CC2F2C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21A1A41-2748-38D3-1B85-79CCB1C4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42F14C3-9340-E3A5-3CD9-9BC16C505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11F8D3F-02CC-73A7-9BA4-8BF4958AD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A8E0935-5951-87C8-FC03-B6CDBD13D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C3C6E2D3-1270-71D8-05CA-4B07C6F7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7DFF5C7F-ACE1-FFAF-A1DF-D346A6249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679ABB59-8DAA-35BE-D7B8-D2F4E2530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087A740-F4B3-431C-384A-14C991FAE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9710BAC5-B032-2300-5CB1-5545C822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30705F2-4717-CEEE-BBBE-C03C790E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5668CD38-BCF4-DB7F-85B7-E5839D220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B89146B-3898-5D10-9706-00881D39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CDBDA3F-CBA4-FB55-A11D-AEB59C080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B91019C-CE39-2918-BB13-FB1018EF7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2DF9EA01-BFC0-03E5-E0FA-8AC9EE43A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F3B92593-2EAD-C119-B34A-8E7C8F8CA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D21EDCE-4C0D-5525-E16A-CA566CED4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5404F5D2-67C3-539E-9A37-BB6F34240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1F1BF5B-21E8-E225-B954-526043B3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45616BE-EA43-5B12-26C1-42ED5BB8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33B5D0C-A5B2-731F-7BA0-517A97E4C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728B4FAE-6D4D-2C67-2FE9-BE6C9E3C8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E307380-2E70-647E-ADF3-AAB5AE69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791" name="Day_1">
          <a:extLst>
            <a:ext uri="{FF2B5EF4-FFF2-40B4-BE49-F238E27FC236}">
              <a16:creationId xmlns:a16="http://schemas.microsoft.com/office/drawing/2014/main" id="{7CB18C4D-0749-AD08-2249-6C6975A7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792" name="Day_2">
          <a:extLst>
            <a:ext uri="{FF2B5EF4-FFF2-40B4-BE49-F238E27FC236}">
              <a16:creationId xmlns:a16="http://schemas.microsoft.com/office/drawing/2014/main" id="{CF359A23-130F-3729-5450-9B0F69544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793" name="Day_3">
          <a:extLst>
            <a:ext uri="{FF2B5EF4-FFF2-40B4-BE49-F238E27FC236}">
              <a16:creationId xmlns:a16="http://schemas.microsoft.com/office/drawing/2014/main" id="{455E37E9-5CB9-8D4B-6768-A50F2D800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794" name="Day_4">
          <a:extLst>
            <a:ext uri="{FF2B5EF4-FFF2-40B4-BE49-F238E27FC236}">
              <a16:creationId xmlns:a16="http://schemas.microsoft.com/office/drawing/2014/main" id="{B0D136F4-30F7-7026-6884-98ECB7744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795" name="Day_5">
          <a:extLst>
            <a:ext uri="{FF2B5EF4-FFF2-40B4-BE49-F238E27FC236}">
              <a16:creationId xmlns:a16="http://schemas.microsoft.com/office/drawing/2014/main" id="{41FE07D7-9CA9-AB1D-70E0-808BCB88A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796" name="Day_6">
          <a:extLst>
            <a:ext uri="{FF2B5EF4-FFF2-40B4-BE49-F238E27FC236}">
              <a16:creationId xmlns:a16="http://schemas.microsoft.com/office/drawing/2014/main" id="{9BA8493E-E596-4E38-FF49-299B10CCD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08FF4A1B-9554-10FF-6809-D7C11DE25A1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E0DB314E-8D9A-1BF6-E4DF-E33835EC042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99C25E6-FAF4-2F74-D6F9-2CA0CA92F002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2DD6DF4-7D9F-6365-8909-78237B66A343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EBCD33C-2DFA-D022-893D-C981FD471AE8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8681E4E-59DD-E609-5624-8D044CE462F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F08F91A7-BE93-0F32-51C0-A610F41ECABE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02FBA507-340F-348A-EBB8-A6CEFB65562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BC6BD1A6-0193-D8A3-67FF-A4256BE7E99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D5CAF115-9549-C339-8A9F-2E95C69D5C0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2623BF94-6168-8BD2-0D95-6B1FCFE4D5D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3578074-388D-5340-24DD-B2E19BFCFC1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8934144A-1D67-DAC6-0CA8-FB8C85013A8A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E6CB73FA-52EB-062B-2DBD-399DA6073AF7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4CD61FF-6C07-2EDE-A0BD-F376203E6D3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4E9515E-6949-38F0-F882-BF653998D361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8C12AD71-DFE6-681F-0ECE-9ACF84C0758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FF504177-0B5D-5E64-50DD-F4855F3F151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3867D4C-4268-EF3D-A528-A6784C78959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6EAF3168-74C9-2FA1-A1B8-10FBC56E7EE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CC4E2C4A-E4BE-B2EE-F2ED-F707D957A298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54C8062-6950-E65C-5BD8-6FDC09BE56E5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A8B5311-BBA6-D7BD-4193-BFE5CEBEFF5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E3D14E68-940B-E286-C67B-2D62C2EE68D5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E89EFDC-3C58-F029-FDB3-E75CA0D1A07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66A009DA-82F9-A716-5EE4-FCF60BFDC204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721340A4-F770-A61B-4B22-DADBF422FF43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2505EE3C-EC37-70FC-5A6F-AB0BE61FAAE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738DA1C-47C6-B46C-AD55-FF761BED52C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D1848EFD-12F6-FE5D-81FD-54CCE6619FFE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D2E503C-2B33-AE00-A044-96AF5D015A7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77C9FB48-F5DC-CB8A-3C8A-67C183D74FC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02F2F94-F7E1-4A1D-3F4A-0B415C24B56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7D84B8D-FF60-7CD7-5CC1-D4BDB53B001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4A0F47E9-AC44-60E3-2D4F-DAC0E7B6BAD9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D214BF7-016A-EA3E-FC75-315352F39DD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7D27A986-EA46-9B90-87BD-03292CE8FFA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26FD988-0FCE-B9BF-6D74-C6737D2FEB25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19195DF5-3155-E1FF-D2C8-07ACCD3175F0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9F834EA-B8A8-C2C3-5316-22EE50DCF34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90A5AB2-C756-A7AA-E432-E1B7AA64B2B3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01DBA4C9-8746-990F-4461-790208AD7CE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BF57564D-A350-FE01-A618-F0AB83ABDE3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25E26F1A-3FA1-F166-AF3E-345914E0A74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32A981D5-09F9-69C7-4680-2397898D6920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0168B515-7B01-86C7-7C12-838A650AFA3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11975918-A5C0-2F30-19C2-C212A0A45B8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86B543F2-9E4E-8221-E4D5-0782740F6983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62CAFDA-0888-F5E7-36F8-2D0CDF08B7A5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418F0313-CACA-2F82-6D37-38F1B172ACF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47305B9E-F161-697A-C885-B84D02DDB129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1C1355CC-580F-CABB-C6C3-618DB305B09C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20F485E-FD28-203F-D17C-B9BB7ADF88B7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50E88AE-968C-7EE5-3BB4-4FFB0E951DA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2C910E34-0B79-36CB-FE7C-1870B0E847AD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868A753-9DFA-A298-D885-E3865109A2A6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6A955C07-D408-87F9-7C4A-117A605C8B32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F8214EA8-148C-9F5F-22C5-5753AEB1FCC4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1110D50B-864D-E65A-AC69-C635227255C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59FB2292-D214-7BAA-1149-950D029B6DC9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9778E9B9-17F0-7327-B9CA-08D50AB5F6D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70A9F192-DCAF-590F-F79F-63405B7035A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51F40343-4C0F-D825-7294-F5CD1FE3F713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E2F4D4A9-408F-839B-42DA-55599C46C96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9509A159-A50B-E53A-F168-5E01F0BCECC8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9261229-0858-25B9-E5D6-F1F75FEB556C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3DA76FA5-BD96-8D5A-8FFF-3CE92F52C73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2B787A74-B3D2-E466-6953-5F1A0F11C62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8F9460D-55B1-04AA-277E-0094F09B925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CA472B3-7899-7609-0D0C-F8A805554BF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5E2C18B4-4D11-6D00-AE26-E80CC068DBA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B09245A-E166-ED04-ACDA-90EB8D8C498A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6471E6E0-94F5-77C0-FE62-608C2C1E661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3A08447F-FD44-4BA7-6FBC-E36FA7A9420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DBE4BA5A-6C63-333B-9772-D0A0DBB3A2CA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C2E96D9-4DE4-6371-3057-6F88FB6BA4B0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B432A7D6-DFB2-C77F-F0B8-3C5AECB369B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D9562B0-57F3-5091-D1BE-696BB3627BF4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48F67CF-19EE-A842-FD5D-56CB4DF7404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41C70F79-E49E-93A5-14D5-6BB0AC364A0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D737D2B-BF5E-B1A7-24FC-B5E5DDF3A116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3D1B7A52-F2D3-FEDE-C303-0EE7FEBD1AB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808B9C37-0589-AC00-A02B-317FD197C815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CA955CE-1B0B-EE46-A1EA-86A15D435D80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C0A2D399-1FBB-81A5-FB49-B0FEB80B06CB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F65A5A62-C6F0-6347-E4DB-BE5CBC16423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A3499C7-D1B1-1770-E2CE-70E7CC8854F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56F3F60-C93E-37C3-0431-FDAA02A3B9A4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36026C38-7408-E8CB-4DE6-EF18BC90508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F1FDC942-06DB-C77F-6E37-46F3B60A51B6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F662B7DB-1C4F-E49D-A70B-E9C63F9374E8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02F5C96-450A-E54B-C908-97CD687B19BE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E6E6607-0A36-37D5-A265-B03653A41EA1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80D0D6DB-A609-747C-8B84-A4D2365AAA63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F116D20-A0D4-B320-E061-1976656FBFF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909AB7D-0A3D-E6C6-E1CE-F688DDBF21A2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6E41E92-10E4-E647-8079-F6CDAED14D43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8CBEA84C-1935-ACD1-682D-96026FBD938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889F7071-7BDF-10BD-DEFC-7456ADDB94F4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91EEE12-B9C6-557C-0AD0-CC3DBBEB051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D373876-51DD-0980-1D1A-AB344F1B4C80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D129380-887C-5001-6B48-83DCEDC459C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261BC74-A868-0DFC-49A9-EC78454DCA6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C19EEDA-B62E-9EF9-B80F-0B5249B1A520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4F5941B9-2986-3BAF-BB33-FEDB7F00BF6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B46350ED-3770-55F6-82F8-3D77C33E1059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6B2E1DF-5A38-E1EE-3342-9FA4E8A1B4CD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FBFDE03-D421-3776-B36B-69834EFE97A7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1586BAC9-7440-381B-947C-48BE5F752A42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A0443779-3EA6-9339-0950-057CF523117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0864B1DB-6CC6-1E17-FD3D-BCA6B84CD1E3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4668999-D5AB-8768-D34E-F55E84AD79B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D1D7414-CB77-C468-EA86-5D0C2FA9C4AC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88EFB892-9080-DB60-3259-57F188EBE96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4BC655C-1CD6-3BA5-AECF-235C70433C30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A3D0C26F-B18E-3EF0-EDC9-6405C6BBF91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09C56270-456C-924B-4EEF-252FB6346590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97D69971-56E9-5461-E486-C7AEEECE8A2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9F13346D-E0BB-77CD-1270-EAD44FED2E4A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D2B4DF67-6850-269B-BCC5-13412D11122B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5DC76E25-D13F-1544-3BC1-58FB9DA774CB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E85D7185-F65B-9555-BA5E-31152B013205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DADC7725-C930-6136-EF5A-BC1B0BF4F58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06DFF223-5655-9629-81EE-D07AC25773A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31E8BE5-E507-7155-029E-1E0BEE885D8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9A2747F7-6139-8E38-44E5-47343966E585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92F8B64-BBCE-BA42-EB1C-81D12CE496E9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0507F28-838B-2E04-0EC9-8B464AE03CDE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2FF9251-9B70-D2CA-5F4D-1815F455563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C34C9061-10D8-2280-E640-9F2F87C8DDF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37008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37008</v>
      </c>
      <c r="E4" s="847">
        <f>Weather_Input!A6</f>
        <v>37009</v>
      </c>
      <c r="F4" s="847">
        <f>Weather_Input!A7</f>
        <v>37010</v>
      </c>
      <c r="G4" s="847">
        <f>Weather_Input!A8</f>
        <v>37011</v>
      </c>
      <c r="H4" s="847">
        <f>Weather_Input!A9</f>
        <v>37012</v>
      </c>
      <c r="I4" s="848">
        <f>Weather_Input!A10</f>
        <v>37013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62/42/52</v>
      </c>
      <c r="E5" s="881" t="str">
        <f>TEXT(Weather_Input!B6,"0")&amp;"/"&amp;TEXT(Weather_Input!C6,"0") &amp; "/" &amp; TEXT((Weather_Input!B6+Weather_Input!C6)/2,"0")</f>
        <v>67/48/58</v>
      </c>
      <c r="F5" s="881" t="str">
        <f>TEXT(Weather_Input!B7,"0")&amp;"/"&amp;TEXT(Weather_Input!C7,"0") &amp; "/" &amp; TEXT((Weather_Input!B7+Weather_Input!C7)/2,"0")</f>
        <v>78/56/67</v>
      </c>
      <c r="G5" s="881" t="str">
        <f>TEXT(Weather_Input!B8,"0")&amp;"/"&amp;TEXT(Weather_Input!C8,"0") &amp; "/" &amp; TEXT((Weather_Input!B8+Weather_Input!C8)/2,"0")</f>
        <v>82/58/70</v>
      </c>
      <c r="H5" s="881" t="str">
        <f>TEXT(Weather_Input!B9,"0")&amp;"/"&amp;TEXT(Weather_Input!C9,"0") &amp; "/" &amp; TEXT((Weather_Input!B9+Weather_Input!C9)/2,"0")</f>
        <v>84/64/74</v>
      </c>
      <c r="I5" s="882" t="str">
        <f>TEXT(Weather_Input!B10,"0")&amp;"/"&amp;TEXT(Weather_Input!C10,"0") &amp; "/" &amp; TEXT((Weather_Input!B10+Weather_Input!C10)/2,"0")</f>
        <v>84/64/74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62</v>
      </c>
      <c r="E6" s="850">
        <f ca="1">VLOOKUP(E4,NSG_Sendouts,CELL("Col",NSG_Deliveries!C6),FALSE)/1000</f>
        <v>53</v>
      </c>
      <c r="F6" s="850">
        <f ca="1">VLOOKUP(F4,NSG_Sendouts,CELL("Col",NSG_Deliveries!C7),FALSE)/1000</f>
        <v>44</v>
      </c>
      <c r="G6" s="850">
        <f ca="1">VLOOKUP(G4,NSG_Sendouts,CELL("Col",NSG_Deliveries!C8),FALSE)/1000</f>
        <v>46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42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82</v>
      </c>
      <c r="E19" s="859">
        <f t="shared" ca="1" si="1"/>
        <v>73</v>
      </c>
      <c r="F19" s="859">
        <f t="shared" ca="1" si="1"/>
        <v>64</v>
      </c>
      <c r="G19" s="859">
        <f t="shared" ca="1" si="1"/>
        <v>66</v>
      </c>
      <c r="H19" s="859">
        <f t="shared" ca="1" si="1"/>
        <v>62</v>
      </c>
      <c r="I19" s="860">
        <f t="shared" ca="1" si="1"/>
        <v>62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6.0439999999999996</v>
      </c>
      <c r="E25" s="850">
        <f>NSG_Supplies!F8/1000</f>
        <v>3.25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78.948999999999998</v>
      </c>
      <c r="E37" s="890">
        <f t="shared" si="2"/>
        <v>73.004999999999995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5.7549999999999955</v>
      </c>
      <c r="G38" s="894">
        <f t="shared" ca="1" si="3"/>
        <v>3.7549999999999955</v>
      </c>
      <c r="H38" s="894">
        <f t="shared" ca="1" si="3"/>
        <v>7.7549999999999955</v>
      </c>
      <c r="I38" s="895">
        <f t="shared" ca="1" si="3"/>
        <v>7.7549999999999955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3.0510000000000019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9.1</v>
      </c>
      <c r="E42" s="901">
        <f>Weather_Input!D6</f>
        <v>10</v>
      </c>
      <c r="F42" s="901">
        <f>Weather_Input!D7</f>
        <v>15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37008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62</v>
      </c>
      <c r="C4" s="964">
        <f>Weather_Input!C5</f>
        <v>42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21.32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320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152.62899999999999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-156.161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255.321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13.519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10.499000000000001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275.80700000000002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44.192999999999984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2.3361000000000001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46.529099999999985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57.781999999999996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-112.578</v>
      </c>
      <c r="D29" s="986" t="s">
        <v>11</v>
      </c>
      <c r="E29" s="985">
        <f>-PGL_Supplies!AC7/1000</f>
        <v>-112.578</v>
      </c>
      <c r="F29" s="307"/>
      <c r="G29" s="985">
        <f>-PGL_Supplies!AC7/1000</f>
        <v>-112.578</v>
      </c>
      <c r="H29" s="514"/>
      <c r="I29" s="987">
        <f>-PGL_Supplies!AC7/1000</f>
        <v>-112.578</v>
      </c>
      <c r="L29" s="1102"/>
    </row>
    <row r="30" spans="1:12" ht="16.5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152.62899999999999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152.62899999999999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155.74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0.20899999999999999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0.63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2.3361000000000001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-156.161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4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261.98099999999999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PGL_Requirements!H7/1000*0.5</f>
        <v>10.66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255.321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251.321</v>
      </c>
    </row>
    <row r="63" spans="1:9" ht="16.5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I59</f>
        <v>10.66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21.32</v>
      </c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261.98099999999999</v>
      </c>
    </row>
    <row r="66" spans="1:9" ht="16.5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37008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62</v>
      </c>
      <c r="C4" s="758">
        <f>Weather_Input!C5</f>
        <v>42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62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62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62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-6.0439999999999996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62</v>
      </c>
      <c r="C5" s="266">
        <f>Weather_Input!C5</f>
        <v>42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320</v>
      </c>
      <c r="C8" s="274">
        <f>NSG_Deliveries!C5/1000</f>
        <v>62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13.519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-3.1110000000000184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0.20899999999999999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10.499000000000001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-246.87599999999998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73.124000000000024</v>
      </c>
      <c r="C20" s="295">
        <f>C8+C18+C19</f>
        <v>62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2.3361000000000001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75.460100000000025</v>
      </c>
      <c r="C23" s="301">
        <f>C20</f>
        <v>62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-112.578</v>
      </c>
      <c r="C32" s="315">
        <f>-NSG_Supplies!R7/1000</f>
        <v>-52.905000000000001</v>
      </c>
      <c r="D32" s="315">
        <f>B32</f>
        <v>-112.578</v>
      </c>
      <c r="E32" s="315">
        <f>C32</f>
        <v>-52.905000000000001</v>
      </c>
      <c r="F32" s="315">
        <f>B32</f>
        <v>-112.578</v>
      </c>
      <c r="G32" s="315">
        <f>C32</f>
        <v>-52.905000000000001</v>
      </c>
      <c r="H32" s="320">
        <f>B32</f>
        <v>-112.578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-27.905000000000001</v>
      </c>
      <c r="D33" s="315">
        <f>B33</f>
        <v>0</v>
      </c>
      <c r="E33" s="315">
        <f>C33</f>
        <v>-27.905000000000001</v>
      </c>
      <c r="F33" s="315">
        <f>B33</f>
        <v>0</v>
      </c>
      <c r="G33" s="315">
        <f>C33</f>
        <v>-27.905000000000001</v>
      </c>
      <c r="H33" s="320">
        <f>B33</f>
        <v>0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57.781999999999996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-6.0439999999999996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155.74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0.20899999999999999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2.3361000000000001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2.3361000000000001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0.20899999999999999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152.62899999999999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155.74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-3.1110000000000184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57.781999999999996</v>
      </c>
      <c r="D97" s="602"/>
      <c r="E97" s="614">
        <f>+C97</f>
        <v>57.781999999999996</v>
      </c>
      <c r="F97" s="602"/>
      <c r="G97" s="614">
        <f>+C97</f>
        <v>57.781999999999996</v>
      </c>
      <c r="H97" s="602"/>
      <c r="I97" s="285">
        <f>+C97</f>
        <v>57.781999999999996</v>
      </c>
    </row>
    <row r="98" spans="1:9" ht="15">
      <c r="A98" s="493" t="s">
        <v>60</v>
      </c>
      <c r="B98" s="282" t="s">
        <v>11</v>
      </c>
      <c r="C98" s="623">
        <f>B149</f>
        <v>0.20899999999999999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152.62899999999999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10.499000000000001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57.781999999999996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57.781999999999996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155.74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0.20899999999999999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2.3361000000000001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0.20899999999999999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152.62899999999999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152.62899999999999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37009.464391550922</v>
      </c>
      <c r="F22" s="164" t="s">
        <v>272</v>
      </c>
      <c r="G22" s="191">
        <f ca="1">NOW()</f>
        <v>37009.464391550922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37009.464391550922</v>
      </c>
      <c r="F22" s="164" t="s">
        <v>272</v>
      </c>
      <c r="G22" s="191">
        <f ca="1">NOW()</f>
        <v>37009.464391550922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37008</v>
      </c>
      <c r="C5" s="15"/>
      <c r="D5" s="22" t="s">
        <v>290</v>
      </c>
      <c r="E5" s="23">
        <f>Weather_Input!B5</f>
        <v>62</v>
      </c>
      <c r="F5" s="24" t="s">
        <v>291</v>
      </c>
      <c r="G5" s="25">
        <f>Weather_Input!H5</f>
        <v>13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42</v>
      </c>
      <c r="F6" s="24" t="s">
        <v>293</v>
      </c>
      <c r="G6" s="25">
        <f>Weather_Input!F5</f>
        <v>358</v>
      </c>
      <c r="H6" s="26" t="s">
        <v>294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52.3</v>
      </c>
      <c r="F7" s="24" t="s">
        <v>296</v>
      </c>
      <c r="G7" s="25">
        <f>Weather_Input!G5</f>
        <v>6391</v>
      </c>
      <c r="H7" s="26" t="s">
        <v>296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MOSTLY SUNNY WITH A WARM BREEZE.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37009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7.5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48</v>
      </c>
      <c r="F11" s="24" t="s">
        <v>293</v>
      </c>
      <c r="G11" s="25">
        <f>IF(DAY(B10)=1,G10,G6+G10)</f>
        <v>365.5</v>
      </c>
      <c r="H11" s="30" t="s">
        <v>294</v>
      </c>
      <c r="I11" s="27">
        <f ca="1">G11-(VLOOKUP(B10,DD_Normal_Data,CELL("Col",C12),FALSE))</f>
        <v>-113.5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57.5</v>
      </c>
      <c r="F12" s="24" t="s">
        <v>296</v>
      </c>
      <c r="G12" s="25">
        <f>IF(AND(DAY(B10)=1,MONTH(B10)=8),G10,G7+G10)</f>
        <v>6398.5</v>
      </c>
      <c r="H12" s="26" t="s">
        <v>296</v>
      </c>
      <c r="I12" s="27">
        <f ca="1">G12-(VLOOKUP(B10,DD_Normal_Data,CELL("Col",D9),FALSE))</f>
        <v>271.5</v>
      </c>
    </row>
    <row r="13" spans="1:109" ht="15">
      <c r="A13" s="18"/>
      <c r="B13" s="21"/>
      <c r="C13" s="15"/>
      <c r="D13" s="32" t="str">
        <f>IF(Weather_Input!I6=""," ",Weather_Input!I6)</f>
        <v xml:space="preserve">  INTERVALS OF CLOUDS AND SUN.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37010</v>
      </c>
      <c r="C15" s="15"/>
      <c r="D15" s="22" t="s">
        <v>290</v>
      </c>
      <c r="E15" s="23">
        <f>Weather_Input!B7</f>
        <v>78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365.5</v>
      </c>
      <c r="H16" s="30" t="s">
        <v>294</v>
      </c>
      <c r="I16" s="27">
        <f ca="1">G16-(VLOOKUP(B15,DD_Normal_Data,CELL("Col",C17),FALSE))</f>
        <v>-125.5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67</v>
      </c>
      <c r="F17" s="24" t="s">
        <v>296</v>
      </c>
      <c r="G17" s="25">
        <f>IF(AND(DAY(B15)=1,MONTH(B15)=8),G15,G12+G15)</f>
        <v>6398.5</v>
      </c>
      <c r="H17" s="26" t="s">
        <v>296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 xml:space="preserve">  SEVERAL HOURS OF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37011</v>
      </c>
      <c r="C20" s="15"/>
      <c r="D20" s="22" t="s">
        <v>290</v>
      </c>
      <c r="E20" s="23">
        <f>Weather_Input!B8</f>
        <v>82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293</v>
      </c>
      <c r="G21" s="25">
        <f>IF(DAY(B20)=1,G20,G16+G20)</f>
        <v>365.5</v>
      </c>
      <c r="H21" s="30" t="s">
        <v>294</v>
      </c>
      <c r="I21" s="27">
        <f ca="1">G21-(VLOOKUP(B20,DD_Normal_Data,CELL("Col",C22),FALSE))</f>
        <v>-137.5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70</v>
      </c>
      <c r="F22" s="24" t="s">
        <v>296</v>
      </c>
      <c r="G22" s="25">
        <f>IF(AND(DAY(B20)=1,MONTH(B20)=8),G20,G17+G20)</f>
        <v>6398.5</v>
      </c>
      <c r="H22" s="26" t="s">
        <v>296</v>
      </c>
      <c r="I22" s="27">
        <f ca="1">G22-(VLOOKUP(B20,DD_Normal_Data,CELL("Col",D19),FALSE))</f>
        <v>247.5</v>
      </c>
    </row>
    <row r="23" spans="1:109" ht="15">
      <c r="A23" s="18"/>
      <c r="B23" s="21"/>
      <c r="C23" s="15"/>
      <c r="D23" s="32" t="str">
        <f>IF(Weather_Input!I8=""," ",Weather_Input!I8)</f>
        <v xml:space="preserve">  SOME SUNSHINE WITH A CHANCE OF A THUNDERSTORM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37012</v>
      </c>
      <c r="C25" s="15"/>
      <c r="D25" s="22" t="s">
        <v>290</v>
      </c>
      <c r="E25" s="23">
        <f>Weather_Input!B9</f>
        <v>84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64</v>
      </c>
      <c r="F26" s="24" t="s">
        <v>293</v>
      </c>
      <c r="G26" s="25">
        <f>IF(DAY(B25)=1,G25,G21+G25)</f>
        <v>0</v>
      </c>
      <c r="H26" s="30" t="s">
        <v>294</v>
      </c>
      <c r="I26" s="27">
        <f ca="1">G26-(VLOOKUP(B25,DD_Normal_Data,CELL("Col",C27),FALSE))</f>
        <v>-11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74</v>
      </c>
      <c r="F27" s="24" t="s">
        <v>296</v>
      </c>
      <c r="G27" s="25">
        <f>IF(AND(DAY(B25)=1,MONTH(B25)=8),G25,G22+G25)</f>
        <v>6398.5</v>
      </c>
      <c r="H27" s="26" t="s">
        <v>296</v>
      </c>
      <c r="I27" s="27">
        <f ca="1">G27-(VLOOKUP(B25,DD_Normal_Data,CELL("Col",D24),FALSE))</f>
        <v>236.5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37013</v>
      </c>
      <c r="C30" s="15"/>
      <c r="D30" s="22" t="s">
        <v>290</v>
      </c>
      <c r="E30" s="23">
        <f>Weather_Input!B10</f>
        <v>84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64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74</v>
      </c>
      <c r="F32" s="24" t="s">
        <v>296</v>
      </c>
      <c r="G32" s="25">
        <f>IF(AND(DAY(B30)=1,MONTH(B30)=8),G30,G27+G30)</f>
        <v>6398.5</v>
      </c>
      <c r="H32" s="26" t="s">
        <v>296</v>
      </c>
      <c r="I32" s="27">
        <f ca="1">G32-(VLOOKUP(B30,DD_Normal_Data,CELL("Col",D29),FALSE))</f>
        <v>225.5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37008</v>
      </c>
      <c r="C36" s="91">
        <f>B10</f>
        <v>37009</v>
      </c>
      <c r="D36" s="91">
        <f>B15</f>
        <v>37010</v>
      </c>
      <c r="E36" s="91">
        <f xml:space="preserve">       B20</f>
        <v>37011</v>
      </c>
      <c r="F36" s="91">
        <f>B25</f>
        <v>37012</v>
      </c>
      <c r="G36" s="91">
        <f>B30</f>
        <v>37013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301</v>
      </c>
      <c r="B38" s="41">
        <f>PGL_6_Day_Report!D30</f>
        <v>588.30809999999997</v>
      </c>
      <c r="C38" s="41">
        <f>PGL_6_Day_Report!E30</f>
        <v>589.54</v>
      </c>
      <c r="D38" s="41">
        <f>PGL_6_Day_Report!F30</f>
        <v>525.67849999999999</v>
      </c>
      <c r="E38" s="41">
        <f>PGL_6_Day_Report!G30</f>
        <v>553.67950000000008</v>
      </c>
      <c r="F38" s="41">
        <f>PGL_6_Day_Report!H30</f>
        <v>453.24499999999995</v>
      </c>
      <c r="G38" s="41">
        <f>PGL_6_Day_Report!I30</f>
        <v>443.04999999999995</v>
      </c>
      <c r="H38" s="14"/>
      <c r="I38" s="15"/>
    </row>
    <row r="39" spans="1:9" ht="15">
      <c r="A39" s="42" t="s">
        <v>109</v>
      </c>
      <c r="B39" s="41">
        <f>SUM(PGL_Supplies!Z7:AE7)/1000</f>
        <v>415.71899999999999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419.15199999999999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40.630000000000003</v>
      </c>
      <c r="C41" s="41">
        <f>SUM(PGL_Requirements!R7:U7)/1000</f>
        <v>40.630000000000003</v>
      </c>
      <c r="D41" s="41">
        <f>SUM(PGL_Requirements!R7:U7)/1000</f>
        <v>40.630000000000003</v>
      </c>
      <c r="E41" s="41">
        <f>SUM(PGL_Requirements!R7:U7)/1000</f>
        <v>40.630000000000003</v>
      </c>
      <c r="F41" s="41">
        <f>SUM(PGL_Requirements!R7:U7)/1000</f>
        <v>40.630000000000003</v>
      </c>
      <c r="G41" s="41">
        <f>SUM(PGL_Requirements!R7:U7)/1000</f>
        <v>40.630000000000003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37008</v>
      </c>
      <c r="C44" s="91">
        <f t="shared" si="0"/>
        <v>37009</v>
      </c>
      <c r="D44" s="91">
        <f t="shared" si="0"/>
        <v>37010</v>
      </c>
      <c r="E44" s="91">
        <f t="shared" si="0"/>
        <v>37011</v>
      </c>
      <c r="F44" s="91">
        <f t="shared" si="0"/>
        <v>37012</v>
      </c>
      <c r="G44" s="91">
        <f t="shared" si="0"/>
        <v>37013</v>
      </c>
      <c r="H44" s="14"/>
      <c r="I44" s="15"/>
    </row>
    <row r="45" spans="1:9" ht="15">
      <c r="A45" s="15" t="s">
        <v>56</v>
      </c>
      <c r="B45" s="41">
        <f ca="1">NSG_6_Day_Report!D6</f>
        <v>62</v>
      </c>
      <c r="C45" s="41">
        <f ca="1">NSG_6_Day_Report!E6</f>
        <v>53</v>
      </c>
      <c r="D45" s="41">
        <f ca="1">NSG_6_Day_Report!F6</f>
        <v>44</v>
      </c>
      <c r="E45" s="41">
        <f ca="1">NSG_6_Day_Report!G6</f>
        <v>46</v>
      </c>
      <c r="F45" s="41">
        <f ca="1">NSG_6_Day_Report!H6</f>
        <v>42</v>
      </c>
      <c r="G45" s="41">
        <f ca="1">NSG_6_Day_Report!I6</f>
        <v>42</v>
      </c>
      <c r="H45" s="14"/>
      <c r="I45" s="15"/>
    </row>
    <row r="46" spans="1:9" ht="15">
      <c r="A46" s="42" t="s">
        <v>301</v>
      </c>
      <c r="B46" s="41">
        <f ca="1">NSG_6_Day_Report!D19</f>
        <v>82</v>
      </c>
      <c r="C46" s="41">
        <f ca="1">NSG_6_Day_Report!E19</f>
        <v>73</v>
      </c>
      <c r="D46" s="41">
        <f ca="1">NSG_6_Day_Report!F19</f>
        <v>64</v>
      </c>
      <c r="E46" s="41">
        <f ca="1">NSG_6_Day_Report!G19</f>
        <v>66</v>
      </c>
      <c r="F46" s="41">
        <f ca="1">NSG_6_Day_Report!H19</f>
        <v>62</v>
      </c>
      <c r="G46" s="41">
        <f ca="1">NSG_6_Day_Report!I19</f>
        <v>62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37008</v>
      </c>
      <c r="C52" s="91">
        <f t="shared" si="1"/>
        <v>37009</v>
      </c>
      <c r="D52" s="91">
        <f t="shared" si="1"/>
        <v>37010</v>
      </c>
      <c r="E52" s="91">
        <f t="shared" si="1"/>
        <v>37011</v>
      </c>
      <c r="F52" s="91">
        <f t="shared" si="1"/>
        <v>37012</v>
      </c>
      <c r="G52" s="91">
        <f t="shared" si="1"/>
        <v>37013</v>
      </c>
      <c r="H52" s="14"/>
      <c r="I52" s="15"/>
    </row>
    <row r="53" spans="1:9" ht="15">
      <c r="A53" s="94" t="s">
        <v>305</v>
      </c>
      <c r="B53" s="41">
        <f>PGL_Requirements!P7/1000</f>
        <v>155.74</v>
      </c>
      <c r="C53" s="41">
        <f>PGL_Requirements!P8/1000</f>
        <v>187</v>
      </c>
      <c r="D53" s="41">
        <f>PGL_Requirements!P9/1000</f>
        <v>240</v>
      </c>
      <c r="E53" s="41">
        <f>PGL_Requirements!P10/1000</f>
        <v>240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37009</v>
      </c>
      <c r="C5" s="1145">
        <f>Weather_Input!A7</f>
        <v>37010</v>
      </c>
      <c r="D5" s="1145">
        <f>Weather_Input!A8</f>
        <v>37011</v>
      </c>
      <c r="E5" s="1145">
        <f>Weather_Input!A9</f>
        <v>37012</v>
      </c>
      <c r="F5" s="1146">
        <f>Weather_Input!A10</f>
        <v>37013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77.47999999999999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37009</v>
      </c>
      <c r="C22" s="1159">
        <f t="shared" si="0"/>
        <v>37010</v>
      </c>
      <c r="D22" s="1159">
        <f t="shared" si="0"/>
        <v>37011</v>
      </c>
      <c r="E22" s="1159">
        <f t="shared" si="0"/>
        <v>37012</v>
      </c>
      <c r="F22" s="1160">
        <f t="shared" si="0"/>
        <v>37013</v>
      </c>
      <c r="G22" s="100"/>
    </row>
    <row r="23" spans="1:7">
      <c r="A23" s="100" t="s">
        <v>313</v>
      </c>
      <c r="B23" s="1153">
        <f>NSG_Supplies!R8/1000+NSG_Supplies!F8/1000-NSG_Requirements!H8/1000</f>
        <v>53.005000000000003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37009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187</v>
      </c>
      <c r="I4" s="176">
        <f>AVERAGE(H4/1.025)</f>
        <v>182.43902439024393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7.791666666666667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159.39099999999999</v>
      </c>
      <c r="D11" s="789"/>
      <c r="E11" s="1130"/>
      <c r="F11" s="435" t="s">
        <v>379</v>
      </c>
      <c r="G11" s="447">
        <f>G8+G10</f>
        <v>242.78200000000001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40</v>
      </c>
      <c r="D15" s="60"/>
      <c r="E15" s="161"/>
      <c r="F15" s="782" t="s">
        <v>564</v>
      </c>
      <c r="G15" s="447">
        <f>SUM(G11)-G16</f>
        <v>222.392</v>
      </c>
      <c r="H15" s="438" t="s">
        <v>11</v>
      </c>
      <c r="I15" s="440">
        <f>AVERAGE(G15/24)</f>
        <v>9.2663333333333338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20.39</v>
      </c>
      <c r="H16" s="448" t="s">
        <v>11</v>
      </c>
      <c r="I16" s="440">
        <f>AVERAGE(G16/24)</f>
        <v>0.84958333333333336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4.62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4.62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37009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159.39099999999999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53.005000000000003</v>
      </c>
      <c r="N19" s="1057"/>
    </row>
    <row r="20" spans="1:17" ht="17.25" customHeight="1">
      <c r="A20" s="954">
        <f>Billy_Sheet!G15</f>
        <v>222.392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270</v>
      </c>
      <c r="L26" s="932" t="s">
        <v>691</v>
      </c>
      <c r="M26" s="954">
        <f>NSG_Deliveries!C6/1000</f>
        <v>53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185.39300000000003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37008</v>
      </c>
      <c r="G29" s="954">
        <f>PGL_Requirements!H7/1000</f>
        <v>21.32</v>
      </c>
      <c r="H29" s="933"/>
      <c r="J29" s="935" t="s">
        <v>695</v>
      </c>
      <c r="K29" s="954">
        <f>PGL_Supplies!AC8/1000+PGL_Supplies!L8/1000-PGL_Requirements!O8/1000</f>
        <v>77.47999999999999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37009</v>
      </c>
      <c r="G30" s="954">
        <f>PGL_Requirements!H8/1000</f>
        <v>20.39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-7.1269999999999527</v>
      </c>
    </row>
    <row r="32" spans="1:17">
      <c r="A32" s="954">
        <f>PGL_Supplies!H8/1000</f>
        <v>1</v>
      </c>
      <c r="G32" s="954">
        <f>PGL_Requirements!P8/1000</f>
        <v>187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392.78300000000002</v>
      </c>
      <c r="B40" s="948"/>
      <c r="C40" s="947"/>
      <c r="D40" s="948"/>
      <c r="E40" s="948"/>
      <c r="F40" s="1062"/>
      <c r="G40" s="1062">
        <f>SUM(G30:G35)</f>
        <v>207.39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185.39300000000003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37008</v>
      </c>
      <c r="B5" s="11">
        <v>62</v>
      </c>
      <c r="C5" s="49">
        <v>42</v>
      </c>
      <c r="D5" s="49">
        <v>9.1</v>
      </c>
      <c r="E5" s="11">
        <v>52.3</v>
      </c>
      <c r="F5" s="11">
        <v>358</v>
      </c>
      <c r="G5" s="11">
        <v>6391</v>
      </c>
      <c r="H5" s="11">
        <v>13</v>
      </c>
      <c r="I5" s="911" t="s">
        <v>794</v>
      </c>
      <c r="J5" s="911" t="s">
        <v>795</v>
      </c>
      <c r="K5" s="11">
        <v>3</v>
      </c>
      <c r="L5" s="11">
        <v>1</v>
      </c>
      <c r="N5" s="15" t="str">
        <f>I5&amp;" "&amp;I5</f>
        <v xml:space="preserve">  TODAY - MOSTLY SUNNY WITH A WARM BREEZE.   TODAY - MOSTLY SUNNY WITH A WARM BREEZE.</v>
      </c>
      <c r="AE5" s="15">
        <v>1</v>
      </c>
      <c r="AH5" s="15" t="s">
        <v>34</v>
      </c>
    </row>
    <row r="6" spans="1:34" ht="16.5" customHeight="1">
      <c r="A6" s="88">
        <f>A5+1</f>
        <v>37009</v>
      </c>
      <c r="B6" s="11">
        <v>67</v>
      </c>
      <c r="C6" s="49">
        <v>48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  INTERVALS OF CLOUDS AND SUN.  </v>
      </c>
      <c r="AE6" s="15">
        <v>1</v>
      </c>
      <c r="AH6" s="15" t="s">
        <v>35</v>
      </c>
    </row>
    <row r="7" spans="1:34" ht="16.5" customHeight="1">
      <c r="A7" s="88">
        <f>A6+1</f>
        <v>37010</v>
      </c>
      <c r="B7" s="11">
        <v>78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793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SEVERAL HOURS OF SUNSHINE.  </v>
      </c>
    </row>
    <row r="8" spans="1:34" ht="16.5" customHeight="1">
      <c r="A8" s="88">
        <f>A7+1</f>
        <v>37011</v>
      </c>
      <c r="B8" s="11">
        <v>82</v>
      </c>
      <c r="C8" s="49">
        <v>58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797</v>
      </c>
      <c r="J8" s="911" t="s">
        <v>11</v>
      </c>
      <c r="K8" s="11">
        <v>3</v>
      </c>
      <c r="L8" s="11"/>
      <c r="N8" s="15" t="str">
        <f>I8&amp;" "&amp;J8</f>
        <v xml:space="preserve">  SOME SUNSHINE WITH A CHANCE OF A THUNDERSTORM IN THE AFTERNOON.  </v>
      </c>
    </row>
    <row r="9" spans="1:34" ht="16.5" customHeight="1">
      <c r="A9" s="88">
        <f>A8+1</f>
        <v>37012</v>
      </c>
      <c r="B9" s="11">
        <v>84</v>
      </c>
      <c r="C9" s="49">
        <v>64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37013</v>
      </c>
      <c r="B10" s="11">
        <v>84</v>
      </c>
      <c r="C10" s="49">
        <v>64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798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27" zoomScale="75" workbookViewId="0">
      <selection activeCell="E27" sqref="E27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330.21600000000001</v>
      </c>
      <c r="C2" s="60"/>
      <c r="D2" s="121" t="s">
        <v>325</v>
      </c>
      <c r="E2" s="426">
        <f>Weather_Input!A5</f>
        <v>37008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96.165000000000006</v>
      </c>
      <c r="C5" s="64"/>
      <c r="D5" s="59" t="s">
        <v>582</v>
      </c>
      <c r="E5" s="154">
        <f>PGL_Deliveries!O5/1000</f>
        <v>7.9000000000000001E-2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181.59700000000001</v>
      </c>
      <c r="C6" s="169"/>
      <c r="D6" s="59" t="s">
        <v>583</v>
      </c>
      <c r="E6" s="154">
        <f>PGL_Deliveries!P5/1000</f>
        <v>0.86599999999999999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277.762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104.633</v>
      </c>
      <c r="C8" s="631"/>
      <c r="D8" s="117" t="s">
        <v>585</v>
      </c>
      <c r="E8" s="154">
        <f>PGL_Deliveries!N5/1000</f>
        <v>0.151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0.20200000000000001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4.2779999999999996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13.519</v>
      </c>
      <c r="C11" s="64"/>
      <c r="D11" s="117" t="s">
        <v>587</v>
      </c>
      <c r="E11" s="154">
        <f>PGL_Deliveries!R5/1000</f>
        <v>2.6880000000000002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1.6220000000000001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251.89099999999999</v>
      </c>
      <c r="C13" s="64"/>
      <c r="D13" s="117" t="s">
        <v>219</v>
      </c>
      <c r="E13" s="154">
        <f>PGL_Deliveries!F5/1000</f>
        <v>36.340000000000003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1.94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-102.78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0.27700000000000002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10.499000000000001</v>
      </c>
      <c r="C17" s="169" t="s">
        <v>11</v>
      </c>
      <c r="D17" s="1162" t="s">
        <v>222</v>
      </c>
      <c r="E17" s="210">
        <f>PGL_Deliveries!M5/1000</f>
        <v>4.0110000000000001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277.76200000000006</v>
      </c>
      <c r="C18" s="169"/>
      <c r="D18" s="179" t="s">
        <v>592</v>
      </c>
      <c r="E18" s="178">
        <f>SUM(E5:E17)</f>
        <v>52.454000000000001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152.62899999999999</v>
      </c>
      <c r="C19" s="631"/>
      <c r="D19" s="117" t="s">
        <v>320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</f>
        <v>2.3361000000000001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54.796100000000003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152.62899999999999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57.781999999999996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-PGL_Supplies!M7/1000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112.578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155.74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0.20899999999999999</v>
      </c>
      <c r="C40" s="64"/>
      <c r="D40" s="212" t="s">
        <v>224</v>
      </c>
      <c r="E40" s="211">
        <f>SUM(E22:E37)-SUM(F23:F39)-E33</f>
        <v>54.796000000000006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53.381</v>
      </c>
      <c r="C42" s="64"/>
      <c r="D42" s="251" t="s">
        <v>529</v>
      </c>
      <c r="E42" s="808">
        <f>PGL_Supplies!AB7/1000</f>
        <v>261.98099999999999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2.3361000000000001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42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>
        <f>Weather_Input!E5</f>
        <v>52.3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9.1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624</v>
      </c>
      <c r="B49" s="154">
        <f>PGL_Deliveries!AM5/1000</f>
        <v>1.02</v>
      </c>
      <c r="C49" s="162"/>
      <c r="D49" s="60" t="s">
        <v>791</v>
      </c>
      <c r="E49" s="154">
        <f>PGL_Deliveries!AJ5/1000</f>
        <v>8.3209999999999997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5.1980000000000004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opLeftCell="A11" zoomScale="75" workbookViewId="0">
      <selection activeCell="A37" sqref="A37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58.948999999999998</v>
      </c>
      <c r="C3" s="120"/>
      <c r="D3" s="230" t="s">
        <v>325</v>
      </c>
      <c r="E3" s="429">
        <f>Weather_Input!A5</f>
        <v>37008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58.948999999999998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58.948999999999998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6.0439999999999996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58.948999999999998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37008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137405</v>
      </c>
      <c r="O6" s="204">
        <v>0</v>
      </c>
      <c r="P6" s="204">
        <v>44609434</v>
      </c>
      <c r="Q6" s="204">
        <v>15045098</v>
      </c>
      <c r="R6" s="204">
        <v>29564336</v>
      </c>
      <c r="S6" s="204">
        <v>0</v>
      </c>
    </row>
    <row r="7" spans="1:19">
      <c r="A7" s="4">
        <f>B1</f>
        <v>37008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152629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44762063</v>
      </c>
      <c r="Q7">
        <f>IF(O7&gt;0,Q6+O7,Q6)</f>
        <v>15045098</v>
      </c>
      <c r="R7">
        <f>IF(P7&gt;Q7,P7-Q7,0)</f>
        <v>29716965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F1" zoomScale="75" workbookViewId="0">
      <selection activeCell="AR6" sqref="AR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37008</v>
      </c>
      <c r="B5" s="1">
        <f>(Weather_Input!B5+Weather_Input!C5)/2</f>
        <v>52</v>
      </c>
      <c r="C5" s="912">
        <v>320000</v>
      </c>
      <c r="D5" s="913">
        <v>96165</v>
      </c>
      <c r="E5" s="913">
        <v>0</v>
      </c>
      <c r="F5" s="913">
        <v>36340</v>
      </c>
      <c r="G5" s="913">
        <v>1622</v>
      </c>
      <c r="H5" s="913">
        <v>1940</v>
      </c>
      <c r="I5" s="913">
        <v>181597</v>
      </c>
      <c r="J5" s="913">
        <v>0</v>
      </c>
      <c r="K5" s="913">
        <v>0</v>
      </c>
      <c r="L5" s="913">
        <v>277</v>
      </c>
      <c r="M5" s="913">
        <v>4011</v>
      </c>
      <c r="N5" s="913">
        <v>151</v>
      </c>
      <c r="O5" s="913">
        <v>79</v>
      </c>
      <c r="P5" s="913">
        <v>866</v>
      </c>
      <c r="Q5" s="913">
        <v>202</v>
      </c>
      <c r="R5" s="913">
        <v>2688</v>
      </c>
      <c r="S5" s="918">
        <v>4278</v>
      </c>
      <c r="T5" s="1161">
        <v>0</v>
      </c>
      <c r="U5" s="912">
        <f>SUM(D5:S5)-T5</f>
        <v>330216</v>
      </c>
      <c r="V5" s="912">
        <v>104633</v>
      </c>
      <c r="W5" s="11">
        <v>0</v>
      </c>
      <c r="X5" s="11">
        <v>0</v>
      </c>
      <c r="Y5" s="11">
        <v>0</v>
      </c>
      <c r="Z5" s="11">
        <v>251891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53381</v>
      </c>
      <c r="AG5" s="11">
        <v>0</v>
      </c>
      <c r="AH5" s="11">
        <v>0</v>
      </c>
      <c r="AI5" s="11">
        <v>6</v>
      </c>
      <c r="AJ5" s="11">
        <v>8321</v>
      </c>
      <c r="AK5" s="11">
        <v>5198</v>
      </c>
      <c r="AL5" s="11">
        <v>0</v>
      </c>
      <c r="AM5" s="1">
        <v>1020</v>
      </c>
      <c r="AN5" s="1"/>
      <c r="AO5" s="1">
        <v>0</v>
      </c>
      <c r="AP5" s="1">
        <v>10499</v>
      </c>
      <c r="AQ5" s="1">
        <v>0</v>
      </c>
      <c r="AR5" s="1">
        <v>0</v>
      </c>
      <c r="AS5" s="1">
        <v>0</v>
      </c>
      <c r="AT5" s="1">
        <v>209</v>
      </c>
      <c r="AU5" s="1">
        <v>155740</v>
      </c>
      <c r="AV5" s="1">
        <v>630</v>
      </c>
      <c r="AW5" s="627">
        <f>AU5*0.015</f>
        <v>2336.1</v>
      </c>
      <c r="AX5" s="1">
        <v>0</v>
      </c>
      <c r="AY5" s="1"/>
      <c r="AZ5" s="1">
        <v>1622</v>
      </c>
      <c r="BA5" s="1">
        <v>1565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37009</v>
      </c>
      <c r="B6" s="931">
        <f>(Weather_Input!B6+Weather_Input!C6)/2</f>
        <v>57.5</v>
      </c>
      <c r="C6" s="912">
        <v>270000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37010</v>
      </c>
      <c r="B7" s="931">
        <f>(Weather_Input!B7+Weather_Input!C7)/2</f>
        <v>67</v>
      </c>
      <c r="C7" s="912">
        <v>235000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37011</v>
      </c>
      <c r="B8" s="931">
        <f>(Weather_Input!B8+Weather_Input!C8)/2</f>
        <v>70</v>
      </c>
      <c r="C8" s="912">
        <v>250000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37012</v>
      </c>
      <c r="B9" s="931">
        <f>(Weather_Input!B9+Weather_Input!C9)/2</f>
        <v>74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37013</v>
      </c>
      <c r="B10" s="931">
        <f>(Weather_Input!B10+Weather_Input!C10)/2</f>
        <v>74</v>
      </c>
      <c r="C10" s="912">
        <v>240000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37008</v>
      </c>
      <c r="B5" s="1">
        <f>(Weather_Input!B5+Weather_Input!C5)/2</f>
        <v>52</v>
      </c>
      <c r="C5" s="912">
        <v>62000</v>
      </c>
      <c r="D5" s="912">
        <v>0</v>
      </c>
      <c r="E5" s="912">
        <v>58949</v>
      </c>
      <c r="F5" s="912">
        <v>0</v>
      </c>
      <c r="G5" s="912">
        <v>0</v>
      </c>
      <c r="H5" s="920">
        <f>SUM(D5:G5)</f>
        <v>58949</v>
      </c>
      <c r="I5" s="1">
        <v>1009</v>
      </c>
      <c r="J5" s="1" t="s">
        <v>11</v>
      </c>
      <c r="K5" s="1">
        <v>0</v>
      </c>
      <c r="L5" s="1">
        <v>6044</v>
      </c>
      <c r="M5" s="1">
        <v>20000</v>
      </c>
      <c r="N5" s="1">
        <v>0</v>
      </c>
    </row>
    <row r="6" spans="1:14">
      <c r="A6" s="12">
        <f>A5+1</f>
        <v>37009</v>
      </c>
      <c r="B6" s="931">
        <f>(Weather_Input!B6+Weather_Input!C6)/2</f>
        <v>57.5</v>
      </c>
      <c r="C6" s="912">
        <v>53000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37010</v>
      </c>
      <c r="B7" s="931">
        <f>(Weather_Input!B7+Weather_Input!C7)/2</f>
        <v>67</v>
      </c>
      <c r="C7" s="912">
        <v>44000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37011</v>
      </c>
      <c r="B8" s="931">
        <f>(Weather_Input!B8+Weather_Input!C8)/2</f>
        <v>70</v>
      </c>
      <c r="C8" s="912">
        <v>46000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37012</v>
      </c>
      <c r="B9" s="931">
        <f>(Weather_Input!B9+Weather_Input!C9)/2</f>
        <v>74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37013</v>
      </c>
      <c r="B10" s="931">
        <f>(Weather_Input!B10+Weather_Input!C10)/2</f>
        <v>74</v>
      </c>
      <c r="C10" s="912">
        <v>42000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O7" sqref="O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37008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0</v>
      </c>
      <c r="H7" s="923">
        <v>21320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57782</v>
      </c>
      <c r="P7" s="625">
        <v>155740</v>
      </c>
      <c r="Q7" s="627">
        <f t="shared" ref="Q7:Q12" si="0">P7*0.015</f>
        <v>2336.1</v>
      </c>
      <c r="R7" s="625">
        <v>630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37008</v>
      </c>
    </row>
    <row r="8" spans="1:89" s="1" customFormat="1" ht="12.75">
      <c r="A8" s="833">
        <f>A7+1</f>
        <v>37009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20390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54270</v>
      </c>
      <c r="P8" s="625">
        <v>187000</v>
      </c>
      <c r="Q8" s="627">
        <f t="shared" si="0"/>
        <v>2805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37009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37010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3617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240000</v>
      </c>
      <c r="Q9" s="627">
        <f t="shared" si="0"/>
        <v>3600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37010</v>
      </c>
      <c r="AN9" s="624"/>
    </row>
    <row r="10" spans="1:89" s="1" customFormat="1" ht="12.75">
      <c r="A10" s="833">
        <f>A9+1</f>
        <v>37011</v>
      </c>
      <c r="B10" s="921">
        <v>0</v>
      </c>
      <c r="C10" s="922">
        <v>0</v>
      </c>
      <c r="D10" s="625">
        <v>4620</v>
      </c>
      <c r="E10" s="625">
        <v>0</v>
      </c>
      <c r="F10" s="921">
        <v>0</v>
      </c>
      <c r="G10" s="921">
        <v>0</v>
      </c>
      <c r="H10" s="923">
        <v>29619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37011</v>
      </c>
    </row>
    <row r="11" spans="1:89" s="1" customFormat="1" ht="12.75">
      <c r="A11" s="833">
        <f>A10+1</f>
        <v>37012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20390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37012</v>
      </c>
    </row>
    <row r="12" spans="1:89" s="1" customFormat="1" ht="12.75">
      <c r="A12" s="833">
        <f>A11+1</f>
        <v>37013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37008</v>
      </c>
      <c r="B7" s="627">
        <v>10499</v>
      </c>
      <c r="C7" s="628">
        <v>0</v>
      </c>
      <c r="D7" s="627">
        <v>0</v>
      </c>
      <c r="E7" s="627">
        <v>4000</v>
      </c>
      <c r="F7" s="627">
        <v>0</v>
      </c>
      <c r="G7" s="921">
        <v>0</v>
      </c>
      <c r="H7" s="625">
        <v>209</v>
      </c>
      <c r="I7" s="625">
        <v>13519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225760</v>
      </c>
      <c r="W7" s="626">
        <v>0</v>
      </c>
      <c r="X7" s="624">
        <v>0</v>
      </c>
      <c r="Y7" s="924">
        <v>152629</v>
      </c>
      <c r="Z7" s="626">
        <v>41160</v>
      </c>
      <c r="AA7" s="1">
        <v>0</v>
      </c>
      <c r="AB7" s="624">
        <v>261981</v>
      </c>
      <c r="AC7" s="624">
        <v>112578</v>
      </c>
      <c r="AD7" s="624">
        <v>0</v>
      </c>
      <c r="AE7" s="924">
        <v>0</v>
      </c>
      <c r="AF7" s="51">
        <f>Weather_Input!A5</f>
        <v>37008</v>
      </c>
      <c r="AI7" s="624"/>
      <c r="AJ7" s="624"/>
      <c r="AK7" s="624"/>
    </row>
    <row r="8" spans="1:37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37009</v>
      </c>
      <c r="AI8" s="624"/>
      <c r="AJ8" s="624"/>
      <c r="AK8" s="624"/>
    </row>
    <row r="9" spans="1:37" s="624" customFormat="1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37010</v>
      </c>
    </row>
    <row r="10" spans="1:37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4620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37011</v>
      </c>
      <c r="AI10" s="624"/>
      <c r="AJ10" s="624"/>
      <c r="AK10" s="624"/>
    </row>
    <row r="11" spans="1:37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37012</v>
      </c>
    </row>
    <row r="12" spans="1:37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37013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37008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37008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37009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37009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37010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37010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37011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37011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37012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37012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37013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37013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37008</v>
      </c>
      <c r="B7" s="627">
        <v>0</v>
      </c>
      <c r="C7" s="628">
        <v>0</v>
      </c>
      <c r="D7" s="627">
        <v>0</v>
      </c>
      <c r="E7" s="627">
        <v>0</v>
      </c>
      <c r="F7" s="627">
        <v>6044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37008</v>
      </c>
      <c r="W7" s="624"/>
      <c r="X7" s="624"/>
    </row>
    <row r="8" spans="1:24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3250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37009</v>
      </c>
      <c r="W8" s="624"/>
      <c r="X8" s="624"/>
    </row>
    <row r="9" spans="1:24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37010</v>
      </c>
      <c r="W9" s="624"/>
      <c r="X9" s="624"/>
    </row>
    <row r="10" spans="1:24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37011</v>
      </c>
      <c r="W10" s="624"/>
      <c r="X10" s="624"/>
    </row>
    <row r="11" spans="1:24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37012</v>
      </c>
      <c r="W11" s="624"/>
      <c r="X11" s="624"/>
    </row>
    <row r="12" spans="1:24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37013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37008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5.75" thickBot="1">
      <c r="A4" s="845"/>
      <c r="B4" s="846"/>
      <c r="C4" s="846"/>
      <c r="D4" s="466">
        <f>Weather_Input!A5</f>
        <v>37008</v>
      </c>
      <c r="E4" s="466">
        <f>Weather_Input!A6</f>
        <v>37009</v>
      </c>
      <c r="F4" s="466">
        <f>Weather_Input!A7</f>
        <v>37010</v>
      </c>
      <c r="G4" s="466">
        <f>Weather_Input!A8</f>
        <v>37011</v>
      </c>
      <c r="H4" s="466">
        <f>Weather_Input!A9</f>
        <v>37012</v>
      </c>
      <c r="I4" s="467">
        <f>Weather_Input!A10</f>
        <v>37013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62/42/52</v>
      </c>
      <c r="E5" s="468" t="str">
        <f>TEXT(Weather_Input!B6,"0")&amp;"/"&amp;TEXT(Weather_Input!C6,"0") &amp; "/" &amp; TEXT((Weather_Input!B6+Weather_Input!C6)/2,"0")</f>
        <v>67/48/58</v>
      </c>
      <c r="F5" s="468" t="str">
        <f>TEXT(Weather_Input!B7,"0")&amp;"/"&amp;TEXT(Weather_Input!C7,"0") &amp; "/" &amp; TEXT((Weather_Input!B7+Weather_Input!C7)/2,"0")</f>
        <v>78/56/67</v>
      </c>
      <c r="G5" s="468" t="str">
        <f>TEXT(Weather_Input!B8,"0")&amp;"/"&amp;TEXT(Weather_Input!C8,"0") &amp; "/" &amp; TEXT((Weather_Input!B8+Weather_Input!C8)/2,"0")</f>
        <v>82/58/70</v>
      </c>
      <c r="H5" s="468" t="str">
        <f>TEXT(Weather_Input!B9,"0")&amp;"/"&amp;TEXT(Weather_Input!C9,"0") &amp; "/" &amp; TEXT((Weather_Input!B9+Weather_Input!C9)/2,"0")</f>
        <v>84/64/74</v>
      </c>
      <c r="I5" s="469" t="str">
        <f>TEXT(Weather_Input!B10,"0")&amp;"/"&amp;TEXT(Weather_Input!C10,"0") &amp; "/" &amp; TEXT((Weather_Input!B10+Weather_Input!C10)/2,"0")</f>
        <v>84/64/74</v>
      </c>
    </row>
    <row r="6" spans="1:256" ht="15.75">
      <c r="A6" s="852" t="s">
        <v>139</v>
      </c>
      <c r="B6" s="840"/>
      <c r="C6" s="840"/>
      <c r="D6" s="468">
        <f>PGL_Deliveries!C5/1000</f>
        <v>320</v>
      </c>
      <c r="E6" s="468">
        <f>PGL_Deliveries!C6/1000</f>
        <v>270</v>
      </c>
      <c r="F6" s="468">
        <f>PGL_Deliveries!C7/1000</f>
        <v>235</v>
      </c>
      <c r="G6" s="468">
        <f>PGL_Deliveries!C8/1000</f>
        <v>250</v>
      </c>
      <c r="H6" s="468">
        <f>PGL_Deliveries!C9/1000</f>
        <v>240</v>
      </c>
      <c r="I6" s="469">
        <f>PGL_Deliveries!C10/1000</f>
        <v>240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10.66</v>
      </c>
      <c r="E7" s="468">
        <f>PGL_Requirements!H8/1000*0.5</f>
        <v>10.195</v>
      </c>
      <c r="F7" s="468">
        <f>PGL_Requirements!H9/1000*0.5</f>
        <v>1.8085</v>
      </c>
      <c r="G7" s="468">
        <f>PGL_Requirements!H10/1000*0.5</f>
        <v>14.8095</v>
      </c>
      <c r="H7" s="468">
        <f>PGL_Requirements!H11/1000*0.5</f>
        <v>10.195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155.74</v>
      </c>
      <c r="E13" s="468">
        <f>PGL_Requirements!P8/1000</f>
        <v>187</v>
      </c>
      <c r="F13" s="468">
        <f>PGL_Requirements!P9/1000</f>
        <v>240</v>
      </c>
      <c r="G13" s="468">
        <f>PGL_Requirements!P10/1000</f>
        <v>240</v>
      </c>
      <c r="H13" s="468">
        <f>PGL_Requirements!P11/1000</f>
        <v>160</v>
      </c>
      <c r="I13" s="469">
        <f>PGL_Requirements!P12/1000</f>
        <v>160</v>
      </c>
    </row>
    <row r="14" spans="1:256" ht="15.75">
      <c r="A14" s="849"/>
      <c r="B14" s="840"/>
      <c r="C14" s="840" t="s">
        <v>101</v>
      </c>
      <c r="D14" s="468">
        <f>PGL_Requirements!Q7/1000</f>
        <v>2.3361000000000001</v>
      </c>
      <c r="E14" s="468">
        <f>PGL_Requirements!Q8/1000</f>
        <v>2.8050000000000002</v>
      </c>
      <c r="F14" s="468">
        <f>PGL_Requirements!Q9/1000</f>
        <v>3.6</v>
      </c>
      <c r="G14" s="468">
        <f>PGL_Requirements!Q10/1000</f>
        <v>3.6</v>
      </c>
      <c r="H14" s="468">
        <f>PGL_Requirements!Q11/1000</f>
        <v>2.4</v>
      </c>
      <c r="I14" s="469">
        <f>PGL_Requirements!Q12/1000</f>
        <v>2.4</v>
      </c>
    </row>
    <row r="15" spans="1:256" ht="15.75">
      <c r="A15" s="849"/>
      <c r="C15" s="840" t="s">
        <v>746</v>
      </c>
      <c r="D15" s="468">
        <f>PGL_Requirements!R7/1000</f>
        <v>0.63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57.781999999999996</v>
      </c>
      <c r="E19" s="468">
        <f>PGL_Requirements!O8/1000</f>
        <v>54.27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588.30809999999997</v>
      </c>
      <c r="E30" s="472">
        <f t="shared" si="1"/>
        <v>589.54</v>
      </c>
      <c r="F30" s="472">
        <f t="shared" si="1"/>
        <v>525.67849999999999</v>
      </c>
      <c r="G30" s="472">
        <f t="shared" si="1"/>
        <v>553.67950000000008</v>
      </c>
      <c r="H30" s="472">
        <f t="shared" si="1"/>
        <v>453.24499999999995</v>
      </c>
      <c r="I30" s="1175">
        <f t="shared" si="1"/>
        <v>443.04999999999995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0.20899999999999999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152.62899999999999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4.62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261.98099999999999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 ht="15.75">
      <c r="A51" s="852"/>
      <c r="B51" s="840" t="s">
        <v>141</v>
      </c>
      <c r="C51" s="840"/>
      <c r="D51" s="468">
        <f>PGL_Supplies!AC7/1000</f>
        <v>112.578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13.519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10.499000000000001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4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596.57500000000005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589.54300000000001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8.2669000000000779</v>
      </c>
      <c r="E62" s="479">
        <f t="shared" si="3"/>
        <v>3.0000000000427463E-3</v>
      </c>
      <c r="F62" s="479">
        <f t="shared" si="3"/>
        <v>63.864500000000021</v>
      </c>
      <c r="G62" s="479">
        <f t="shared" si="3"/>
        <v>35.863499999999931</v>
      </c>
      <c r="H62" s="479">
        <f t="shared" si="3"/>
        <v>131.67800000000005</v>
      </c>
      <c r="I62" s="1178">
        <f t="shared" si="3"/>
        <v>141.87300000000005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2001-04-28T13:49:13Z</cp:lastPrinted>
  <dcterms:created xsi:type="dcterms:W3CDTF">1997-07-16T16:14:22Z</dcterms:created>
  <dcterms:modified xsi:type="dcterms:W3CDTF">2023-09-10T17:06:44Z</dcterms:modified>
</cp:coreProperties>
</file>