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D5D64D-2B0B-434D-B4A8-B467AAFB385A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<sst xmlns="http://schemas.openxmlformats.org/spreadsheetml/2006/main" count="2071" uniqueCount="816">
  <si>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</si>
  <si>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</si>
  <si>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</si>
  <si>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</si>
  <si>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</si>
  <si>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</si>
  <si>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</si>
  <si>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</si>
  <si>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</si>
  <si>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</si>
  <si>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</si>
  <si>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</si>
  <si>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</si>
  <si>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</si>
  <si>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</si>
  <si>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</si>
  <si>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</si>
  <si>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</si>
  <si>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</si>
  <si>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</si>
  <si>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</si>
  <si>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</si>
  <si>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</si>
  <si>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</si>
  <si>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</si>
  <si>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</si>
  <si>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</si>
  <si>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</si>
  <si>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</si>
  <si>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</si>
  <si>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</si>
  <si>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</si>
  <si>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</si>
  <si>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</si>
  <si>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</si>
  <si>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</si>
  <si>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</si>
  <si>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</si>
  <si>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</si>
  <si>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</si>
  <si>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</si>
  <si>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</si>
  <si>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</si>
  <si>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</si>
  <si>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</si>
  <si>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</si>
  <si>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</si>
  <si>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</si>
  <si>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</si>
  <si>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</si>
  <si>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</si>
  <si>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</si>
  <si>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</si>
  <si>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</si>
  <si>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</si>
  <si>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</si>
  <si>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</si>
  <si>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</si>
  <si>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</si>
  <si>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</si>
  <si>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</si>
  <si>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</si>
  <si>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</si>
  <si>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</si>
  <si>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</si>
  <si>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</si>
  <si>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</si>
  <si>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</si>
  <si>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</si>
  <si>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</si>
  <si>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</si>
  <si>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</si>
  <si>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</si>
  <si>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</si>
  <si>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</si>
  <si>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</si>
  <si>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</si>
  <si>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</si>
  <si>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</si>
  <si>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</si>
  <si>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</si>
  <si>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</si>
  <si>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</si>
  <si>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</si>
  <si>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</si>
  <si>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</si>
  <si>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</si>
  <si>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</si>
  <si>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</si>
  <si>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</si>
  <si>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</si>
  <si>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</si>
  <si>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</si>
  <si>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</si>
  <si>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</si>
  <si>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</si>
  <si>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</si>
  <si>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</si>
  <si>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</si>
  <si>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</si>
  <si>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</si>
  <si>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</si>
  <si>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</si>
  <si>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</si>
  <si>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</si>
  <si>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</si>
  <si>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</si>
  <si>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</si>
  <si>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</si>
  <si>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</si>
  <si>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</si>
  <si>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</si>
  <si>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</si>
  <si>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</si>
  <si>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</si>
  <si>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</si>
  <si>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</si>
  <si>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</si>
  <si>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</si>
  <si>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</si>
  <si>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</si>
  <si>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</si>
  <si>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</si>
  <si>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</si>
  <si>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</si>
  <si>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</si>
  <si>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</si>
  <si>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</si>
  <si>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</si>
  <si>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</si>
  <si>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</si>
  <si>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</si>
  <si>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</si>
  <si>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</si>
  <si>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</si>
  <si>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</si>
  <si>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</si>
  <si>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</si>
  <si>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</si>
  <si>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</si>
  <si>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</si>
  <si>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</si>
  <si>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</si>
  <si>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</si>
  <si>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</si>
  <si>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</si>
  <si>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</si>
  <si>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</si>
  <si>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</si>
  <si>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</si>
  <si>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</si>
  <si>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</si>
  <si>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</si>
  <si>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</si>
  <si>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</si>
  <si>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</si>
  <si>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</si>
  <si>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</si>
  <si>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</si>
  <si>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</si>
  <si>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</si>
  <si>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</si>
  <si>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</si>
  <si>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</si>
  <si>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</si>
  <si>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</si>
  <si>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</si>
  <si>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</si>
  <si>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</si>
  <si>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</si>
  <si>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</si>
  <si>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</si>
  <si>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</si>
  <si>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</si>
  <si>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</si>
  <si>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</si>
  <si>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</si>
  <si>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</si>
  <si>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</si>
  <si>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</si>
  <si>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</si>
  <si>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</si>
  <si>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</si>
  <si>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</si>
  <si>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</si>
  <si>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</si>
  <si>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</si>
  <si>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</si>
  <si>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</si>
  <si>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</si>
  <si>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</si>
  <si>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</si>
  <si>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</si>
  <si>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</si>
  <si>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</si>
  <si>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</si>
  <si>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</si>
  <si>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</si>
  <si>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</si>
  <si>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</si>
  <si>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</si>
  <si>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</si>
  <si>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</si>
  <si>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</si>
  <si>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</si>
  <si>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</si>
  <si>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</si>
  <si>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</si>
  <si>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</si>
  <si>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</si>
  <si>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</si>
  <si>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</si>
  <si>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</si>
  <si>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</si>
  <si>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</si>
  <si>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</si>
  <si>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</si>
  <si>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</si>
  <si>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</si>
  <si>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</si>
  <si>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</si>
  <si>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</si>
  <si>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</si>
  <si>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</si>
  <si>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</si>
  <si>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</si>
  <si>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</si>
  <si>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</si>
  <si>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</si>
  <si>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</si>
  <si>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</si>
  <si>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</si>
  <si>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</si>
  <si>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</si>
  <si>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</si>
  <si>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</si>
  <si>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</si>
  <si>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</si>
  <si>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</si>
  <si>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</si>
  <si>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</si>
  <si>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</si>
  <si>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</si>
  <si>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</si>
  <si>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</si>
  <si>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</si>
  <si>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</si>
  <si>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</si>
  <si>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</si>
  <si>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</si>
  <si>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</si>
  <si>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</si>
  <si>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</si>
  <si>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</si>
  <si>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</si>
  <si>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</si>
  <si>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</si>
  <si>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</si>
  <si>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</si>
  <si>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</si>
  <si>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</si>
  <si>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</si>
  <si>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</si>
  <si>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</si>
  <si>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</si>
  <si>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</si>
  <si>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</si>
  <si>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</si>
  <si>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</si>
  <si>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</si>
  <si>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</si>
  <si>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</si>
  <si>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</si>
  <si>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</si>
  <si>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</si>
  <si>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</si>
  <si>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</si>
  <si>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</si>
  <si>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</si>
  <si>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</si>
  <si>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</si>
  <si>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</si>
  <si>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</si>
  <si>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</si>
  <si>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</si>
  <si>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</si>
  <si>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</si>
  <si>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</si>
  <si>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</si>
  <si>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</si>
  <si>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</si>
  <si>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</si>
  <si>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</si>
  <si>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</si>
  <si>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</si>
  <si>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</si>
  <si>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</si>
  <si>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</si>
  <si>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</si>
  <si>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</si>
  <si>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</si>
  <si>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</si>
  <si>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</si>
  <si>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</si>
  <si>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</si>
  <si>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</si>
  <si>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</si>
  <si>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</si>
  <si>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</si>
  <si>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</si>
  <si>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</si>
  <si>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</si>
  <si>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</si>
  <si>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</si>
  <si>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</si>
  <si>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</si>
  <si>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</si>
  <si>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</si>
  <si>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</si>
  <si>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</si>
  <si>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</si>
  <si>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</si>
  <si>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</si>
  <si>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</si>
  <si>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</si>
  <si>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</si>
  <si>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</si>
  <si>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</si>
  <si>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</si>
  <si>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</si>
  <si>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</si>
  <si>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</si>
  <si>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</si>
  <si>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</si>
  <si>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</si>
  <si>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</si>
  <si>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</si>
  <si>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</si>
  <si>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</si>
  <si>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</si>
  <si>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</si>
  <si>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</si>
  <si>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</si>
  <si>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</si>
  <si>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</si>
  <si>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</si>
  <si>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</si>
  <si>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</si>
  <si>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</si>
  <si>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</si>
  <si>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</si>
  <si>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</si>
  <si>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</si>
  <si>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</si>
  <si>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</si>
  <si>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</si>
  <si>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</si>
  <si>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</si>
  <si>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</si>
  <si>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</si>
  <si>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</si>
  <si>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</si>
  <si>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</si>
  <si>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</si>
  <si>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</si>
  <si>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</si>
  <si>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</si>
  <si>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</si>
  <si>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</si>
  <si>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</si>
  <si>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</si>
  <si>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</si>
  <si>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</si>
  <si>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</si>
  <si>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</si>
  <si>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</si>
  <si>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</si>
  <si>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</si>
  <si>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</si>
  <si>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</si>
  <si>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</si>
  <si>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</si>
  <si>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</si>
  <si>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</si>
  <si>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</si>
  <si>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</si>
  <si>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</si>
  <si>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</si>
  <si>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</si>
  <si>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</si>
  <si>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</si>
  <si>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</si>
  <si>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</si>
  <si>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</si>
  <si>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</si>
  <si>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</si>
  <si>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</si>
  <si>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</si>
  <si>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</si>
  <si>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</si>
  <si>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</si>
  <si>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</si>
  <si>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</si>
  <si>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</si>
  <si>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</si>
  <si>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</si>
  <si>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</si>
  <si>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</si>
  <si>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</si>
  <si>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</si>
  <si>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</si>
  <si>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</si>
  <si>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</si>
  <si>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</si>
  <si>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</si>
  <si>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</si>
  <si>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</si>
  <si>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</si>
  <si>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</si>
  <si>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</si>
  <si>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</si>
  <si>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</si>
  <si>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</si>
  <si>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</si>
  <si>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</si>
  <si>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</si>
  <si>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</si>
  <si>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</si>
  <si>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</si>
  <si>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</si>
  <si>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</si>
  <si>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</si>
  <si>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</si>
  <si>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</si>
  <si>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</si>
  <si>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</si>
  <si>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</si>
  <si>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</si>
  <si>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</si>
  <si>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</si>
  <si>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</si>
  <si>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</si>
  <si>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</si>
  <si>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</si>
  <si>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</si>
  <si>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</si>
  <si>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</si>
  <si>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</si>
  <si>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</si>
  <si>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</si>
  <si>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</si>
  <si>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</si>
  <si>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</si>
  <si>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</si>
  <si>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</si>
  <si>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</si>
  <si>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</si>
  <si>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</si>
  <si>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</si>
  <si>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</si>
  <si>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</si>
  <si>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</si>
  <si>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</si>
  <si>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</si>
  <si>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</si>
  <si>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</si>
  <si>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</si>
  <si>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</si>
  <si>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</si>
  <si>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</si>
  <si>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</si>
  <si>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</si>
  <si>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</si>
  <si>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</si>
  <si>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</si>
  <si>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</si>
  <si>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</si>
  <si>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</si>
  <si>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</si>
  <si>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</si>
  <si>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</si>
  <si>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</si>
  <si>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</si>
  <si>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</si>
  <si>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</si>
  <si>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</si>
  <si>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</si>
  <si>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</si>
  <si>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</si>
  <si>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</si>
  <si>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</si>
  <si>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</si>
  <si>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</si>
  <si>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</si>
  <si>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</si>
  <si>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</si>
  <si>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</si>
  <si>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</si>
  <si>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</si>
  <si>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</si>
  <si>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</si>
  <si>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</si>
  <si>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</si>
  <si>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</si>
  <si>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</si>
  <si>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</si>
  <si>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</si>
  <si>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</si>
  <si>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</si>
  <si>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</si>
  <si>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</si>
  <si>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</si>
  <si>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</si>
  <si>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</si>
  <si>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</si>
  <si>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</si>
  <si>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</si>
  <si>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</si>
  <si>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</si>
  <si>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</si>
  <si>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</si>
  <si>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</si>
  <si>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</si>
  <si>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</si>
  <si>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</si>
  <si>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</si>
  <si>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</si>
  <si>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</si>
  <si>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</si>
  <si>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</si>
  <si>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</si>
  <si>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</si>
  <si>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</si>
  <si>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</si>
  <si>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</si>
  <si>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</si>
  <si>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</si>
  <si>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</si>
  <si>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</si>
  <si>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</si>
  <si>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</si>
  <si>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</si>
  <si>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</si>
  <si>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</si>
  <si>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</si>
  <si>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</si>
  <si>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</si>
  <si>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</si>
  <si>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</si>
  <si>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</si>
  <si>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</si>
  <si>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</si>
  <si>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</si>
  <si>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</si>
  <si>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</si>
  <si>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</si>
  <si>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</si>
  <si>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</si>
  <si>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</si>
  <si>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</si>
  <si>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</si>
  <si>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</si>
  <si>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</si>
  <si>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</si>
  <si>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</si>
  <si>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</si>
  <si>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</si>
  <si>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</si>
  <si>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</si>
  <si>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</si>
  <si>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</si>
  <si>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</si>
  <si>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</si>
  <si>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</si>
  <si>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</si>
  <si>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</si>
  <si>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</si>
  <si>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</si>
  <si>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</si>
  <si>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</si>
  <si>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</si>
  <si>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</si>
  <si>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</si>
  <si>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</si>
  <si>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</si>
  <si>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</si>
  <si>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</si>
  <si>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</si>
  <si>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</si>
  <si>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</si>
  <si>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</si>
  <si>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</si>
  <si>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</si>
  <si>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</si>
  <si>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</si>
  <si>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</si>
  <si>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</si>
  <si>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</si>
  <si>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</si>
  <si>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</si>
  <si>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</si>
  <si>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</si>
  <si>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</si>
  <si>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</si>
  <si>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</si>
  <si>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</si>
  <si>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</si>
  <si>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</si>
  <si>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</si>
  <si>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</si>
  <si>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</si>
  <si>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</si>
  <si>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</si>
  <si>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</si>
  <si>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</si>
  <si>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</si>
  <si>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</si>
  <si>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</si>
  <si>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</si>
  <si>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</si>
  <si>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</si>
  <si>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</si>
  <si>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</si>
  <si>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</si>
  <si>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</si>
  <si>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</si>
  <si>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</si>
  <si>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</si>
  <si>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</si>
  <si>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</si>
  <si>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</si>
  <si>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</si>
  <si>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</si>
  <si>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</si>
  <si>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</si>
  <si>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</si>
  <si>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</si>
  <si>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</si>
  <si>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</si>
  <si>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</si>
  <si>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</si>
  <si>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</si>
  <si>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</si>
  <si>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</si>
  <si>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</si>
  <si>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</si>
  <si>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</si>
  <si>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</si>
  <si>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</si>
  <si>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</si>
  <si>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</si>
  <si>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</si>
  <si>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</si>
  <si>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</si>
  <si>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</si>
  <si>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</si>
  <si>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</si>
  <si>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</si>
  <si>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</si>
  <si>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</si>
  <si>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</si>
  <si>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</si>
  <si>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</si>
  <si>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</si>
  <si>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</si>
  <si>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</si>
  <si>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</si>
  <si>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</si>
  <si>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</si>
  <si>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</si>
  <si>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</si>
  <si>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</si>
  <si>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</si>
  <si>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</si>
  <si>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</si>
  <si>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</si>
  <si>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</si>
  <si>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</si>
  <si>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</si>
  <si>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</si>
  <si>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</si>
  <si>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</si>
  <si>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</si>
  <si>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</si>
  <si>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</si>
  <si>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</si>
  <si>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</si>
  <si>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</si>
  <si>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</si>
  <si>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</si>
  <si>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</si>
  <si>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</si>
  <si>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</si>
  <si>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</si>
  <si>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</si>
  <si>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</si>
  <si>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</si>
  <si>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</si>
  <si>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</si>
  <si>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</si>
  <si>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</si>
  <si>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</si>
  <si>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</si>
  <si>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</si>
  <si>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</si>
  <si>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</si>
  <si>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</si>
  <si>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</si>
  <si>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</si>
  <si>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</si>
  <si>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</si>
  <si>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</si>
  <si>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</si>
  <si>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</si>
  <si>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</si>
  <si>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</si>
  <si>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</si>
  <si>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</si>
  <si>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</si>
  <si>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</si>
  <si>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</si>
  <si>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</si>
  <si>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</si>
  <si>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</si>
  <si>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</si>
  <si>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</si>
  <si>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</si>
  <si>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</si>
  <si>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</si>
  <si>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</si>
  <si>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</si>
  <si>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</si>
  <si>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</si>
  <si>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</si>
  <si>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</si>
  <si>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</si>
  <si>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</si>
  <si>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</si>
  <si>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</si>
  <si>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</si>
  <si>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</si>
  <si>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</si>
  <si>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</si>
  <si>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</si>
  <si>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</si>
  <si>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</si>
  <si>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</si>
  <si>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</si>
  <si>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</si>
  <si>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</si>
  <si>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</si>
  <si>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</si>
  <si>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</si>
  <si>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</si>
  <si>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</si>
  <si>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</si>
  <si>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</si>
  <si>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</si>
  <si>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</si>
  <si>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</si>
  <si>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</si>
  <si>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</si>
  <si>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</si>
  <si>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</si>
  <si>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</si>
  <si>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</si>
  <si>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</si>
  <si>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</si>
  <si>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</si>
  <si>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</si>
  <si>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</si>
  <si>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</si>
  <si>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</si>
  <si>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</si>
  <si>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</si>
  <si>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</si>
  <si>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</si>
  <si>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</si>
  <si>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</si>
  <si>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</si>
  <si>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</si>
  <si>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</si>
  <si>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</si>
  <si>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</si>
  <si>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</si>
  <si>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</si>
  <si>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</si>
  <si>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</si>
  <si>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</si>
  <si>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</si>
  <si>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</si>
  <si>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</si>
  <si>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</si>
  <si>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</si>
  <si>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</si>
  <si>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</si>
  <si>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</si>
  <si>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</si>
  <si>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</si>
  <si>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</si>
  <si>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</si>
  <si>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</si>
  <si>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</si>
  <si>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</si>
  <si>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</si>
  <si>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</si>
  <si>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</si>
  <si>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</si>
  <si>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</si>
  <si>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 xml:space="preserve">PARTLY CLOUDY. </t>
  </si>
  <si>
    <t>PARTLY SUNNY.WARM AND HUMID WITH A 30% CHANCE OF SHOWERS AND T'STOR</t>
  </si>
  <si>
    <t>MS. SOUTH WINDS 10 MPH. OVERNIGHT…PARTLY CLOUDY…T'STORMS POSSIBLE.</t>
  </si>
  <si>
    <t>PARTLY CLOUDY WITH A 30% CHANCE OF T'STORMS. OVERNIGHT…PARTLY CLOUDY</t>
  </si>
  <si>
    <t>WITH A 30% CHANCE OF T'STORMS.</t>
  </si>
  <si>
    <t>PARTLY CLOUDY. CHANCE OF SHOWERS EARLY.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</si>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</sst>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7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0" fontId="29" fillId="0" borderId="165" xfId="0" applyFont="1" applyFill="1" applyBorder="1" applyAlignment="1"/>
    <xf numFmtId="167" fontId="29" fillId="0" borderId="165" xfId="0" applyNumberFormat="1" applyFont="1" applyFill="1" applyBorder="1" applyAlignment="1"/>
    <xf numFmtId="166" fontId="29" fillId="0" borderId="166" xfId="0" applyNumberFormat="1" applyFont="1" applyFill="1" applyBorder="1" applyAlignment="1"/>
    <xf numFmtId="167" fontId="29" fillId="0" borderId="166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7" xfId="0" applyBorder="1"/>
    <xf numFmtId="0" fontId="56" fillId="0" borderId="168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1" xfId="0" applyNumberFormat="1" applyBorder="1"/>
    <xf numFmtId="166" fontId="0" fillId="0" borderId="172" xfId="0" applyNumberFormat="1" applyBorder="1"/>
    <xf numFmtId="166" fontId="0" fillId="3" borderId="111" xfId="0" applyNumberFormat="1" applyFill="1" applyBorder="1"/>
    <xf numFmtId="166" fontId="0" fillId="3" borderId="172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3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4" xfId="0" applyNumberFormat="1" applyFont="1" applyFill="1" applyBorder="1" applyProtection="1"/>
    <xf numFmtId="166" fontId="16" fillId="2" borderId="175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4" xfId="0" applyNumberFormat="1" applyFont="1" applyFill="1" applyBorder="1" applyProtection="1"/>
    <xf numFmtId="166" fontId="57" fillId="2" borderId="175" xfId="0" applyNumberFormat="1" applyFont="1" applyFill="1" applyBorder="1" applyProtection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6" xfId="0" applyNumberFormat="1" applyFont="1" applyFill="1" applyBorder="1" applyProtection="1"/>
    <xf numFmtId="167" fontId="11" fillId="0" borderId="167" xfId="0" applyNumberFormat="1" applyFont="1" applyBorder="1"/>
    <xf numFmtId="167" fontId="11" fillId="0" borderId="179" xfId="0" applyNumberFormat="1" applyFont="1" applyBorder="1"/>
    <xf numFmtId="172" fontId="29" fillId="0" borderId="65" xfId="0" applyNumberFormat="1" applyFont="1" applyBorder="1"/>
    <xf numFmtId="166" fontId="0" fillId="0" borderId="171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0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1" xfId="0" applyFont="1" applyBorder="1"/>
    <xf numFmtId="0" fontId="31" fillId="0" borderId="172" xfId="0" applyFont="1" applyBorder="1"/>
    <xf numFmtId="0" fontId="31" fillId="0" borderId="181" xfId="0" applyFont="1" applyBorder="1"/>
    <xf numFmtId="0" fontId="29" fillId="0" borderId="171" xfId="0" applyFont="1" applyBorder="1"/>
    <xf numFmtId="0" fontId="0" fillId="0" borderId="171" xfId="0" applyBorder="1"/>
    <xf numFmtId="0" fontId="31" fillId="6" borderId="182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3" xfId="0" applyFont="1" applyFill="1" applyBorder="1" applyAlignment="1">
      <alignment horizontal="left"/>
    </xf>
    <xf numFmtId="0" fontId="30" fillId="6" borderId="167" xfId="0" applyFont="1" applyFill="1" applyBorder="1" applyAlignment="1">
      <alignment horizontal="left"/>
    </xf>
    <xf numFmtId="0" fontId="28" fillId="6" borderId="167" xfId="0" quotePrefix="1" applyFont="1" applyFill="1" applyBorder="1" applyAlignment="1">
      <alignment horizontal="center"/>
    </xf>
    <xf numFmtId="0" fontId="6" fillId="5" borderId="167" xfId="0" applyFont="1" applyFill="1" applyBorder="1"/>
    <xf numFmtId="0" fontId="28" fillId="6" borderId="183" xfId="0" applyFont="1" applyFill="1" applyBorder="1" applyAlignment="1">
      <alignment horizontal="centerContinuous"/>
    </xf>
    <xf numFmtId="0" fontId="28" fillId="6" borderId="167" xfId="0" applyFont="1" applyFill="1" applyBorder="1" applyAlignment="1">
      <alignment horizontal="centerContinuous"/>
    </xf>
    <xf numFmtId="0" fontId="31" fillId="6" borderId="167" xfId="0" applyFont="1" applyFill="1" applyBorder="1" applyAlignment="1">
      <alignment horizontal="centerContinuous"/>
    </xf>
    <xf numFmtId="0" fontId="31" fillId="6" borderId="179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4" xfId="0" applyBorder="1"/>
    <xf numFmtId="0" fontId="0" fillId="0" borderId="107" xfId="0" applyBorder="1"/>
    <xf numFmtId="0" fontId="16" fillId="0" borderId="86" xfId="0" applyFont="1" applyBorder="1"/>
    <xf numFmtId="0" fontId="16" fillId="0" borderId="185" xfId="0" applyFont="1" applyBorder="1"/>
    <xf numFmtId="0" fontId="0" fillId="0" borderId="142" xfId="0" applyBorder="1"/>
    <xf numFmtId="0" fontId="0" fillId="0" borderId="186" xfId="0" applyBorder="1"/>
    <xf numFmtId="0" fontId="0" fillId="0" borderId="46" xfId="0" applyBorder="1"/>
    <xf numFmtId="0" fontId="0" fillId="0" borderId="181" xfId="0" applyBorder="1"/>
    <xf numFmtId="0" fontId="0" fillId="0" borderId="187" xfId="0" applyBorder="1"/>
    <xf numFmtId="0" fontId="0" fillId="0" borderId="172" xfId="0" applyBorder="1"/>
    <xf numFmtId="0" fontId="0" fillId="0" borderId="125" xfId="0" applyBorder="1"/>
    <xf numFmtId="0" fontId="0" fillId="0" borderId="188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9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7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0" fontId="29" fillId="0" borderId="188" xfId="0" applyFont="1" applyBorder="1" applyAlignment="1">
      <alignment horizontal="left"/>
    </xf>
    <xf numFmtId="0" fontId="29" fillId="0" borderId="190" xfId="0" applyFont="1" applyBorder="1" applyAlignment="1">
      <alignment horizontal="left"/>
    </xf>
    <xf numFmtId="179" fontId="11" fillId="2" borderId="191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8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6" xfId="0" applyNumberFormat="1" applyFont="1" applyFill="1" applyBorder="1" applyAlignment="1">
      <alignment horizontal="left"/>
    </xf>
    <xf numFmtId="166" fontId="29" fillId="0" borderId="192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2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3" xfId="0" applyFont="1" applyFill="1" applyBorder="1" applyAlignment="1" applyProtection="1">
      <alignment horizontal="left"/>
    </xf>
    <xf numFmtId="0" fontId="57" fillId="2" borderId="194" xfId="0" applyFont="1" applyFill="1" applyBorder="1" applyProtection="1"/>
    <xf numFmtId="2" fontId="57" fillId="2" borderId="195" xfId="0" applyNumberFormat="1" applyFont="1" applyFill="1" applyBorder="1" applyProtection="1"/>
    <xf numFmtId="2" fontId="57" fillId="2" borderId="196" xfId="0" applyNumberFormat="1" applyFont="1" applyFill="1" applyBorder="1" applyProtection="1"/>
    <xf numFmtId="167" fontId="7" fillId="0" borderId="32" xfId="0" applyNumberFormat="1" applyFont="1" applyBorder="1"/>
    <xf numFmtId="0" fontId="57" fillId="0" borderId="72" xfId="0" applyFont="1" applyBorder="1"/>
    <xf numFmtId="0" fontId="0" fillId="0" borderId="119" xfId="0" applyBorder="1"/>
    <xf numFmtId="0" fontId="0" fillId="0" borderId="59" xfId="0" applyBorder="1"/>
    <xf numFmtId="0" fontId="28" fillId="0" borderId="197" xfId="0" applyFont="1" applyFill="1" applyBorder="1"/>
    <xf numFmtId="0" fontId="0" fillId="0" borderId="111" xfId="0" applyBorder="1"/>
    <xf numFmtId="0" fontId="0" fillId="0" borderId="198" xfId="0" applyBorder="1"/>
    <xf numFmtId="0" fontId="16" fillId="0" borderId="199" xfId="0" applyFont="1" applyBorder="1"/>
    <xf numFmtId="0" fontId="0" fillId="0" borderId="67" xfId="0" applyBorder="1"/>
    <xf numFmtId="0" fontId="0" fillId="0" borderId="200" xfId="0" applyBorder="1"/>
    <xf numFmtId="0" fontId="7" fillId="2" borderId="16" xfId="0" applyFont="1" applyFill="1" applyBorder="1" applyAlignment="1">
      <alignment horizontal="left"/>
    </xf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166" fontId="16" fillId="0" borderId="63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4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71" fontId="29" fillId="0" borderId="63" xfId="0" applyNumberFormat="1" applyFont="1" applyFill="1" applyBorder="1" applyAlignment="1">
      <alignment horizontal="center"/>
    </xf>
    <xf numFmtId="166" fontId="29" fillId="0" borderId="6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3" xfId="0" applyNumberFormat="1" applyFont="1" applyFill="1" applyBorder="1" applyAlignment="1">
      <alignment horizontal="center"/>
    </xf>
    <xf numFmtId="166" fontId="28" fillId="0" borderId="187" xfId="0" applyNumberFormat="1" applyFont="1" applyFill="1" applyBorder="1" applyAlignment="1">
      <alignment horizontal="center"/>
    </xf>
    <xf numFmtId="166" fontId="29" fillId="0" borderId="201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2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560DDBBD-460D-6DBE-9064-56DCA83F48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CEE434FB-2C16-D2E5-704B-3655031457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E28D0EB3-A00E-73B9-BEED-A86438E093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84CBD5BB-A781-3CDB-B0A7-57B1634B99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A727EA7-5032-0161-E5C7-3C6B895048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CCEB327D-89E1-4C50-7F52-8BA338C4C3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EDF90125-E865-A114-81CE-CF148409D8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E788FD82-E6C8-8E64-7974-38515E3650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EAF44F63-65C9-038A-F270-DD852EE734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129574BA-5545-4296-EE92-3C056899D0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7EDFE800-D714-E66C-2ACE-8174832C75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AA471690-5F0B-99DC-A378-27BF1957AA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A0B7FEF3-7274-2E9F-B3BE-F2F9377189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8C5DC9B2-4EF5-9794-964D-093DFDC9B8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18941854-E669-0FE6-2AB5-4FC94B590B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70F7C596-2A24-6945-F92B-2CB6B6996B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DB66ED08-CA4F-0F81-10E6-7832951D98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1225ADA1-A640-5437-6DA6-1443383E9A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AF564250-C007-D715-2EC1-BCB653E6C6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821038F6-F1FF-756D-6300-FD0C3B58B8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08399F27-FA47-136D-4075-CD74A5FE8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FAF1160F-FDDE-A871-3C4C-6EB53AA79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AF4F9753-4D30-E7A9-7916-ED2BBC514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9C79B848-2AF2-2A4B-E651-94F4A3F8D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C780998B-1DFE-98B2-9CAE-3EB6A741C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AC5714EC-A595-55F0-FEA2-2F82C1D52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1ACA1797-E36E-E44B-387E-92933270F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604E83F2-C0D0-AEF5-340B-9157BB608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0314A029-F072-659C-BF9D-B693EAFB8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1CED010A-4EDF-718B-6EF4-4DFF6DD97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B00ADF47-3D93-2322-D628-D685E3476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3D6FAAEE-EA0B-BD27-F89A-F3B2640DB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7F2D976A-EDD1-FEC9-82EB-F7F82BDB0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A9887B7D-EDCF-2CEE-DE62-DAB96A3EC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1380F951-6F68-1814-ECB4-D734888A1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84A03321-4ACE-7B73-311C-078FC90CB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0ECC9452-BF50-C44A-A743-AEE3830C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1BEB673A-9F0D-350E-BCA0-884E20114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F32A6F7B-51D3-876C-0546-B4E3A1A22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206566FE-C21D-0352-8C92-C8BFCA690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935E267E-BD54-DE41-4AAE-CAF6D1D67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9F1D6B82-F3FD-997B-1A90-CA44F678D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56811858-8F15-9B85-B8C3-63C80C81D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D3A3FEEB-D005-A462-3F37-61FF2F4E7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691" name="Day_1">
          <a:extLst>
            <a:ext uri="{FF2B5EF4-FFF2-40B4-BE49-F238E27FC236}">
              <a16:creationId xmlns:a16="http://schemas.microsoft.com/office/drawing/2014/main" id="{5C21AEFE-3272-3388-E64D-0A8816263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692" name="Day_2">
          <a:extLst>
            <a:ext uri="{FF2B5EF4-FFF2-40B4-BE49-F238E27FC236}">
              <a16:creationId xmlns:a16="http://schemas.microsoft.com/office/drawing/2014/main" id="{456D10A9-D3ED-D90C-D73A-9A6CB3F0C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693" name="Day_3">
          <a:extLst>
            <a:ext uri="{FF2B5EF4-FFF2-40B4-BE49-F238E27FC236}">
              <a16:creationId xmlns:a16="http://schemas.microsoft.com/office/drawing/2014/main" id="{7E7DF236-6239-F6A6-AA13-4302A525D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694" name="Day_4">
          <a:extLst>
            <a:ext uri="{FF2B5EF4-FFF2-40B4-BE49-F238E27FC236}">
              <a16:creationId xmlns:a16="http://schemas.microsoft.com/office/drawing/2014/main" id="{3A4BBEA9-A4E4-5712-0B3E-13FD2522D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695" name="Day_5">
          <a:extLst>
            <a:ext uri="{FF2B5EF4-FFF2-40B4-BE49-F238E27FC236}">
              <a16:creationId xmlns:a16="http://schemas.microsoft.com/office/drawing/2014/main" id="{55B225C5-D1F7-D7EF-37E8-2CCA173DF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696" name="Day_6">
          <a:extLst>
            <a:ext uri="{FF2B5EF4-FFF2-40B4-BE49-F238E27FC236}">
              <a16:creationId xmlns:a16="http://schemas.microsoft.com/office/drawing/2014/main" id="{C3481E23-F687-9F86-08C6-B96C8DC2E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DBD42C17-9AC6-523F-E640-67F3AAF169BA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BDBAC7E3-D697-47E8-7849-15E89BDAD3B4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AE287DA6-2DC6-D7AF-4DE5-B237314E40B8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FD7F29C4-5182-700E-C138-A4599372BDCD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16AD55D2-372B-A83F-A9F0-2C56D5AFE470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F2073E31-0D58-D753-8ADC-CEBE2F5B2DA5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9FE70552-B273-637D-FEC2-15E16642E22E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51628E8F-2B51-6A04-C031-3013E109B47B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EEE138E2-4A2E-B3BE-BDB9-BC47D9FF92D7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0A9E5B81-BA0F-BA6E-DC39-BE4E1E5C6C83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9116A54C-DA28-FCA1-662D-308268A75B26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B62EF354-CDB3-96AB-1F16-90BFAAFF83CA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4B17E122-C76F-385C-0429-4C8722A2C91C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57004F30-F84B-9628-9667-4D99084CD69F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121E0A15-4136-AB1A-005B-38AF5875B707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60E050DC-D221-C656-EBC3-EE400ED0CC27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46A837FB-5511-27F3-E370-C30331A874A4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ED95FF70-3C6E-ACDC-336D-1492DDA9BB40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A5F38FE0-49B5-557B-05E0-A65760A242F3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6B144C1D-1168-8512-9D24-7B9BB588CC33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70C3ED11-0539-6F03-9B60-8F37AD0F2AA4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1C866C11-A6FB-E1A5-B6AE-2040F4FDD9D9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E4EF61DD-304A-A9F0-A760-5E6F29FB5FD5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9B74D592-CF68-E3E4-E8D8-CF8F6DBF3929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B50F5D12-7329-0D51-58FA-49A6A5CC62B0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DCDA4248-8B1F-8445-F109-0426C8B64BAD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AC86BED7-DDC1-DCE2-E82D-9759F4235F18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D45CD7DA-6E48-9167-0257-262CB75D2A27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BE07F491-01B2-58B7-C22C-B7BF0DAA113E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6595E24F-91EF-C2B4-5EE1-A9D8CB8ABE1C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45D51955-0BBF-6973-C8EF-9D6628929514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16826237-9B62-D7B5-14ED-F2406DCF1A57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86574E3F-4E2D-C79B-BFEE-8E6A608AED0F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95BB30AA-9FA5-6030-ABBB-5C473FAFE206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466544E2-99D5-ECA5-3E21-31CC8F5428E1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9181B31F-C711-ABF3-931D-7B7C0AB3D360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58CB39C2-42AB-980C-B34B-7C3EF748F71D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30B0A762-4C0F-5135-C6F9-64375D3C72EF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A9D4FED3-FA74-8CED-2F11-70E0F5F448FC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E945C392-008B-F4B9-451A-6A3520C09D95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AAFCA3F3-A9D7-BB86-7F24-11CB7F276F74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83C57333-7B17-D815-014F-BF77994B03C0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B5676432-B3CC-3A6C-A77D-AE0044A54DAA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9FBEF3FE-60E7-BC1A-1809-57C6220FAB42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9B8FD916-06B0-4795-0406-4162076123B6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11964B35-A707-3EE9-7A4B-C8A0482D2007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44050180-B74B-F4A1-D668-B41D30A53A21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9D414DFA-9B00-E8FD-2442-B7D4F9EC6571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770CDCBE-1117-A6C6-D40A-46DFF40740E5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D6F4C3DD-643B-8D7F-41EA-A75861C599F6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4C9D3DB3-6E3E-3FFE-29EE-047D8482840B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E56CDF13-0DA6-4D07-BC35-BA97F2F37EEE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267F288A-521C-1F08-57DA-39EBB8697546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449884C2-8F64-2B61-9FFB-35589E54211C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AAA981D8-09AA-CB3C-99EC-503B634DB460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BC1BA115-588F-9185-98CF-DD6597BF6273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E3E812CD-8BBC-E4A2-6AFB-B9BD49B313FD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29F0009D-6A87-42B1-C254-4A27B23B72DA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E595AAF0-C3BF-A3BA-42DC-5D20F8D41B4F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767A8461-F6A6-09F3-2668-A01475805EC0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D6A97DD5-1A61-0EE4-FE12-A1A344B017D7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06E4158A-5245-936C-D876-20402AE1D6B2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07DD6CE9-9794-9EF2-B6FF-0754DAF1FECB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ABFC96D2-7F5E-05B1-A022-8305538F9541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F4F0464E-419B-8F75-4D63-D564022B8557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01884BDC-46DF-3686-2159-434417B095C5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EE4A6C54-879A-28E3-6F65-B0F0E86C2AF6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BF070718-1E82-1468-5A1C-FB510EE2DEC3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6EDBCFB0-BBDE-646E-F6A8-9A81BC3A15AA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CF3A0EA1-31F4-6DC8-406C-4E882CCB0D0D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2FEEEDBA-FD12-779A-7FF2-8C48EF2F5B10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1775B7F1-65B0-1334-0699-5CE16D81737C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431EC772-1940-6C97-2753-DA47E980EB11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905E7295-9996-B959-FC7D-B2254B93B5C6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0719C72A-B144-CE98-C34A-1C034B866C76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D7FC4328-4FE2-2660-B20F-8368B47AA546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C98CD713-014D-689F-DE3C-0EB93464E421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BE63CB2C-16B7-5F91-0B58-AC36E6070D9C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646B2382-9D05-85DC-A6EE-47DD26F68F8C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06F5CC5D-C5D5-C0CC-F9AC-F343670D2978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F4890EB4-8AFD-7F50-EF8F-55E25F29FEB6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D84B228E-06D0-1A81-05CA-4CE4F866BF56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9EBCF19D-54EB-81D2-FE4C-45385702E9E5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154D4A03-B17C-E711-A6D3-0F118695662E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649C378F-21B3-9D6F-7AB1-B78286BFFDD3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687270D0-CD55-BE76-76A2-10E31CE2EB61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07F9B21C-EE43-9994-731D-761DBE5E88B0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0A1BF5B3-2747-1678-7F64-06AEF0442C92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14DB0C42-8901-B0B8-E79D-C90B1546491D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E78542E7-7EEF-8DC3-42BC-4F8096AC00A0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AF309C09-1D74-3280-561D-ACA309E5508D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51EED1C5-D59C-DC6C-E0EF-5AD70C17B117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681F0D92-3379-87DB-FA28-8A98597C160E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FB953777-2B50-1A46-E9ED-CEE847BE2667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3088E03A-E718-2436-5D7D-2A0EB9632F3D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94EFF100-E2AA-6769-360D-F2499E310CD8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DAEBFE41-B44F-06CB-CA87-39C14EDEB38C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9968D2AE-06A2-C218-BE03-261BF3665DCC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80B14B96-DC4B-DB0B-BB02-AB80CD20BE5F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6130EFD0-B3D5-CCB4-0768-45707D7E8CA2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107697EC-7CF6-D987-F0DB-50ACA01E04CC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666A9B36-881A-CBF7-BC5B-E0731F1238EF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5C6DB29E-4065-7527-D14B-E6E47B5EFE24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E623A6B5-A36A-B95F-7FB7-AFE38608B589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C3539069-E5BC-1EBC-4469-174701980E8B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9168E249-24BB-DAA9-2CE9-02D38EAB7358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51966DB7-4D32-F6D5-5D5E-A5EDA0D66DE7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0DE55F44-2B17-971D-2167-1743D94500AC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A87EFC61-8CEC-6E52-33BA-00272514CE6C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F14C40B1-0357-4B7B-0BFC-A62DA02A7B5D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C36859FC-FE2A-C283-E814-BA47577DDC66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90B8617C-DDC2-2322-0C48-C624A0670023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C43B5241-0B96-FE5B-B019-0FF200764C7F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D573E237-7799-3FA2-AD9D-E934054B6D19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5A06D9F6-493A-92F8-7E8A-24465F864A49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F2AF0172-D6B6-E605-3521-E2886AFB4A62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B360CB20-A28B-857F-A709-010EADC4FEFA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044B8ABF-D45C-4164-12CF-46C845C0791D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3C8C4CD0-2A8B-A981-E86D-3259BB4E1FA5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8D75848C-0DC3-3ABB-FB28-5A4CEACEBAB6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81F45AA1-550E-0B58-5774-8E6939AB18CB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A5F7BB60-16F7-9840-D5BD-15B6350E1992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9E26EAB4-AA11-920C-D312-2344A8D550B5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D37E0015-F3B4-5E0D-6515-9909165F2BB8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C9E60CE1-57AE-3D38-A06B-1FC504262CC8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879BF850-A25E-34FA-8A96-F092300339C1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C078255D-BB7E-1D08-80C3-C9998C054F96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F74C6B31-05FA-D2DF-5A3B-DC48B0F701F5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9455662D-3747-7C20-B2B2-04BDCA8F3F52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AAD6A6EA-E732-A0B8-488D-7065D518474E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40" t="s">
        <v>9</v>
      </c>
      <c r="B1" s="798"/>
    </row>
    <row r="2" spans="1:88">
      <c r="A2" s="1040" t="s">
        <v>9</v>
      </c>
      <c r="B2" t="s">
        <v>9</v>
      </c>
    </row>
    <row r="3" spans="1:88" ht="15.75" thickBot="1">
      <c r="A3" s="1111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50"/>
      <c r="B4" s="798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389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39" t="s">
        <v>655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593</v>
      </c>
    </row>
    <row r="11" spans="1:88" ht="15.75" customHeight="1">
      <c r="A11" t="s">
        <v>9</v>
      </c>
      <c r="B11" s="798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593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158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726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591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591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593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593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topLeftCell="A19" zoomScale="75" workbookViewId="0">
      <selection activeCell="A19" sqref="A19"/>
    </sheetView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63" t="s">
        <v>610</v>
      </c>
      <c r="B1" s="822"/>
      <c r="C1" s="822"/>
      <c r="D1" s="822"/>
      <c r="E1" s="822"/>
      <c r="F1" s="822"/>
      <c r="G1" s="822" t="s">
        <v>130</v>
      </c>
      <c r="H1" s="864" t="str">
        <f>D3</f>
        <v>TUE</v>
      </c>
      <c r="I1" s="865">
        <f>D4</f>
        <v>37089</v>
      </c>
      <c r="J1" s="110"/>
    </row>
    <row r="2" spans="1:10" ht="24.95" customHeight="1">
      <c r="A2" s="825" t="s">
        <v>152</v>
      </c>
      <c r="B2" s="826"/>
      <c r="C2" s="826"/>
      <c r="D2" s="826"/>
      <c r="E2" s="826"/>
      <c r="F2" s="826"/>
      <c r="G2" s="826"/>
      <c r="H2" s="826"/>
      <c r="I2" s="827"/>
      <c r="J2" s="110"/>
    </row>
    <row r="3" spans="1:10" ht="24.95" customHeight="1" thickBot="1">
      <c r="A3" s="828"/>
      <c r="B3" s="826"/>
      <c r="C3" s="826"/>
      <c r="D3" s="829" t="str">
        <f t="shared" ref="D3:I3" si="0">CHOOSE(WEEKDAY(D4),"SUN","MON","TUE","WED","THU","FRI","SAT")</f>
        <v>TUE</v>
      </c>
      <c r="E3" s="829" t="str">
        <f t="shared" si="0"/>
        <v>WED</v>
      </c>
      <c r="F3" s="829" t="str">
        <f t="shared" si="0"/>
        <v>THU</v>
      </c>
      <c r="G3" s="829" t="str">
        <f t="shared" si="0"/>
        <v>FRI</v>
      </c>
      <c r="H3" s="829" t="str">
        <f t="shared" si="0"/>
        <v>SAT</v>
      </c>
      <c r="I3" s="830" t="str">
        <f t="shared" si="0"/>
        <v>SUN</v>
      </c>
      <c r="J3" s="110"/>
    </row>
    <row r="4" spans="1:10" ht="24.95" customHeight="1" thickBot="1">
      <c r="A4" s="831" t="s">
        <v>153</v>
      </c>
      <c r="B4" s="832"/>
      <c r="C4" s="832"/>
      <c r="D4" s="833">
        <f>Weather_Input!A5</f>
        <v>37089</v>
      </c>
      <c r="E4" s="833">
        <f>Weather_Input!A6</f>
        <v>37090</v>
      </c>
      <c r="F4" s="833">
        <f>Weather_Input!A7</f>
        <v>37091</v>
      </c>
      <c r="G4" s="833">
        <f>Weather_Input!A8</f>
        <v>37092</v>
      </c>
      <c r="H4" s="833">
        <f>Weather_Input!A9</f>
        <v>37093</v>
      </c>
      <c r="I4" s="834">
        <f>Weather_Input!A10</f>
        <v>37094</v>
      </c>
      <c r="J4" s="110"/>
    </row>
    <row r="5" spans="1:10" s="111" customFormat="1" ht="24.95" customHeight="1" thickTop="1">
      <c r="A5" s="835" t="s">
        <v>132</v>
      </c>
      <c r="B5" s="826"/>
      <c r="C5" s="826" t="s">
        <v>133</v>
      </c>
      <c r="D5" s="866" t="str">
        <f>TEXT(Weather_Input!B5,"0")&amp;"/"&amp;TEXT(Weather_Input!C5,"0") &amp; "/" &amp; TEXT((Weather_Input!B5+Weather_Input!C5)/2,"0")</f>
        <v>85/72/79</v>
      </c>
      <c r="E5" s="866" t="str">
        <f>TEXT(Weather_Input!B6,"0")&amp;"/"&amp;TEXT(Weather_Input!C6,"0") &amp; "/" &amp; TEXT((Weather_Input!B6+Weather_Input!C6)/2,"0")</f>
        <v>90/72/81</v>
      </c>
      <c r="F5" s="866" t="str">
        <f>TEXT(Weather_Input!B7,"0")&amp;"/"&amp;TEXT(Weather_Input!C7,"0") &amp; "/" &amp; TEXT((Weather_Input!B7+Weather_Input!C7)/2,"0")</f>
        <v>91/70/81</v>
      </c>
      <c r="G5" s="866" t="str">
        <f>TEXT(Weather_Input!B8,"0")&amp;"/"&amp;TEXT(Weather_Input!C8,"0") &amp; "/" &amp; TEXT((Weather_Input!B8+Weather_Input!C8)/2,"0")</f>
        <v>91/71/81</v>
      </c>
      <c r="H5" s="866" t="str">
        <f>TEXT(Weather_Input!B9,"0")&amp;"/"&amp;TEXT(Weather_Input!C9,"0") &amp; "/" &amp; TEXT((Weather_Input!B9+Weather_Input!C9)/2,"0")</f>
        <v>91/72/82</v>
      </c>
      <c r="I5" s="867" t="str">
        <f>TEXT(Weather_Input!B10,"0")&amp;"/"&amp;TEXT(Weather_Input!C10,"0") &amp; "/" &amp; TEXT((Weather_Input!B10+Weather_Input!C10)/2,"0")</f>
        <v>91/72/82</v>
      </c>
      <c r="J5" s="110"/>
    </row>
    <row r="6" spans="1:10" ht="24.95" customHeight="1">
      <c r="A6" s="838" t="s">
        <v>134</v>
      </c>
      <c r="B6" s="826"/>
      <c r="C6" s="826"/>
      <c r="D6" s="836">
        <f ca="1">VLOOKUP(D4,NSG_Sendouts,CELL("Col",NSG_Deliveries!C5),FALSE)/1000</f>
        <v>33.5</v>
      </c>
      <c r="E6" s="836">
        <f ca="1">VLOOKUP(E4,NSG_Sendouts,CELL("Col",NSG_Deliveries!C6),FALSE)/1000</f>
        <v>34</v>
      </c>
      <c r="F6" s="836">
        <f ca="1">VLOOKUP(F4,NSG_Sendouts,CELL("Col",NSG_Deliveries!C7),FALSE)/1000</f>
        <v>34</v>
      </c>
      <c r="G6" s="836">
        <f ca="1">VLOOKUP(G4,NSG_Sendouts,CELL("Col",NSG_Deliveries!C8),FALSE)/1000</f>
        <v>33</v>
      </c>
      <c r="H6" s="836">
        <f ca="1">VLOOKUP(H4,NSG_Sendouts,CELL("Col",NSG_Deliveries!C9),FALSE)/1000</f>
        <v>30</v>
      </c>
      <c r="I6" s="841">
        <f ca="1">VLOOKUP(I4,NSG_Sendouts,CELL("Col",NSG_Deliveries!C10),FALSE)/1000</f>
        <v>33</v>
      </c>
      <c r="J6" s="111"/>
    </row>
    <row r="7" spans="1:10" ht="24.95" customHeight="1">
      <c r="A7" s="835" t="s">
        <v>138</v>
      </c>
      <c r="B7" s="826" t="s">
        <v>139</v>
      </c>
      <c r="C7" s="826" t="s">
        <v>58</v>
      </c>
      <c r="D7" s="836">
        <f>(NSG_Requirements!$K$7+NSG_Requirements!$L$7+NSG_Requirements!$M$7+NSG_Requirements!$N$7)/1000</f>
        <v>0</v>
      </c>
      <c r="E7" s="836">
        <f>(NSG_Requirements!$K$8+NSG_Requirements!$L$8+NSG_Requirements!$M$8+NSG_Requirements!$N$8)/1000</f>
        <v>0</v>
      </c>
      <c r="F7" s="836">
        <f>(NSG_Requirements!$K$9+NSG_Requirements!$L$9+NSG_Requirements!$M$9+NSG_Requirements!$N$9)/1000</f>
        <v>0</v>
      </c>
      <c r="G7" s="836">
        <f>(NSG_Requirements!$K$10+NSG_Requirements!$L$10+NSG_Requirements!$M$10+NSG_Requirements!$N$10)/1000</f>
        <v>0</v>
      </c>
      <c r="H7" s="836">
        <f>(NSG_Requirements!$K$11+NSG_Requirements!$L$11+NSG_Requirements!$M$11+NSG_Requirements!$N$11)/1000</f>
        <v>0</v>
      </c>
      <c r="I7" s="841">
        <f>(NSG_Requirements!$K$12+NSG_Requirements!$L$12+NSG_Requirements!$M$12+NSG_Requirements!$N$12)/1000</f>
        <v>0</v>
      </c>
      <c r="J7" s="111"/>
    </row>
    <row r="8" spans="1:10" ht="24.95" customHeight="1">
      <c r="A8" s="835"/>
      <c r="B8" s="826" t="s">
        <v>137</v>
      </c>
      <c r="C8" s="840" t="s">
        <v>87</v>
      </c>
      <c r="D8" s="836">
        <f>NSG_Requirements!J7/1000</f>
        <v>6.42</v>
      </c>
      <c r="E8" s="836">
        <f>NSG_Requirements!J8/1000</f>
        <v>0</v>
      </c>
      <c r="F8" s="836">
        <f>NSG_Requirements!J9/1000</f>
        <v>0</v>
      </c>
      <c r="G8" s="836">
        <f>NSG_Requirements!J10/1000</f>
        <v>0</v>
      </c>
      <c r="H8" s="836">
        <f>NSG_Requirements!J11/1000</f>
        <v>0</v>
      </c>
      <c r="I8" s="837">
        <f>NSG_Requirements!J12/1000</f>
        <v>0</v>
      </c>
      <c r="J8" s="110"/>
    </row>
    <row r="9" spans="1:10" ht="24.95" customHeight="1">
      <c r="A9" s="835"/>
      <c r="B9" s="826" t="s">
        <v>135</v>
      </c>
      <c r="C9" s="840" t="s">
        <v>87</v>
      </c>
      <c r="D9" s="836">
        <f>NSG_Requirements!H7/1000</f>
        <v>0</v>
      </c>
      <c r="E9" s="836">
        <f>NSG_Requirements!H8/1000</f>
        <v>0</v>
      </c>
      <c r="F9" s="836">
        <f>NSG_Requirements!H9/1000</f>
        <v>0</v>
      </c>
      <c r="G9" s="836">
        <f>NSG_Requirements!H10/1000</f>
        <v>0</v>
      </c>
      <c r="H9" s="836">
        <f>NSG_Requirements!H11/1000</f>
        <v>0</v>
      </c>
      <c r="I9" s="837">
        <f>NSG_Requirements!H12/1000</f>
        <v>0</v>
      </c>
      <c r="J9" s="110"/>
    </row>
    <row r="10" spans="1:10" ht="24.95" customHeight="1">
      <c r="A10" s="853" t="s">
        <v>154</v>
      </c>
      <c r="B10" s="854" t="s">
        <v>379</v>
      </c>
      <c r="C10" s="854"/>
      <c r="D10" s="868">
        <f>NSG_Requirements!B7/1000</f>
        <v>0</v>
      </c>
      <c r="E10" s="868">
        <f>NSG_Requirements!B8/1000</f>
        <v>0</v>
      </c>
      <c r="F10" s="868">
        <f>NSG_Requirements!B9/1000</f>
        <v>0</v>
      </c>
      <c r="G10" s="868">
        <f>NSG_Requirements!B10/1000</f>
        <v>0</v>
      </c>
      <c r="H10" s="868">
        <f>NSG_Requirements!B11/1000</f>
        <v>0</v>
      </c>
      <c r="I10" s="869">
        <f>NSG_Requirements!B12/1000</f>
        <v>0</v>
      </c>
      <c r="J10" s="110"/>
    </row>
    <row r="11" spans="1:10" ht="24.95" customHeight="1" thickBot="1">
      <c r="A11" s="870" t="s">
        <v>143</v>
      </c>
      <c r="B11" s="860"/>
      <c r="C11" s="860"/>
      <c r="D11" s="845">
        <f t="shared" ref="D11:I11" ca="1" si="1">SUM(D6:D10)</f>
        <v>39.92</v>
      </c>
      <c r="E11" s="845">
        <f t="shared" ca="1" si="1"/>
        <v>34</v>
      </c>
      <c r="F11" s="845">
        <f t="shared" ca="1" si="1"/>
        <v>34</v>
      </c>
      <c r="G11" s="845">
        <f t="shared" ca="1" si="1"/>
        <v>33</v>
      </c>
      <c r="H11" s="845">
        <f t="shared" ca="1" si="1"/>
        <v>30</v>
      </c>
      <c r="I11" s="846">
        <f t="shared" ca="1" si="1"/>
        <v>33</v>
      </c>
      <c r="J11" s="110"/>
    </row>
    <row r="12" spans="1:10" ht="24.95" customHeight="1" thickTop="1" thickBot="1">
      <c r="A12" s="871"/>
      <c r="B12" s="872"/>
      <c r="C12" s="872"/>
      <c r="D12" s="873"/>
      <c r="E12" s="873"/>
      <c r="F12" s="873"/>
      <c r="G12" s="873"/>
      <c r="H12" s="873"/>
      <c r="I12" s="873"/>
      <c r="J12" s="111"/>
    </row>
    <row r="13" spans="1:10" ht="24.95" customHeight="1" thickTop="1" thickBot="1">
      <c r="A13" s="874" t="s">
        <v>144</v>
      </c>
      <c r="B13" s="849"/>
      <c r="C13" s="849"/>
      <c r="D13" s="850"/>
      <c r="E13" s="850"/>
      <c r="F13" s="850"/>
      <c r="G13" s="850"/>
      <c r="H13" s="850"/>
      <c r="I13" s="851"/>
      <c r="J13" s="110"/>
    </row>
    <row r="14" spans="1:10" ht="24.95" customHeight="1" thickTop="1">
      <c r="A14" s="835" t="s">
        <v>720</v>
      </c>
      <c r="B14" s="826" t="s">
        <v>139</v>
      </c>
      <c r="C14" s="826" t="s">
        <v>155</v>
      </c>
      <c r="D14" s="836">
        <f>NSG_Supplies!G7/1000</f>
        <v>0</v>
      </c>
      <c r="E14" s="836">
        <f>NSG_Supplies!G8/1000</f>
        <v>0</v>
      </c>
      <c r="F14" s="836">
        <f>NSG_Supplies!G9/1000</f>
        <v>0</v>
      </c>
      <c r="G14" s="836">
        <f>NSG_Supplies!G10/1000</f>
        <v>0</v>
      </c>
      <c r="H14" s="836">
        <f>NSG_Supplies!G11/1000</f>
        <v>0</v>
      </c>
      <c r="I14" s="837">
        <f>NSG_Supplies!G12/1000</f>
        <v>0</v>
      </c>
      <c r="J14" s="110"/>
    </row>
    <row r="15" spans="1:10" ht="24.95" customHeight="1">
      <c r="A15" s="835"/>
      <c r="B15" s="826" t="s">
        <v>137</v>
      </c>
      <c r="C15" s="826" t="s">
        <v>146</v>
      </c>
      <c r="D15" s="836">
        <f>NSG_Supplies!K7/1000</f>
        <v>0</v>
      </c>
      <c r="E15" s="836">
        <f>NSG_Supplies!K8/1000</f>
        <v>0</v>
      </c>
      <c r="F15" s="836">
        <f>NSG_Supplies!K9/1000</f>
        <v>0</v>
      </c>
      <c r="G15" s="836">
        <f>NSG_Supplies!K10/1000</f>
        <v>0</v>
      </c>
      <c r="H15" s="836">
        <f>NSG_Supplies!K11/1000</f>
        <v>0</v>
      </c>
      <c r="I15" s="837">
        <f>NSG_Supplies!K12/1000</f>
        <v>0</v>
      </c>
      <c r="J15" s="110"/>
    </row>
    <row r="16" spans="1:10" ht="24.95" customHeight="1">
      <c r="A16" s="835"/>
      <c r="B16" s="826"/>
      <c r="C16" s="840" t="s">
        <v>788</v>
      </c>
      <c r="D16" s="836">
        <f>NSG_Supplies!E7/1000</f>
        <v>0</v>
      </c>
      <c r="E16" s="836">
        <f>NSG_Supplies!E8/1000</f>
        <v>0</v>
      </c>
      <c r="F16" s="836">
        <f>NSG_Supplies!E9/1000</f>
        <v>0</v>
      </c>
      <c r="G16" s="836">
        <f>NSG_Supplies!E10/1000</f>
        <v>0</v>
      </c>
      <c r="H16" s="836">
        <f>NSG_Supplies!E11/1000</f>
        <v>0</v>
      </c>
      <c r="I16" s="841">
        <f>NSG_Supplies!E12/1000</f>
        <v>0</v>
      </c>
      <c r="J16" s="111"/>
    </row>
    <row r="17" spans="1:13" ht="24.95" customHeight="1">
      <c r="A17" s="835"/>
      <c r="B17" s="826" t="s">
        <v>135</v>
      </c>
      <c r="C17" s="840" t="s">
        <v>789</v>
      </c>
      <c r="D17" s="836">
        <f>NSG_Supplies!F7/1000</f>
        <v>0.6</v>
      </c>
      <c r="E17" s="836">
        <f>NSG_Supplies!F8/1000</f>
        <v>0</v>
      </c>
      <c r="F17" s="836">
        <f>NSG_Supplies!F9/1000</f>
        <v>0</v>
      </c>
      <c r="G17" s="836">
        <f>NSG_Supplies!F10/1000</f>
        <v>0</v>
      </c>
      <c r="H17" s="836">
        <f>NSG_Supplies!F11/1000</f>
        <v>0</v>
      </c>
      <c r="I17" s="841">
        <f>NSG_Supplies!F12/1000</f>
        <v>0</v>
      </c>
      <c r="J17" s="111"/>
    </row>
    <row r="18" spans="1:13" ht="24.95" customHeight="1">
      <c r="A18" s="835"/>
      <c r="B18" s="826" t="s">
        <v>81</v>
      </c>
      <c r="C18" s="826" t="s">
        <v>721</v>
      </c>
      <c r="D18" s="836">
        <f>NSG_Supplies!T7/1000</f>
        <v>0</v>
      </c>
      <c r="E18" s="836">
        <f>NSG_Supplies!T8/1000</f>
        <v>0</v>
      </c>
      <c r="F18" s="836">
        <f>NSG_Supplies!T9/1000</f>
        <v>0</v>
      </c>
      <c r="G18" s="836">
        <f>NSG_Supplies!T10/1000</f>
        <v>0</v>
      </c>
      <c r="H18" s="836">
        <f>NSG_Supplies!T11/1000</f>
        <v>0</v>
      </c>
      <c r="I18" s="841">
        <f>NSG_Supplies!T12/1000</f>
        <v>0</v>
      </c>
      <c r="J18" s="111"/>
    </row>
    <row r="19" spans="1:13" ht="24.95" customHeight="1">
      <c r="A19" s="835" t="s">
        <v>156</v>
      </c>
      <c r="B19" s="826" t="s">
        <v>135</v>
      </c>
      <c r="C19" s="1094" t="s">
        <v>722</v>
      </c>
      <c r="D19" s="836">
        <f>NSG_Supplies!Q7/1000</f>
        <v>27.323</v>
      </c>
      <c r="E19" s="836">
        <f>NSG_Supplies!Q8/1000</f>
        <v>26.65</v>
      </c>
      <c r="F19" s="836">
        <f>NSG_Supplies!Q9/1000</f>
        <v>26.65</v>
      </c>
      <c r="G19" s="836">
        <f>NSG_Supplies!Q10/1000</f>
        <v>26.65</v>
      </c>
      <c r="H19" s="836">
        <f>NSG_Supplies!Q11/1000</f>
        <v>26.65</v>
      </c>
      <c r="I19" s="837">
        <f>NSG_Supplies!Q12/1000</f>
        <v>26.65</v>
      </c>
      <c r="J19" s="110"/>
    </row>
    <row r="20" spans="1:13" ht="24.95" customHeight="1">
      <c r="A20" s="835"/>
      <c r="B20" s="826" t="s">
        <v>137</v>
      </c>
      <c r="C20" s="826" t="s">
        <v>600</v>
      </c>
      <c r="D20" s="836">
        <f>NSG_Supplies!P7/1000</f>
        <v>12</v>
      </c>
      <c r="E20" s="836">
        <f>NSG_Supplies!P8/1000</f>
        <v>12</v>
      </c>
      <c r="F20" s="836">
        <f>NSG_Supplies!P9/1000</f>
        <v>12</v>
      </c>
      <c r="G20" s="836">
        <f>NSG_Supplies!P10/1000</f>
        <v>12</v>
      </c>
      <c r="H20" s="836">
        <f>NSG_Supplies!P11/1000</f>
        <v>12</v>
      </c>
      <c r="I20" s="837">
        <f>NSG_Supplies!P12/1000</f>
        <v>12</v>
      </c>
      <c r="J20" s="110"/>
    </row>
    <row r="21" spans="1:13" ht="24.95" customHeight="1" thickBot="1">
      <c r="A21" s="1242" t="s">
        <v>149</v>
      </c>
      <c r="B21" s="1243"/>
      <c r="C21" s="1243"/>
      <c r="D21" s="1244">
        <f t="shared" ref="D21:I21" si="2">SUM(D14:D20)</f>
        <v>39.923000000000002</v>
      </c>
      <c r="E21" s="1244">
        <f t="shared" si="2"/>
        <v>38.65</v>
      </c>
      <c r="F21" s="1244">
        <f t="shared" si="2"/>
        <v>38.65</v>
      </c>
      <c r="G21" s="1244">
        <f t="shared" si="2"/>
        <v>38.65</v>
      </c>
      <c r="H21" s="1244">
        <f t="shared" si="2"/>
        <v>38.65</v>
      </c>
      <c r="I21" s="1245">
        <f t="shared" si="2"/>
        <v>38.65</v>
      </c>
      <c r="J21" s="110"/>
      <c r="K21" s="111"/>
      <c r="L21" s="93"/>
      <c r="M21" s="111"/>
    </row>
    <row r="22" spans="1:13" ht="24.95" customHeight="1">
      <c r="A22" s="875" t="s">
        <v>150</v>
      </c>
      <c r="B22" s="876"/>
      <c r="C22" s="876"/>
      <c r="D22" s="877">
        <f t="shared" ref="D22:I22" ca="1" si="3">IF(D21-D11&lt;0,0,D21-D11)</f>
        <v>3.0000000000001137E-3</v>
      </c>
      <c r="E22" s="877">
        <f t="shared" ca="1" si="3"/>
        <v>4.6499999999999986</v>
      </c>
      <c r="F22" s="877">
        <f t="shared" ca="1" si="3"/>
        <v>4.6499999999999986</v>
      </c>
      <c r="G22" s="877">
        <f t="shared" ca="1" si="3"/>
        <v>5.6499999999999986</v>
      </c>
      <c r="H22" s="877">
        <f t="shared" ca="1" si="3"/>
        <v>8.6499999999999986</v>
      </c>
      <c r="I22" s="878">
        <f t="shared" ca="1" si="3"/>
        <v>5.6499999999999986</v>
      </c>
      <c r="J22" s="110"/>
      <c r="K22" s="111"/>
      <c r="L22" s="93"/>
      <c r="M22" s="111"/>
    </row>
    <row r="23" spans="1:13" ht="24.95" customHeight="1" thickBot="1">
      <c r="A23" s="879" t="s">
        <v>151</v>
      </c>
      <c r="B23" s="860"/>
      <c r="C23" s="860"/>
      <c r="D23" s="861">
        <f t="shared" ref="D23:I23" ca="1" si="4">IF(D11-D21&lt;0,0,D11-D21)</f>
        <v>0</v>
      </c>
      <c r="E23" s="861">
        <f t="shared" ca="1" si="4"/>
        <v>0</v>
      </c>
      <c r="F23" s="861">
        <f t="shared" ca="1" si="4"/>
        <v>0</v>
      </c>
      <c r="G23" s="861">
        <f t="shared" ca="1" si="4"/>
        <v>0</v>
      </c>
      <c r="H23" s="861">
        <f t="shared" ca="1" si="4"/>
        <v>0</v>
      </c>
      <c r="I23" s="862">
        <f t="shared" ca="1" si="4"/>
        <v>0</v>
      </c>
      <c r="J23" s="110"/>
      <c r="K23" s="111"/>
      <c r="L23" s="111"/>
      <c r="M23" s="111"/>
    </row>
    <row r="24" spans="1:13" ht="24.95" customHeight="1" thickTop="1" thickBot="1">
      <c r="A24" s="1095" t="s">
        <v>723</v>
      </c>
      <c r="B24" s="1096"/>
      <c r="C24" s="1096"/>
      <c r="D24" s="1097">
        <f>NSG_Supplies!R7/1000</f>
        <v>15.99</v>
      </c>
      <c r="E24" s="1097">
        <f>NSG_Supplies!R8/1000</f>
        <v>15.317</v>
      </c>
      <c r="F24" s="1097">
        <f>NSG_Supplies!R9/1000</f>
        <v>15.317</v>
      </c>
      <c r="G24" s="1097">
        <f>NSG_Supplies!R10/1000</f>
        <v>15.317</v>
      </c>
      <c r="H24" s="1097">
        <f>NSG_Supplies!R11/1000</f>
        <v>15.317</v>
      </c>
      <c r="I24" s="1098">
        <f>NSG_Supplies!R12/1000</f>
        <v>15.317</v>
      </c>
    </row>
    <row r="25" spans="1:13" ht="24.95" customHeight="1" thickTop="1" thickBot="1">
      <c r="B25" s="881"/>
      <c r="C25" s="881"/>
      <c r="D25" s="881"/>
      <c r="E25" s="881"/>
      <c r="F25" s="881"/>
      <c r="G25" s="880"/>
      <c r="H25" s="880"/>
      <c r="I25" s="880"/>
    </row>
    <row r="26" spans="1:13" ht="24.95" customHeight="1" thickTop="1" thickBot="1">
      <c r="A26" s="882" t="s">
        <v>157</v>
      </c>
      <c r="B26" s="883"/>
      <c r="C26" s="883"/>
      <c r="D26" s="884">
        <f>Weather_Input!D5</f>
        <v>8</v>
      </c>
      <c r="E26" s="884">
        <f>Weather_Input!D6</f>
        <v>8</v>
      </c>
      <c r="F26" s="884">
        <f>Weather_Input!D7</f>
        <v>8</v>
      </c>
      <c r="G26" s="885"/>
      <c r="H26" s="880"/>
      <c r="I26" s="880"/>
    </row>
    <row r="27" spans="1:13" ht="15.75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F16" zoomScale="75" workbookViewId="0">
      <selection activeCell="N20" sqref="N20"/>
    </sheetView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141" t="s">
        <v>9</v>
      </c>
      <c r="B1" s="1138" t="s">
        <v>9</v>
      </c>
      <c r="C1" s="1139" t="s">
        <v>695</v>
      </c>
      <c r="D1" s="1140"/>
      <c r="E1" s="1141" t="s">
        <v>9</v>
      </c>
      <c r="F1" s="1142" t="s">
        <v>741</v>
      </c>
      <c r="G1" s="1143" t="s">
        <v>9</v>
      </c>
      <c r="H1" s="1144"/>
      <c r="I1" s="1186" t="s">
        <v>9</v>
      </c>
      <c r="J1" s="583"/>
      <c r="K1" s="583"/>
      <c r="L1" s="584" t="s">
        <v>159</v>
      </c>
      <c r="M1" s="1217">
        <f>Weather_Input!A5</f>
        <v>37089</v>
      </c>
      <c r="N1" s="1218" t="str">
        <f>CHOOSE(WEEKDAY(M1),"SUN","MON","TUE","WED","THU","FRI","SAT")</f>
        <v>TUE</v>
      </c>
      <c r="O1" s="588"/>
    </row>
    <row r="2" spans="1:17" ht="16.5" thickTop="1" thickBot="1">
      <c r="A2" s="420" t="s">
        <v>698</v>
      </c>
      <c r="B2" s="319">
        <f>PGL_Supplies!W7/1000</f>
        <v>0.3</v>
      </c>
      <c r="C2" s="8"/>
      <c r="D2" s="608"/>
      <c r="E2" s="563" t="s">
        <v>404</v>
      </c>
      <c r="F2" s="1118"/>
      <c r="G2" s="558" t="s">
        <v>9</v>
      </c>
      <c r="H2" s="1132" t="s">
        <v>9</v>
      </c>
      <c r="I2" s="254" t="s">
        <v>509</v>
      </c>
      <c r="J2" s="1159" t="s">
        <v>387</v>
      </c>
      <c r="K2" s="1163" t="s">
        <v>162</v>
      </c>
      <c r="L2" s="1164" t="s">
        <v>21</v>
      </c>
      <c r="M2" s="1163" t="s">
        <v>162</v>
      </c>
      <c r="N2" s="1159" t="s">
        <v>21</v>
      </c>
      <c r="O2" s="1165" t="s">
        <v>162</v>
      </c>
      <c r="Q2" s="1137" t="s">
        <v>9</v>
      </c>
    </row>
    <row r="3" spans="1:17" ht="15.75">
      <c r="A3" s="420" t="s">
        <v>736</v>
      </c>
      <c r="B3" s="1178">
        <f>PGL_Requirements!I7/1000</f>
        <v>0</v>
      </c>
      <c r="C3" s="958" t="s">
        <v>9</v>
      </c>
      <c r="D3" s="308"/>
      <c r="E3" s="563" t="s">
        <v>453</v>
      </c>
      <c r="F3" s="319">
        <f>PGL_Supplies!H7/1000</f>
        <v>22.6</v>
      </c>
      <c r="G3" s="383" t="s">
        <v>9</v>
      </c>
      <c r="H3" s="1132" t="s">
        <v>9</v>
      </c>
      <c r="I3" s="1187" t="s">
        <v>9</v>
      </c>
      <c r="J3" s="944">
        <f>Weather_Input!B5</f>
        <v>85</v>
      </c>
      <c r="K3" s="945">
        <f>Weather_Input!C5</f>
        <v>72</v>
      </c>
      <c r="L3" s="599" t="s">
        <v>9</v>
      </c>
      <c r="M3" s="264" t="s">
        <v>9</v>
      </c>
      <c r="N3" s="264"/>
      <c r="O3" s="262"/>
    </row>
    <row r="4" spans="1:17" ht="15.75" thickBot="1">
      <c r="A4" s="244" t="s">
        <v>738</v>
      </c>
      <c r="B4" s="1179">
        <v>0</v>
      </c>
      <c r="C4" s="119"/>
      <c r="D4" s="970"/>
      <c r="E4" s="532" t="s">
        <v>454</v>
      </c>
      <c r="F4" s="1212">
        <v>0</v>
      </c>
      <c r="G4" s="521" t="s">
        <v>9</v>
      </c>
      <c r="H4" s="1237"/>
      <c r="I4" t="s">
        <v>772</v>
      </c>
      <c r="J4" s="1044">
        <v>79.900000000000006</v>
      </c>
      <c r="K4" s="1260"/>
      <c r="L4" s="429"/>
      <c r="M4" s="1046"/>
      <c r="N4" s="429"/>
      <c r="O4" s="799"/>
    </row>
    <row r="5" spans="1:17" ht="16.5" thickBot="1">
      <c r="A5" s="1058" t="s">
        <v>3</v>
      </c>
      <c r="B5" s="319">
        <f>PGL_Supplies!X7/1000</f>
        <v>106.79600000000001</v>
      </c>
      <c r="C5" s="1047" t="s">
        <v>9</v>
      </c>
      <c r="D5" s="344"/>
      <c r="E5" s="1197" t="s">
        <v>430</v>
      </c>
      <c r="F5" s="964">
        <f>F3+F4</f>
        <v>22.6</v>
      </c>
      <c r="G5" s="561" t="s">
        <v>9</v>
      </c>
      <c r="H5" s="1226" t="s">
        <v>9</v>
      </c>
      <c r="I5" s="1188" t="s">
        <v>397</v>
      </c>
      <c r="J5" s="1087" t="s">
        <v>9</v>
      </c>
      <c r="K5" s="1261">
        <f>PGL_Deliveries!C5/1000</f>
        <v>198</v>
      </c>
      <c r="L5" s="597"/>
      <c r="M5" s="264"/>
      <c r="N5" s="597"/>
      <c r="O5" s="262"/>
    </row>
    <row r="6" spans="1:17" ht="16.5" thickBot="1">
      <c r="A6" s="554" t="s">
        <v>421</v>
      </c>
      <c r="B6" s="1050">
        <f>+B5-B3+B2-B4</f>
        <v>107.096</v>
      </c>
      <c r="C6" s="1051" t="s">
        <v>9</v>
      </c>
      <c r="D6" s="526"/>
      <c r="E6" s="631" t="s">
        <v>9</v>
      </c>
      <c r="F6" s="968" t="s">
        <v>35</v>
      </c>
      <c r="G6" s="969"/>
      <c r="H6" s="1133"/>
      <c r="I6" s="119" t="s">
        <v>717</v>
      </c>
      <c r="J6" s="1088"/>
      <c r="K6" s="1262">
        <f>PGL_Requirements!X7/1000</f>
        <v>0</v>
      </c>
      <c r="L6" s="1088"/>
      <c r="M6" s="1089"/>
      <c r="N6" s="119"/>
      <c r="O6" s="116"/>
    </row>
    <row r="7" spans="1:17" ht="16.5" thickBot="1">
      <c r="A7" s="321" t="s">
        <v>9</v>
      </c>
      <c r="B7" s="1048" t="s">
        <v>9</v>
      </c>
      <c r="C7" s="963" t="s">
        <v>66</v>
      </c>
      <c r="D7" s="1049"/>
      <c r="E7" s="420" t="s">
        <v>432</v>
      </c>
      <c r="F7" s="319">
        <f>PGL_Supplies!P7/1000</f>
        <v>0</v>
      </c>
      <c r="G7" s="376" t="s">
        <v>9</v>
      </c>
      <c r="H7" s="1126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594</v>
      </c>
      <c r="B8" s="319">
        <f>PGL_Requirements!T7/1000</f>
        <v>0.2</v>
      </c>
      <c r="C8" s="589"/>
      <c r="D8" s="308"/>
      <c r="E8" s="420" t="s">
        <v>433</v>
      </c>
      <c r="F8" s="383">
        <f>PGL_Requirements!E7/1000</f>
        <v>0</v>
      </c>
      <c r="G8" s="376" t="s">
        <v>9</v>
      </c>
      <c r="H8" s="1126"/>
      <c r="I8" s="1035" t="s">
        <v>734</v>
      </c>
      <c r="J8" s="288" t="s">
        <v>9</v>
      </c>
      <c r="K8" s="1263">
        <f>B4</f>
        <v>0</v>
      </c>
      <c r="L8" s="614"/>
      <c r="M8" s="264"/>
      <c r="N8" s="614"/>
      <c r="O8" s="262" t="s">
        <v>9</v>
      </c>
    </row>
    <row r="9" spans="1:17">
      <c r="A9" s="420" t="s">
        <v>669</v>
      </c>
      <c r="B9" s="319">
        <f>PGL_Supplies!Q7/1000</f>
        <v>0</v>
      </c>
      <c r="C9" s="308"/>
      <c r="D9" s="308"/>
      <c r="E9" s="420" t="s">
        <v>434</v>
      </c>
      <c r="F9" s="319">
        <f>PGL_Supplies!F7/1000</f>
        <v>5.3</v>
      </c>
      <c r="G9" s="319"/>
      <c r="H9" s="1126"/>
      <c r="I9" s="119" t="s">
        <v>695</v>
      </c>
      <c r="J9" s="1044"/>
      <c r="K9" s="1264">
        <f>+B6</f>
        <v>107.096</v>
      </c>
      <c r="L9" s="1044"/>
      <c r="M9" s="1046"/>
      <c r="N9" s="429"/>
      <c r="O9" s="280" t="s">
        <v>9</v>
      </c>
    </row>
    <row r="10" spans="1:17" ht="15.75" thickBot="1">
      <c r="A10" s="630" t="s">
        <v>653</v>
      </c>
      <c r="B10" s="319">
        <f>PGL_Supplies!Y7/1000</f>
        <v>0.2</v>
      </c>
      <c r="C10" s="119"/>
      <c r="D10" s="1043"/>
      <c r="E10" s="420" t="s">
        <v>761</v>
      </c>
      <c r="F10" s="972">
        <f>PGL_Supplies!AC7/1000</f>
        <v>3</v>
      </c>
      <c r="G10" s="522"/>
      <c r="H10" s="1127"/>
      <c r="I10" s="1189" t="s">
        <v>754</v>
      </c>
      <c r="J10" s="277" t="s">
        <v>9</v>
      </c>
      <c r="K10" s="1263">
        <f>B11</f>
        <v>0</v>
      </c>
      <c r="L10" s="597"/>
      <c r="M10" s="609" t="s">
        <v>9</v>
      </c>
      <c r="N10" s="597"/>
      <c r="O10" s="280" t="s">
        <v>9</v>
      </c>
    </row>
    <row r="11" spans="1:17" ht="16.5" thickBot="1">
      <c r="A11" s="554" t="s">
        <v>421</v>
      </c>
      <c r="B11" s="561">
        <f>B10+B9-B8</f>
        <v>0</v>
      </c>
      <c r="C11" s="526"/>
      <c r="D11" s="526"/>
      <c r="E11" s="786" t="s">
        <v>533</v>
      </c>
      <c r="F11" s="973">
        <f>+F10+F9-F8+F7</f>
        <v>8.3000000000000007</v>
      </c>
      <c r="G11" s="964" t="s">
        <v>9</v>
      </c>
      <c r="H11" s="527"/>
      <c r="I11" s="1189" t="s">
        <v>58</v>
      </c>
      <c r="J11" s="277" t="s">
        <v>9</v>
      </c>
      <c r="K11" s="1263">
        <f>B19</f>
        <v>-102.62</v>
      </c>
      <c r="L11" s="597"/>
      <c r="M11" s="264" t="s">
        <v>9</v>
      </c>
      <c r="N11" s="597"/>
      <c r="O11" s="262"/>
    </row>
    <row r="12" spans="1:17" ht="16.5" thickBot="1">
      <c r="A12" s="550" t="s">
        <v>9</v>
      </c>
      <c r="B12" s="555" t="s">
        <v>9</v>
      </c>
      <c r="C12" s="963" t="s">
        <v>58</v>
      </c>
      <c r="D12" s="553"/>
      <c r="E12" s="1181" t="s">
        <v>9</v>
      </c>
      <c r="F12" s="1180" t="s">
        <v>773</v>
      </c>
      <c r="G12" s="354"/>
      <c r="H12" s="1131"/>
      <c r="I12" s="1189" t="s">
        <v>755</v>
      </c>
      <c r="J12" s="277" t="s">
        <v>9</v>
      </c>
      <c r="K12" s="1263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103</v>
      </c>
      <c r="C13" s="308"/>
      <c r="D13" s="544"/>
      <c r="E13" s="576" t="s">
        <v>462</v>
      </c>
      <c r="F13" s="1118" t="s">
        <v>9</v>
      </c>
      <c r="G13" s="569" t="s">
        <v>9</v>
      </c>
      <c r="H13" s="1134" t="s">
        <v>9</v>
      </c>
      <c r="I13" s="1189" t="s">
        <v>756</v>
      </c>
      <c r="J13" s="281" t="s">
        <v>9</v>
      </c>
      <c r="K13" s="1263">
        <f>B34</f>
        <v>300.24599999999998</v>
      </c>
      <c r="L13" s="597"/>
      <c r="M13" s="264" t="s">
        <v>9</v>
      </c>
      <c r="N13" s="597"/>
      <c r="O13" s="262"/>
    </row>
    <row r="14" spans="1:17">
      <c r="A14" s="420" t="s">
        <v>426</v>
      </c>
      <c r="B14" s="319">
        <f>PGL_Supplies!L7/1000</f>
        <v>0</v>
      </c>
      <c r="C14" s="308"/>
      <c r="D14" s="544"/>
      <c r="E14" s="356" t="s">
        <v>463</v>
      </c>
      <c r="F14" s="308"/>
      <c r="G14" s="535"/>
      <c r="H14" s="1135"/>
      <c r="I14" s="1189" t="s">
        <v>400</v>
      </c>
      <c r="J14" s="277" t="s">
        <v>9</v>
      </c>
      <c r="K14" s="1265">
        <f>F5</f>
        <v>22.6</v>
      </c>
      <c r="L14" s="597"/>
      <c r="M14" s="264" t="s">
        <v>9</v>
      </c>
      <c r="N14" s="597"/>
      <c r="O14" s="262"/>
    </row>
    <row r="15" spans="1:17" ht="16.5" thickBot="1">
      <c r="A15" s="420" t="s">
        <v>427</v>
      </c>
      <c r="B15" s="319">
        <f>SUM(PGL_Requirements!B7/1000)</f>
        <v>0</v>
      </c>
      <c r="C15" s="308"/>
      <c r="D15" s="1126"/>
      <c r="E15" s="1183" t="s">
        <v>654</v>
      </c>
      <c r="F15" s="971"/>
      <c r="G15" s="1088"/>
      <c r="H15" s="1150"/>
      <c r="I15" s="1189" t="s">
        <v>757</v>
      </c>
      <c r="J15" s="277" t="s">
        <v>158</v>
      </c>
      <c r="K15" s="1263">
        <f>F11</f>
        <v>8.3000000000000007</v>
      </c>
      <c r="L15" s="597"/>
      <c r="M15" s="264" t="s">
        <v>9</v>
      </c>
      <c r="N15" s="597"/>
      <c r="O15" s="262"/>
    </row>
    <row r="16" spans="1:17" ht="16.5" thickBot="1">
      <c r="A16" s="420" t="s">
        <v>428</v>
      </c>
      <c r="B16" s="319">
        <f>PGL_Supplies!G7/1000</f>
        <v>1</v>
      </c>
      <c r="C16" s="308"/>
      <c r="D16" s="1126"/>
      <c r="E16" s="1184" t="s">
        <v>9</v>
      </c>
      <c r="F16" s="1145" t="s">
        <v>455</v>
      </c>
      <c r="G16" s="1227"/>
      <c r="H16" s="1185"/>
      <c r="I16" s="1189" t="s">
        <v>534</v>
      </c>
      <c r="J16" s="277" t="s">
        <v>158</v>
      </c>
      <c r="K16" s="1265">
        <f>PGL_Supplies!B7/1000</f>
        <v>0</v>
      </c>
      <c r="L16" s="597"/>
      <c r="M16" s="264" t="s">
        <v>9</v>
      </c>
      <c r="N16" s="597"/>
      <c r="O16" s="262"/>
    </row>
    <row r="17" spans="1:15" ht="15" customHeight="1" thickBot="1">
      <c r="A17" s="365" t="s">
        <v>691</v>
      </c>
      <c r="B17" s="319">
        <f>PGL_Requirements!Q7/1000</f>
        <v>0.62</v>
      </c>
      <c r="C17" s="308"/>
      <c r="D17" s="1126"/>
      <c r="E17" s="537" t="s">
        <v>456</v>
      </c>
      <c r="F17" s="557">
        <f>+PGL_Supplies!J7/1000</f>
        <v>0</v>
      </c>
      <c r="G17" s="1210" t="s">
        <v>9</v>
      </c>
      <c r="H17" s="1136" t="s">
        <v>9</v>
      </c>
      <c r="I17" s="1182" t="s">
        <v>535</v>
      </c>
      <c r="J17" s="302" t="s">
        <v>9</v>
      </c>
      <c r="K17" s="1266">
        <f>-PGL_Requirements!F7/1000</f>
        <v>-25.8</v>
      </c>
      <c r="L17" s="597"/>
      <c r="M17" s="264"/>
      <c r="N17" s="597"/>
      <c r="O17" s="262"/>
    </row>
    <row r="18" spans="1:15" ht="16.5" thickBot="1">
      <c r="A18" s="420" t="s">
        <v>692</v>
      </c>
      <c r="B18" s="319">
        <f>PGL_Requirements!P7/1000</f>
        <v>1.5449999999999999</v>
      </c>
      <c r="C18" s="344"/>
      <c r="D18" s="1127"/>
      <c r="E18" s="631" t="s">
        <v>9</v>
      </c>
      <c r="F18" s="1145" t="s">
        <v>742</v>
      </c>
      <c r="G18" s="969"/>
      <c r="H18" s="1133"/>
      <c r="I18" t="s">
        <v>771</v>
      </c>
      <c r="J18" s="1044"/>
      <c r="K18" s="1267">
        <f>-F19</f>
        <v>-28.5</v>
      </c>
      <c r="L18" s="1044"/>
      <c r="M18" s="221"/>
      <c r="N18" s="1044"/>
      <c r="O18" s="799"/>
    </row>
    <row r="19" spans="1:15" ht="16.5" thickBot="1">
      <c r="A19" s="513" t="s">
        <v>430</v>
      </c>
      <c r="B19" s="1208">
        <f>-B13+B14+B16-B17-B15+B20+B21</f>
        <v>-102.62</v>
      </c>
      <c r="C19" s="515"/>
      <c r="D19" s="527"/>
      <c r="E19" s="1146" t="s">
        <v>743</v>
      </c>
      <c r="F19" s="1211">
        <f>PGL_Requirements!J7/1000</f>
        <v>28.5</v>
      </c>
      <c r="G19" s="1033" t="s">
        <v>9</v>
      </c>
      <c r="H19" s="1147" t="s">
        <v>9</v>
      </c>
      <c r="I19" t="s">
        <v>536</v>
      </c>
      <c r="J19" s="1214"/>
      <c r="K19" s="1268">
        <f>-F24</f>
        <v>-113.9</v>
      </c>
      <c r="L19" s="1214"/>
      <c r="M19" s="157"/>
      <c r="N19" s="1214"/>
      <c r="O19" s="1213"/>
    </row>
    <row r="20" spans="1:15" ht="16.5" thickBot="1">
      <c r="A20" s="327" t="s">
        <v>204</v>
      </c>
      <c r="B20" s="319">
        <v>0</v>
      </c>
      <c r="C20" s="518"/>
      <c r="D20" s="1128"/>
      <c r="E20" s="119"/>
      <c r="F20" s="119"/>
      <c r="G20" s="119"/>
      <c r="H20" s="1158"/>
      <c r="I20" s="1190" t="s">
        <v>654</v>
      </c>
      <c r="J20" s="612" t="s">
        <v>9</v>
      </c>
      <c r="K20" s="1269">
        <f>SUM(K8:K19)</f>
        <v>167.422</v>
      </c>
      <c r="L20" s="616" t="s">
        <v>9</v>
      </c>
      <c r="M20" s="506" t="s">
        <v>9</v>
      </c>
      <c r="N20" s="616" t="s">
        <v>9</v>
      </c>
      <c r="O20" s="617"/>
    </row>
    <row r="21" spans="1:15" ht="16.5" thickBot="1">
      <c r="A21" s="420" t="s">
        <v>202</v>
      </c>
      <c r="B21" s="1122">
        <v>0</v>
      </c>
      <c r="C21" s="545"/>
      <c r="D21" s="1129"/>
      <c r="E21" s="1148" t="s">
        <v>744</v>
      </c>
      <c r="F21" s="1179">
        <v>0</v>
      </c>
      <c r="G21" s="1045"/>
      <c r="H21" s="431"/>
      <c r="I21" s="492" t="s">
        <v>36</v>
      </c>
      <c r="J21" s="500" t="s">
        <v>9</v>
      </c>
      <c r="K21" s="947"/>
      <c r="L21" s="502"/>
      <c r="M21" s="502" t="s">
        <v>753</v>
      </c>
      <c r="N21" s="502"/>
      <c r="O21" s="948"/>
    </row>
    <row r="22" spans="1:15" ht="15.75" thickBot="1">
      <c r="A22" s="1123" t="s">
        <v>735</v>
      </c>
      <c r="B22" s="1110">
        <f>SUM(B4)</f>
        <v>0</v>
      </c>
      <c r="C22" s="1124"/>
      <c r="D22" s="1125"/>
      <c r="E22" s="1148" t="s">
        <v>745</v>
      </c>
      <c r="F22" s="1179">
        <v>0</v>
      </c>
      <c r="G22" s="1045"/>
      <c r="H22" s="431"/>
      <c r="I22" s="1189" t="s">
        <v>592</v>
      </c>
      <c r="J22" s="277" t="s">
        <v>9</v>
      </c>
      <c r="K22" s="1270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28" t="s">
        <v>67</v>
      </c>
      <c r="D23" s="1133"/>
      <c r="E23" s="1149" t="s">
        <v>746</v>
      </c>
      <c r="F23" s="1199">
        <v>0</v>
      </c>
      <c r="G23" s="971"/>
      <c r="H23" s="1150"/>
      <c r="I23" s="1189" t="s">
        <v>403</v>
      </c>
      <c r="J23" s="277" t="s">
        <v>9</v>
      </c>
      <c r="K23" s="1263">
        <f>K5+K6-K20</f>
        <v>30.578000000000003</v>
      </c>
      <c r="L23" s="261"/>
      <c r="M23" s="609" t="s">
        <v>9</v>
      </c>
      <c r="N23" s="261"/>
      <c r="O23" s="291"/>
    </row>
    <row r="24" spans="1:15" ht="16.5" thickBot="1">
      <c r="A24" s="420" t="s">
        <v>424</v>
      </c>
      <c r="B24" s="319">
        <f>PGL_Supplies!C7/1000</f>
        <v>0</v>
      </c>
      <c r="C24" s="347"/>
      <c r="D24" s="1126"/>
      <c r="E24" s="546" t="s">
        <v>747</v>
      </c>
      <c r="F24" s="1211">
        <f>PGL_Requirements!G7/1000*0.5</f>
        <v>113.9</v>
      </c>
      <c r="G24" s="1033"/>
      <c r="H24" s="1016"/>
      <c r="I24" s="1191" t="s">
        <v>404</v>
      </c>
      <c r="J24" s="277" t="s">
        <v>9</v>
      </c>
      <c r="K24" s="1263"/>
      <c r="L24" s="292" t="s">
        <v>9</v>
      </c>
      <c r="M24" s="949"/>
      <c r="N24" s="292" t="s">
        <v>9</v>
      </c>
      <c r="O24" s="291"/>
    </row>
    <row r="25" spans="1:15" ht="16.5" thickBot="1">
      <c r="A25" s="420" t="s">
        <v>739</v>
      </c>
      <c r="B25" s="966">
        <f>PGL_Supplies!C7/1000</f>
        <v>0</v>
      </c>
      <c r="C25" s="1207"/>
      <c r="D25" s="1126"/>
      <c r="E25" s="1151" t="s">
        <v>748</v>
      </c>
      <c r="F25" s="1200"/>
      <c r="G25" s="1152"/>
      <c r="H25" s="1153"/>
      <c r="I25" s="1189" t="s">
        <v>405</v>
      </c>
      <c r="J25" s="950" t="s">
        <v>9</v>
      </c>
      <c r="K25" s="1271">
        <f>SUM(B18+B20+B21)</f>
        <v>1.5449999999999999</v>
      </c>
      <c r="L25" s="951"/>
      <c r="M25" s="1225"/>
      <c r="N25" s="952" t="s">
        <v>9</v>
      </c>
      <c r="O25" s="255"/>
    </row>
    <row r="26" spans="1:15" ht="17.25" thickTop="1" thickBot="1">
      <c r="A26" s="420" t="s">
        <v>104</v>
      </c>
      <c r="B26" s="966">
        <f>PGL_Supplies!Z7/1000</f>
        <v>0</v>
      </c>
      <c r="C26" s="308"/>
      <c r="D26" s="1126"/>
      <c r="E26" s="119"/>
      <c r="F26" s="1062"/>
      <c r="G26" s="119"/>
      <c r="H26" s="158"/>
      <c r="I26" s="1192" t="s">
        <v>406</v>
      </c>
      <c r="J26" s="953" t="s">
        <v>9</v>
      </c>
      <c r="K26" s="1272">
        <f>SUM(K23:K25)</f>
        <v>32.123000000000005</v>
      </c>
      <c r="L26" s="953" t="s">
        <v>9</v>
      </c>
      <c r="M26" s="609"/>
      <c r="N26" s="954" t="s">
        <v>9</v>
      </c>
      <c r="O26" s="955" t="s">
        <v>9</v>
      </c>
    </row>
    <row r="27" spans="1:15" ht="15.75" customHeight="1" thickTop="1" thickBot="1">
      <c r="A27" s="420" t="s">
        <v>740</v>
      </c>
      <c r="B27" s="319">
        <f>PGL_Supplies!R7/1000</f>
        <v>0</v>
      </c>
      <c r="C27" s="347"/>
      <c r="D27" s="1126"/>
      <c r="E27" s="1146" t="s">
        <v>749</v>
      </c>
      <c r="F27" s="1198"/>
      <c r="G27" s="1033"/>
      <c r="H27" s="1147"/>
      <c r="I27" s="1193" t="s">
        <v>686</v>
      </c>
      <c r="J27" s="956"/>
      <c r="K27" s="1270">
        <f>SUM(-PGL_Supplies!L7/1000)</f>
        <v>0</v>
      </c>
      <c r="L27" s="1036"/>
      <c r="M27" s="1037"/>
      <c r="N27" s="509"/>
      <c r="O27" s="959"/>
    </row>
    <row r="28" spans="1:15" ht="16.5" thickBot="1">
      <c r="A28" s="554" t="s">
        <v>421</v>
      </c>
      <c r="B28" s="964">
        <f>-B24+B25+B26+B27</f>
        <v>0</v>
      </c>
      <c r="C28" s="965"/>
      <c r="D28" s="527"/>
      <c r="E28" s="119"/>
      <c r="F28" s="1062"/>
      <c r="G28" s="119"/>
      <c r="H28" s="158"/>
      <c r="I28" s="1189" t="s">
        <v>414</v>
      </c>
      <c r="J28" s="960"/>
      <c r="K28" s="1266">
        <f>PGL_Requirements!N7/1000</f>
        <v>11.16</v>
      </c>
      <c r="L28" s="302"/>
      <c r="M28" s="946" t="s">
        <v>9</v>
      </c>
      <c r="N28" s="509"/>
      <c r="O28" s="957" t="s">
        <v>9</v>
      </c>
    </row>
    <row r="29" spans="1:15" ht="16.5" thickBot="1">
      <c r="A29" s="353" t="s">
        <v>9</v>
      </c>
      <c r="B29" s="1223" t="s">
        <v>399</v>
      </c>
      <c r="C29" s="354"/>
      <c r="D29" s="355"/>
      <c r="E29" s="1154" t="s">
        <v>447</v>
      </c>
      <c r="F29" s="1199"/>
      <c r="G29" s="971"/>
      <c r="H29" s="1155"/>
      <c r="I29" s="1189" t="s">
        <v>415</v>
      </c>
      <c r="J29" s="961"/>
      <c r="K29" s="1273">
        <f>-PGL_Supplies!K7/1000</f>
        <v>0</v>
      </c>
      <c r="L29" s="302"/>
      <c r="M29" s="958" t="s">
        <v>9</v>
      </c>
      <c r="N29" s="509"/>
      <c r="O29" s="962" t="s">
        <v>9</v>
      </c>
    </row>
    <row r="30" spans="1:15" ht="15.75" thickBot="1">
      <c r="A30" s="365" t="s">
        <v>458</v>
      </c>
      <c r="B30" s="383">
        <f>PGL_Requirements!D7/1000</f>
        <v>0</v>
      </c>
      <c r="C30" s="535"/>
      <c r="D30" s="383" t="s">
        <v>9</v>
      </c>
      <c r="E30" s="1157" t="s">
        <v>750</v>
      </c>
      <c r="F30" s="1179"/>
      <c r="G30" s="1045"/>
      <c r="H30" s="1130"/>
      <c r="I30" s="1194" t="s">
        <v>183</v>
      </c>
      <c r="J30" s="1160"/>
      <c r="K30" s="1262">
        <f>-PGL_Supplies!AB7/1000</f>
        <v>-43.286999999999999</v>
      </c>
      <c r="L30" s="1161"/>
      <c r="M30" s="1061">
        <f>-PGL_Supplies!AB7/1000</f>
        <v>-43.286999999999999</v>
      </c>
      <c r="N30" s="1162"/>
      <c r="O30" s="1222">
        <f>-PGL_Supplies!AB7/1000</f>
        <v>-43.286999999999999</v>
      </c>
    </row>
    <row r="31" spans="1:15" ht="16.5" thickBot="1">
      <c r="A31" s="365" t="s">
        <v>459</v>
      </c>
      <c r="B31" s="966">
        <f>PGL_Supplies!D7/1000</f>
        <v>43.7</v>
      </c>
      <c r="C31" s="966" t="s">
        <v>9</v>
      </c>
      <c r="D31" s="967" t="s">
        <v>9</v>
      </c>
      <c r="E31" s="157" t="s">
        <v>751</v>
      </c>
      <c r="F31" s="1201"/>
      <c r="G31" s="1043"/>
      <c r="H31" s="1156"/>
      <c r="I31" s="324" t="s">
        <v>188</v>
      </c>
      <c r="J31" s="323"/>
      <c r="K31" s="1168"/>
      <c r="L31" s="1169"/>
      <c r="M31" s="326"/>
      <c r="N31" s="326"/>
      <c r="O31" s="326"/>
    </row>
    <row r="32" spans="1:15" ht="16.5" thickBot="1">
      <c r="A32" s="420" t="s">
        <v>104</v>
      </c>
      <c r="B32" s="966">
        <f>PGL_Supplies!AA7/1000+NSG_Supplies!M7/1000</f>
        <v>221.54599999999999</v>
      </c>
      <c r="C32" s="966" t="s">
        <v>9</v>
      </c>
      <c r="D32" s="967" t="s">
        <v>9</v>
      </c>
      <c r="E32" s="546" t="s">
        <v>752</v>
      </c>
      <c r="F32" s="1202"/>
      <c r="G32" s="425"/>
      <c r="H32" s="1016"/>
      <c r="I32" s="1193" t="s">
        <v>438</v>
      </c>
      <c r="J32" s="518"/>
      <c r="K32" s="1229"/>
      <c r="L32" s="1209" t="s">
        <v>758</v>
      </c>
      <c r="M32" s="119"/>
      <c r="N32" s="1236"/>
      <c r="O32" s="1234"/>
    </row>
    <row r="33" spans="1:15" ht="15.75" thickBot="1">
      <c r="A33" s="1117" t="s">
        <v>587</v>
      </c>
      <c r="B33" s="966">
        <f>PGL_Supplies!S7/1000</f>
        <v>70</v>
      </c>
      <c r="C33" s="966" t="s">
        <v>9</v>
      </c>
      <c r="D33" s="970"/>
      <c r="E33" s="119"/>
      <c r="F33" s="119"/>
      <c r="G33" s="119"/>
      <c r="H33" s="158"/>
      <c r="I33" s="1195" t="s">
        <v>439</v>
      </c>
      <c r="J33" s="1233"/>
      <c r="K33" s="1230"/>
      <c r="L33" s="1170" t="s">
        <v>447</v>
      </c>
      <c r="M33" s="1046"/>
      <c r="N33" s="1044"/>
      <c r="O33" s="799"/>
    </row>
    <row r="34" spans="1:15" ht="16.5" thickBot="1">
      <c r="A34" s="1173" t="s">
        <v>650</v>
      </c>
      <c r="B34" s="1198">
        <f>-B30+B31+B32+B33*0.5</f>
        <v>300.24599999999998</v>
      </c>
      <c r="C34" s="1033"/>
      <c r="D34" s="1018" t="s">
        <v>9</v>
      </c>
      <c r="E34" s="1249" t="s">
        <v>760</v>
      </c>
      <c r="F34" s="119"/>
      <c r="G34" s="119"/>
      <c r="H34" s="158"/>
      <c r="I34" s="1196" t="s">
        <v>440</v>
      </c>
      <c r="J34" s="544"/>
      <c r="K34" s="1231"/>
      <c r="L34" s="1170" t="s">
        <v>448</v>
      </c>
      <c r="M34" s="1046"/>
      <c r="N34" s="1044"/>
      <c r="O34" s="799"/>
    </row>
    <row r="35" spans="1:15">
      <c r="A35" s="1112" t="s">
        <v>768</v>
      </c>
      <c r="B35" s="1021"/>
      <c r="C35" s="1021"/>
      <c r="D35" s="1019" t="s">
        <v>9</v>
      </c>
      <c r="E35" s="1249" t="s">
        <v>807</v>
      </c>
      <c r="F35" s="119"/>
      <c r="G35" s="119"/>
      <c r="H35" s="158"/>
      <c r="I35" s="1196" t="s">
        <v>441</v>
      </c>
      <c r="J35" s="544"/>
      <c r="K35" s="1230"/>
      <c r="L35" s="1171" t="s">
        <v>449</v>
      </c>
      <c r="M35" s="1046"/>
      <c r="N35" s="1044"/>
      <c r="O35" s="799"/>
    </row>
    <row r="36" spans="1:15">
      <c r="A36" s="1113" t="s">
        <v>769</v>
      </c>
      <c r="B36" s="319">
        <f>B34-B35-B37</f>
        <v>186.34599999999998</v>
      </c>
      <c r="C36" s="1022" t="s">
        <v>9</v>
      </c>
      <c r="D36" s="1020" t="s">
        <v>9</v>
      </c>
      <c r="E36" s="1249" t="s">
        <v>759</v>
      </c>
      <c r="F36" s="119"/>
      <c r="G36" s="119"/>
      <c r="H36" s="158"/>
      <c r="I36" s="1196" t="s">
        <v>442</v>
      </c>
      <c r="J36" s="544"/>
      <c r="K36" s="1230"/>
      <c r="L36" s="1171" t="s">
        <v>381</v>
      </c>
      <c r="M36" s="1046"/>
      <c r="N36" s="1044"/>
      <c r="O36" s="799"/>
    </row>
    <row r="37" spans="1:15">
      <c r="A37" s="1114" t="s">
        <v>770</v>
      </c>
      <c r="B37" s="1220">
        <f>F24</f>
        <v>113.9</v>
      </c>
      <c r="C37" s="1044"/>
      <c r="D37" s="1106" t="s">
        <v>9</v>
      </c>
      <c r="E37" s="119"/>
      <c r="F37" s="119"/>
      <c r="G37" s="119"/>
      <c r="H37" s="119"/>
      <c r="I37" s="1219" t="s">
        <v>443</v>
      </c>
      <c r="J37" s="544"/>
      <c r="K37" s="1230"/>
      <c r="L37" s="1172" t="s">
        <v>450</v>
      </c>
      <c r="M37" s="1046"/>
      <c r="N37" s="1044"/>
      <c r="O37" s="799"/>
    </row>
    <row r="38" spans="1:15">
      <c r="A38" s="1247" t="s">
        <v>806</v>
      </c>
      <c r="B38" s="1179">
        <f>PGL_Requirements!J7/1000</f>
        <v>28.5</v>
      </c>
      <c r="C38" s="1045"/>
      <c r="D38" s="970"/>
      <c r="E38" s="119"/>
      <c r="F38" s="119"/>
      <c r="G38" s="119"/>
      <c r="H38" s="119"/>
      <c r="I38" s="1215" t="s">
        <v>444</v>
      </c>
      <c r="J38" s="544"/>
      <c r="K38" s="1230"/>
      <c r="L38" s="589" t="s">
        <v>451</v>
      </c>
      <c r="M38" s="119"/>
      <c r="N38" s="1251"/>
      <c r="O38" s="1252"/>
    </row>
    <row r="39" spans="1:15" ht="16.5" thickBot="1">
      <c r="A39" s="1119" t="s">
        <v>2</v>
      </c>
      <c r="B39" s="1221">
        <f>B35+B36+B37+B38</f>
        <v>328.74599999999998</v>
      </c>
      <c r="C39" s="1120"/>
      <c r="D39" s="1121" t="s">
        <v>9</v>
      </c>
      <c r="E39" s="119"/>
      <c r="F39" s="119"/>
      <c r="G39" s="119"/>
      <c r="H39" s="119"/>
      <c r="I39" s="1216" t="s">
        <v>445</v>
      </c>
      <c r="J39" s="579"/>
      <c r="K39" s="1232"/>
      <c r="L39" s="1253" t="s">
        <v>808</v>
      </c>
      <c r="M39" s="1089"/>
      <c r="N39" s="1254"/>
      <c r="O39" s="1235"/>
    </row>
    <row r="40" spans="1:15" ht="17.25" thickTop="1" thickBot="1">
      <c r="A40" s="1248" t="s">
        <v>9</v>
      </c>
      <c r="B40" s="433"/>
      <c r="C40" s="433"/>
      <c r="D40" s="433"/>
      <c r="E40" s="117"/>
      <c r="F40" s="117"/>
      <c r="G40" s="117"/>
      <c r="H40" s="117"/>
      <c r="I40" s="117"/>
      <c r="J40" s="975" t="s">
        <v>9</v>
      </c>
      <c r="K40" s="1174"/>
      <c r="L40" s="1250" t="s">
        <v>210</v>
      </c>
      <c r="M40" s="1255"/>
      <c r="N40" s="117" t="s">
        <v>9</v>
      </c>
      <c r="O40" s="1175"/>
    </row>
    <row r="41" spans="1:15" ht="15.75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76"/>
      <c r="K41" s="1176"/>
      <c r="L41" s="1177"/>
      <c r="M41" s="778"/>
      <c r="N41" s="778"/>
      <c r="O41" s="778"/>
    </row>
    <row r="42" spans="1:15">
      <c r="A42" s="1115"/>
      <c r="B42" s="119"/>
      <c r="C42" s="119"/>
      <c r="D42" s="1116"/>
      <c r="I42" s="119"/>
      <c r="J42" s="1166"/>
      <c r="K42" s="589"/>
      <c r="L42" s="1167"/>
    </row>
    <row r="43" spans="1:15">
      <c r="I43" s="119"/>
      <c r="J43" s="1166"/>
      <c r="K43" s="589"/>
      <c r="L43" s="1167"/>
    </row>
    <row r="44" spans="1:15">
      <c r="I44" s="119"/>
      <c r="J44" s="8"/>
      <c r="K44" s="8"/>
      <c r="L44" s="1167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topLeftCell="A5" zoomScale="75" workbookViewId="0">
      <selection activeCell="A11" sqref="A11"/>
    </sheetView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1034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TUE</v>
      </c>
      <c r="G1" s="1224">
        <f>Weather_Input!A5</f>
        <v>37089</v>
      </c>
      <c r="H1" s="584" t="s">
        <v>244</v>
      </c>
      <c r="I1" s="588"/>
    </row>
    <row r="2" spans="1:9" ht="20.25">
      <c r="A2" s="634" t="s">
        <v>9</v>
      </c>
      <c r="B2" s="780" t="s">
        <v>529</v>
      </c>
      <c r="C2" s="935">
        <v>79.900000000000006</v>
      </c>
      <c r="D2" s="782" t="s">
        <v>530</v>
      </c>
      <c r="E2" s="781"/>
      <c r="F2" s="782" t="s">
        <v>531</v>
      </c>
      <c r="G2" s="781"/>
      <c r="H2" s="783" t="s">
        <v>473</v>
      </c>
      <c r="I2" s="637"/>
    </row>
    <row r="3" spans="1:9" ht="20.25">
      <c r="A3" s="1026" t="s">
        <v>474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85</v>
      </c>
      <c r="C4" s="750">
        <f>Weather_Input!C5</f>
        <v>72</v>
      </c>
      <c r="D4" s="644"/>
      <c r="E4" s="645"/>
      <c r="F4" s="644"/>
      <c r="G4" s="645"/>
      <c r="H4" s="646"/>
      <c r="I4" s="647"/>
    </row>
    <row r="5" spans="1:9" ht="24" thickBot="1">
      <c r="A5" s="648" t="s">
        <v>134</v>
      </c>
      <c r="B5" s="649"/>
      <c r="C5" s="650">
        <f>NSG_Deliveries!C5/1000</f>
        <v>33.5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4" thickBot="1">
      <c r="A7" s="658" t="s">
        <v>84</v>
      </c>
      <c r="B7" s="649"/>
      <c r="C7" s="755">
        <f>C5-C9-C11-C12</f>
        <v>27.92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5" t="s">
        <v>601</v>
      </c>
      <c r="B9" s="667"/>
      <c r="C9" s="1042">
        <f>B45</f>
        <v>5.58</v>
      </c>
      <c r="D9" s="665"/>
      <c r="E9" s="666"/>
      <c r="F9" s="665"/>
      <c r="G9" s="665"/>
      <c r="H9" s="667"/>
      <c r="I9" s="668"/>
    </row>
    <row r="10" spans="1:9" ht="12" customHeight="1" thickBot="1">
      <c r="A10" s="811"/>
      <c r="B10" s="660"/>
      <c r="C10" s="655"/>
      <c r="D10" s="812"/>
      <c r="E10" s="661"/>
      <c r="F10" s="812"/>
      <c r="G10" s="812"/>
      <c r="H10" s="660"/>
      <c r="I10" s="813"/>
    </row>
    <row r="11" spans="1:9" ht="23.25">
      <c r="A11" s="662" t="s">
        <v>475</v>
      </c>
      <c r="B11" s="663"/>
      <c r="C11" s="664">
        <f>B37</f>
        <v>0</v>
      </c>
      <c r="D11" s="665"/>
      <c r="E11" s="666"/>
      <c r="F11" s="665"/>
      <c r="G11" s="665" t="s">
        <v>9</v>
      </c>
      <c r="H11" s="667"/>
      <c r="I11" s="668"/>
    </row>
    <row r="12" spans="1:9" ht="23.25">
      <c r="A12" s="669" t="s">
        <v>476</v>
      </c>
      <c r="B12" s="670"/>
      <c r="C12" s="671">
        <v>0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4" thickBot="1">
      <c r="A15" s="682" t="s">
        <v>477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4" thickBot="1">
      <c r="A17" s="688" t="s">
        <v>478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" thickBot="1">
      <c r="A18" s="694" t="s">
        <v>479</v>
      </c>
      <c r="B18" s="654"/>
      <c r="C18" s="655" t="s">
        <v>9</v>
      </c>
      <c r="D18" s="656"/>
      <c r="E18" s="655"/>
      <c r="F18" s="656"/>
      <c r="G18" s="502" t="s">
        <v>605</v>
      </c>
      <c r="H18" s="654"/>
      <c r="I18" s="816"/>
    </row>
    <row r="19" spans="1:9" ht="24" thickBot="1">
      <c r="A19" s="695" t="s">
        <v>406</v>
      </c>
      <c r="B19" s="696"/>
      <c r="C19" s="697">
        <f>C7+C12</f>
        <v>27.92</v>
      </c>
      <c r="D19" s="698"/>
      <c r="E19" s="699"/>
      <c r="F19" s="698"/>
      <c r="G19" s="698" t="s">
        <v>9</v>
      </c>
      <c r="H19" s="696"/>
      <c r="I19" s="700"/>
    </row>
    <row r="20" spans="1:9" ht="20.25">
      <c r="A20" s="701" t="s">
        <v>408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25">
      <c r="A21" s="705" t="s">
        <v>411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25">
      <c r="A22" s="705" t="s">
        <v>480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25">
      <c r="A23" s="701" t="s">
        <v>414</v>
      </c>
      <c r="B23" s="709"/>
      <c r="C23" s="703">
        <f>NSG_Requirements!H7/1000</f>
        <v>0</v>
      </c>
      <c r="D23" s="710"/>
      <c r="E23" s="703" t="s">
        <v>9</v>
      </c>
      <c r="F23" s="710"/>
      <c r="G23" s="703" t="s">
        <v>9</v>
      </c>
      <c r="H23" s="709"/>
      <c r="I23" s="703" t="s">
        <v>9</v>
      </c>
    </row>
    <row r="24" spans="1:9" ht="20.25">
      <c r="A24" s="701" t="s">
        <v>415</v>
      </c>
      <c r="B24" s="706"/>
      <c r="C24" s="703">
        <f>-NSG_Supplies!F7/1000</f>
        <v>-0.6</v>
      </c>
      <c r="D24" s="707"/>
      <c r="E24" s="703" t="s">
        <v>9</v>
      </c>
      <c r="F24" s="707"/>
      <c r="G24" s="703" t="s">
        <v>9</v>
      </c>
      <c r="H24" s="706"/>
      <c r="I24" s="703" t="s">
        <v>9</v>
      </c>
    </row>
    <row r="25" spans="1:9" ht="20.25">
      <c r="A25" s="701" t="s">
        <v>183</v>
      </c>
      <c r="B25" s="709"/>
      <c r="C25" s="703">
        <f>-NSG_Supplies!Q7/1000</f>
        <v>-27.323</v>
      </c>
      <c r="D25" s="710"/>
      <c r="E25" s="703">
        <f>-NSG_Supplies!Q7/1000</f>
        <v>-27.323</v>
      </c>
      <c r="F25" s="710"/>
      <c r="G25" s="703">
        <f>-NSG_Supplies!Q7/1000</f>
        <v>-27.323</v>
      </c>
      <c r="H25" s="709"/>
      <c r="I25" s="766">
        <f>-NSG_Supplies!Q7/1000</f>
        <v>-27.323</v>
      </c>
    </row>
    <row r="26" spans="1:9" ht="20.25">
      <c r="A26" s="701" t="s">
        <v>413</v>
      </c>
      <c r="B26" s="709"/>
      <c r="C26" s="703">
        <v>0</v>
      </c>
      <c r="D26" s="710"/>
      <c r="E26" s="703">
        <v>0</v>
      </c>
      <c r="F26" s="710"/>
      <c r="G26" s="703">
        <v>0</v>
      </c>
      <c r="H26" s="709"/>
      <c r="I26" s="766">
        <v>0</v>
      </c>
    </row>
    <row r="27" spans="1:9" ht="21" thickBot="1">
      <c r="A27" s="756" t="s">
        <v>506</v>
      </c>
      <c r="B27" s="712"/>
      <c r="C27" s="703">
        <f>-NSG_Supplies!G7/1000+NSG_Requirements!L7/1000</f>
        <v>0</v>
      </c>
      <c r="D27" s="707"/>
      <c r="E27" s="703">
        <f>-NSG_Supplies!G7/1000+NSG_Requirements!L7/1000</f>
        <v>0</v>
      </c>
      <c r="F27" s="707"/>
      <c r="G27" s="703">
        <f>-NSG_Supplies!G7/1000+NSG_Requirements!L7/1000</f>
        <v>0</v>
      </c>
      <c r="H27" s="712"/>
      <c r="I27" s="775">
        <f>-NSG_Supplies!G7/1000+NSG_Requirements!L7/1000</f>
        <v>0</v>
      </c>
    </row>
    <row r="28" spans="1:9" ht="24" thickBot="1">
      <c r="A28" s="714"/>
      <c r="B28" s="715"/>
      <c r="C28" s="716" t="s">
        <v>475</v>
      </c>
      <c r="D28" s="715"/>
      <c r="E28" s="717"/>
      <c r="F28" s="715"/>
      <c r="G28" s="718" t="s">
        <v>9</v>
      </c>
      <c r="H28" s="715"/>
      <c r="I28" s="719"/>
    </row>
    <row r="29" spans="1:9" ht="20.25">
      <c r="A29" s="773" t="s">
        <v>418</v>
      </c>
      <c r="B29" s="752">
        <f>NSG_Requirements!O7/1000</f>
        <v>0</v>
      </c>
      <c r="C29" s="721" t="s">
        <v>9</v>
      </c>
      <c r="D29" s="722"/>
      <c r="E29" s="723"/>
      <c r="F29" s="724" t="s">
        <v>269</v>
      </c>
      <c r="G29" s="725"/>
      <c r="H29" s="725"/>
      <c r="I29" s="726"/>
    </row>
    <row r="30" spans="1:9" ht="20.25">
      <c r="A30" s="774" t="s">
        <v>507</v>
      </c>
      <c r="B30" s="751">
        <f>NSG_Supplies!K7/1000+PGL_Requirements!V7/1000</f>
        <v>0</v>
      </c>
      <c r="C30" s="710"/>
      <c r="D30" s="728"/>
      <c r="E30" s="711"/>
      <c r="F30" s="635"/>
      <c r="G30" s="707"/>
      <c r="H30" s="707"/>
      <c r="I30" s="726"/>
    </row>
    <row r="31" spans="1:9" ht="20.25">
      <c r="A31" s="774" t="s">
        <v>508</v>
      </c>
      <c r="B31" s="751">
        <f>NSG_Supplies!L7/1000</f>
        <v>0</v>
      </c>
      <c r="C31" s="707"/>
      <c r="D31" s="729"/>
      <c r="E31" s="708"/>
      <c r="F31" s="635"/>
      <c r="G31" s="707"/>
      <c r="H31" s="707"/>
      <c r="I31" s="726"/>
    </row>
    <row r="32" spans="1:9" ht="20.25">
      <c r="A32" s="773" t="s">
        <v>481</v>
      </c>
      <c r="B32" s="753">
        <f>(NSG_Requirements!S7+NSG_Requirements!T7+NSG_Requirements!U7)/1000</f>
        <v>0</v>
      </c>
      <c r="C32" s="710"/>
      <c r="D32" s="728"/>
      <c r="E32" s="711"/>
      <c r="F32" s="635"/>
      <c r="G32" s="707"/>
      <c r="H32" s="707"/>
      <c r="I32" s="726"/>
    </row>
    <row r="33" spans="1:9" ht="20.25">
      <c r="A33" s="773" t="s">
        <v>86</v>
      </c>
      <c r="B33" s="751">
        <f>NSG_Requirements!D7/1000</f>
        <v>0</v>
      </c>
      <c r="C33" s="710"/>
      <c r="D33" s="728"/>
      <c r="E33" s="711"/>
      <c r="F33" s="635"/>
      <c r="G33" s="707"/>
      <c r="H33" s="707"/>
      <c r="I33" s="726"/>
    </row>
    <row r="34" spans="1:9" ht="20.25">
      <c r="A34" s="774" t="s">
        <v>493</v>
      </c>
      <c r="B34" s="753">
        <f>NSG_Requirements!B7/1000</f>
        <v>0</v>
      </c>
      <c r="C34" s="710"/>
      <c r="D34" s="728"/>
      <c r="E34" s="711"/>
      <c r="F34" s="635"/>
      <c r="G34" s="707"/>
      <c r="H34" s="707"/>
      <c r="I34" s="726"/>
    </row>
    <row r="35" spans="1:9" ht="20.25">
      <c r="A35" s="774" t="s">
        <v>494</v>
      </c>
      <c r="B35" s="753">
        <f>NSG_Supplies!B7/1000</f>
        <v>0</v>
      </c>
      <c r="C35" s="710"/>
      <c r="D35" s="728"/>
      <c r="E35" s="711"/>
      <c r="F35" s="635"/>
      <c r="G35" s="707"/>
      <c r="H35" s="707"/>
      <c r="I35" s="726"/>
    </row>
    <row r="36" spans="1:9" ht="21" thickBot="1">
      <c r="A36" s="773" t="s">
        <v>104</v>
      </c>
      <c r="B36" s="751">
        <f>NSG_Supplies!O7/1000</f>
        <v>0</v>
      </c>
      <c r="C36" s="731"/>
      <c r="D36" s="732"/>
      <c r="E36" s="713"/>
      <c r="F36" s="635"/>
      <c r="G36" s="707"/>
      <c r="H36" s="707"/>
      <c r="I36" s="726"/>
    </row>
    <row r="37" spans="1:9" ht="21" thickBot="1">
      <c r="A37" s="733" t="s">
        <v>482</v>
      </c>
      <c r="B37" s="754">
        <f>-B29+B30+B31-B32-B33-B34+B35+B36</f>
        <v>0</v>
      </c>
      <c r="C37" s="635"/>
      <c r="D37" s="734"/>
      <c r="E37" s="735"/>
      <c r="F37" s="635"/>
      <c r="G37" s="707"/>
      <c r="H37" s="707"/>
      <c r="I37" s="726"/>
    </row>
    <row r="38" spans="1:9" ht="24" thickBot="1">
      <c r="A38" s="714"/>
      <c r="B38" s="715"/>
      <c r="C38" s="817" t="s">
        <v>606</v>
      </c>
      <c r="D38" s="715"/>
      <c r="E38" s="717"/>
      <c r="F38" s="635"/>
      <c r="G38" s="707"/>
      <c r="H38" s="707"/>
      <c r="I38" s="726"/>
    </row>
    <row r="39" spans="1:9" ht="20.25">
      <c r="A39" s="701" t="s">
        <v>483</v>
      </c>
      <c r="B39" s="807">
        <v>0</v>
      </c>
      <c r="C39" s="635"/>
      <c r="D39" s="736"/>
      <c r="E39" s="737"/>
      <c r="F39" s="635"/>
      <c r="G39" s="707"/>
      <c r="H39" s="707"/>
      <c r="I39" s="726"/>
    </row>
    <row r="40" spans="1:9" ht="20.25">
      <c r="A40" s="701" t="s">
        <v>484</v>
      </c>
      <c r="B40" s="808">
        <f>NSG_Requirements!J7/1000</f>
        <v>6.42</v>
      </c>
      <c r="C40" s="710"/>
      <c r="D40" s="728"/>
      <c r="E40" s="711"/>
      <c r="F40" s="635"/>
      <c r="G40" s="707"/>
      <c r="H40" s="707"/>
      <c r="I40" s="726"/>
    </row>
    <row r="41" spans="1:9" ht="20.25">
      <c r="A41" s="701" t="s">
        <v>485</v>
      </c>
      <c r="B41" s="809">
        <f>NSG_Supplies!E7/1000</f>
        <v>0</v>
      </c>
      <c r="C41" s="635"/>
      <c r="D41" s="738"/>
      <c r="E41" s="739"/>
      <c r="F41" s="635"/>
      <c r="G41" s="707"/>
      <c r="H41" s="707"/>
      <c r="I41" s="726"/>
    </row>
    <row r="42" spans="1:9" ht="20.25">
      <c r="A42" s="701" t="s">
        <v>486</v>
      </c>
      <c r="B42" s="808">
        <v>0</v>
      </c>
      <c r="C42" s="710"/>
      <c r="D42" s="728"/>
      <c r="E42" s="711"/>
      <c r="F42" s="635"/>
      <c r="G42" s="707"/>
      <c r="H42" s="707"/>
      <c r="I42" s="726"/>
    </row>
    <row r="43" spans="1:9" ht="20.25">
      <c r="A43" s="701" t="s">
        <v>487</v>
      </c>
      <c r="B43" s="808">
        <v>0</v>
      </c>
      <c r="C43" s="710"/>
      <c r="D43" s="728"/>
      <c r="E43" s="711"/>
      <c r="F43" s="635"/>
      <c r="G43" s="707"/>
      <c r="H43" s="707"/>
      <c r="I43" s="726"/>
    </row>
    <row r="44" spans="1:9" ht="21" thickBot="1">
      <c r="A44" s="630" t="s">
        <v>602</v>
      </c>
      <c r="B44" s="809">
        <f>NSG_Supplies!P7/1000</f>
        <v>12</v>
      </c>
      <c r="C44" s="635"/>
      <c r="D44" s="738"/>
      <c r="E44" s="739"/>
      <c r="F44" s="635"/>
      <c r="G44" s="707"/>
      <c r="H44" s="707"/>
      <c r="I44" s="726"/>
    </row>
    <row r="45" spans="1:9" ht="21" thickBot="1">
      <c r="A45" s="733" t="s">
        <v>482</v>
      </c>
      <c r="B45" s="810">
        <f>B44+B41-B40</f>
        <v>5.58</v>
      </c>
      <c r="C45" s="741"/>
      <c r="D45" s="740"/>
      <c r="E45" s="742"/>
      <c r="F45" s="635"/>
      <c r="G45" s="707"/>
      <c r="H45" s="707"/>
      <c r="I45" s="726"/>
    </row>
    <row r="46" spans="1:9" ht="24" thickBot="1">
      <c r="A46" s="714"/>
      <c r="B46" s="715"/>
      <c r="C46" s="716" t="s">
        <v>67</v>
      </c>
      <c r="D46" s="715"/>
      <c r="E46" s="717"/>
      <c r="F46" s="635"/>
      <c r="G46" s="707"/>
      <c r="H46" s="707"/>
      <c r="I46" s="726"/>
    </row>
    <row r="47" spans="1:9" ht="20.25">
      <c r="A47" s="701" t="s">
        <v>488</v>
      </c>
      <c r="B47" s="720">
        <f>(NSG_Requirements!V7+NSG_Requirements!W7+NSG_Requirements!X7)/1000</f>
        <v>0</v>
      </c>
      <c r="C47" s="743"/>
      <c r="D47" s="728"/>
      <c r="E47" s="711"/>
      <c r="F47" s="635"/>
      <c r="G47" s="707"/>
      <c r="H47" s="707"/>
      <c r="I47" s="726"/>
    </row>
    <row r="48" spans="1:9" ht="20.25">
      <c r="A48" s="701" t="s">
        <v>489</v>
      </c>
      <c r="B48" s="727">
        <f>NSG_Requirements!M7/1000</f>
        <v>0</v>
      </c>
      <c r="C48" s="747"/>
      <c r="D48" s="747"/>
      <c r="E48" s="636"/>
      <c r="F48" s="635"/>
      <c r="G48" s="707"/>
      <c r="H48" s="707"/>
      <c r="I48" s="726"/>
    </row>
    <row r="49" spans="1:9" ht="20.25">
      <c r="A49" s="701" t="s">
        <v>86</v>
      </c>
      <c r="B49" s="727">
        <f>NSG_Requirements!E7/1000</f>
        <v>0</v>
      </c>
      <c r="C49" s="744"/>
      <c r="D49" s="738"/>
      <c r="E49" s="739"/>
      <c r="F49" s="635"/>
      <c r="G49" s="707"/>
      <c r="H49" s="707"/>
      <c r="I49" s="726"/>
    </row>
    <row r="50" spans="1:9" ht="21" thickBot="1">
      <c r="A50" s="701" t="s">
        <v>104</v>
      </c>
      <c r="B50" s="730">
        <f>NSG_Supplies!N7/1000</f>
        <v>0</v>
      </c>
      <c r="C50" s="743"/>
      <c r="D50" s="728"/>
      <c r="E50" s="711"/>
      <c r="F50" s="635"/>
      <c r="G50" s="707"/>
      <c r="H50" s="707"/>
      <c r="I50" s="726"/>
    </row>
    <row r="51" spans="1:9" ht="24" thickBot="1">
      <c r="A51" s="714"/>
      <c r="B51" s="715"/>
      <c r="C51" s="716" t="s">
        <v>490</v>
      </c>
      <c r="D51" s="715"/>
      <c r="E51" s="717"/>
      <c r="F51" s="635"/>
      <c r="G51" s="707"/>
      <c r="H51" s="707"/>
      <c r="I51" s="726"/>
    </row>
    <row r="52" spans="1:9" ht="20.25">
      <c r="A52" s="745" t="s">
        <v>491</v>
      </c>
      <c r="B52" s="746"/>
      <c r="C52" s="635"/>
      <c r="D52" s="736"/>
      <c r="E52" s="737"/>
      <c r="F52" s="635"/>
      <c r="G52" s="707"/>
      <c r="H52" s="707"/>
      <c r="I52" s="726"/>
    </row>
    <row r="53" spans="1:9" ht="21" thickBot="1">
      <c r="A53" s="748" t="s">
        <v>492</v>
      </c>
      <c r="B53" s="757"/>
      <c r="C53" s="758"/>
      <c r="D53" s="759"/>
      <c r="E53" s="760"/>
      <c r="F53" s="749"/>
      <c r="G53" s="761"/>
      <c r="H53" s="1028"/>
      <c r="I53" s="1027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37089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510</v>
      </c>
      <c r="C3" s="448">
        <v>44</v>
      </c>
      <c r="D3" s="254"/>
      <c r="E3" s="254"/>
      <c r="F3" s="448" t="s">
        <v>374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85</v>
      </c>
      <c r="C5" s="261">
        <f>Weather_Input!C5</f>
        <v>72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198</v>
      </c>
      <c r="C8" s="269">
        <f>NSG_Deliveries!C5/1000</f>
        <v>33.5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123.648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22.6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12.096000000000004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1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25.8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0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377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33.5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1.5449999999999999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33.5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0.62</v>
      </c>
      <c r="C27" s="305">
        <f>NSG_Requirements!P7/1000</f>
        <v>0</v>
      </c>
      <c r="D27" s="305">
        <f>PGL_Requirements!Q7/1000</f>
        <v>0.62</v>
      </c>
      <c r="E27" s="305">
        <f>NSG_Requirements!P7/1000</f>
        <v>0</v>
      </c>
      <c r="F27" s="305">
        <f>PGL_Requirements!Q7/1000</f>
        <v>0.62</v>
      </c>
      <c r="G27" s="305">
        <f>NSG_Requirements!P7/1000</f>
        <v>0</v>
      </c>
      <c r="H27" s="306">
        <f>+B27</f>
        <v>0.62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383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-43.286999999999999</v>
      </c>
      <c r="C32" s="310">
        <f>-NSG_Supplies!Q7/1000</f>
        <v>-27.323</v>
      </c>
      <c r="D32" s="310">
        <f>B32</f>
        <v>-43.286999999999999</v>
      </c>
      <c r="E32" s="310">
        <f>C32</f>
        <v>-27.323</v>
      </c>
      <c r="F32" s="310">
        <f>B32</f>
        <v>-43.286999999999999</v>
      </c>
      <c r="G32" s="310">
        <f>C32</f>
        <v>-27.323</v>
      </c>
      <c r="H32" s="315">
        <f>B32</f>
        <v>-43.286999999999999</v>
      </c>
      <c r="I32" s="316">
        <f>C32</f>
        <v>-27.323</v>
      </c>
    </row>
    <row r="33" spans="1:9" ht="17.100000000000001" customHeight="1">
      <c r="A33" s="314" t="s">
        <v>371</v>
      </c>
      <c r="B33" s="310">
        <f>-PGL_Supplies!W7/1000</f>
        <v>-0.3</v>
      </c>
      <c r="C33" s="310">
        <f>-NSG_Supplies!R7/1000</f>
        <v>-15.99</v>
      </c>
      <c r="D33" s="310">
        <f>B33</f>
        <v>-0.3</v>
      </c>
      <c r="E33" s="310">
        <f>C33</f>
        <v>-15.99</v>
      </c>
      <c r="F33" s="310">
        <f>B33</f>
        <v>-0.3</v>
      </c>
      <c r="G33" s="310">
        <f>C33</f>
        <v>-15.99</v>
      </c>
      <c r="H33" s="315">
        <f>B33</f>
        <v>-0.3</v>
      </c>
      <c r="I33" s="316">
        <f>C33</f>
        <v>-15.99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11.16</v>
      </c>
      <c r="C35" s="305">
        <f>NSG_Requirements!H7/1000</f>
        <v>0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0</v>
      </c>
      <c r="C36" s="310">
        <f>-NSG_Supplies!F7/1000</f>
        <v>-0.6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384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391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103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1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1.5449999999999999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1.5449999999999999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1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388</v>
      </c>
      <c r="B50" s="319">
        <f>PGL_Supplies!U7/1000+PGL_Supplies!C7/1000</f>
        <v>123.648</v>
      </c>
      <c r="C50" s="308"/>
      <c r="D50" s="308"/>
      <c r="E50" s="308"/>
      <c r="F50" s="314" t="s">
        <v>380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123.648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371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472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0.2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393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390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371</v>
      </c>
      <c r="B64" s="319">
        <f>PGL_Supplies!X7/1000</f>
        <v>106.79600000000001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471</v>
      </c>
      <c r="B65" s="319">
        <f>PGL_Supplies!AC7/1000+PGL_Supplies!F7/1000-PGL_Requirements!E7/1000</f>
        <v>8.3000000000000007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376</v>
      </c>
      <c r="I69" s="377"/>
    </row>
    <row r="70" spans="1:10" ht="17.100000000000001" customHeight="1">
      <c r="A70" s="327" t="s">
        <v>232</v>
      </c>
      <c r="B70" s="383">
        <f>PGL_Requirements!O7/1000</f>
        <v>103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0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12.096000000000004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TUE</v>
      </c>
      <c r="H73" s="401">
        <f>Weather_Input!A5</f>
        <v>37089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2" t="s">
        <v>398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75">
      <c r="A91" s="253"/>
      <c r="B91" s="604" t="s">
        <v>395</v>
      </c>
      <c r="C91" s="264" t="s">
        <v>9</v>
      </c>
      <c r="D91" s="596" t="s">
        <v>466</v>
      </c>
      <c r="E91" s="603"/>
      <c r="F91" s="601" t="s">
        <v>467</v>
      </c>
      <c r="G91" s="602"/>
      <c r="H91" s="600" t="s">
        <v>160</v>
      </c>
      <c r="I91" s="255"/>
    </row>
    <row r="92" spans="1:9" ht="15">
      <c r="A92" s="488" t="s">
        <v>396</v>
      </c>
      <c r="B92" s="595" t="s">
        <v>387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75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5" thickBot="1">
      <c r="A94" s="253" t="s">
        <v>397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5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1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123.648</v>
      </c>
      <c r="D99" s="615"/>
      <c r="E99" s="264"/>
      <c r="F99" s="597"/>
      <c r="G99" s="264"/>
      <c r="H99" s="597"/>
      <c r="I99" s="262"/>
    </row>
    <row r="100" spans="1:9" ht="15">
      <c r="A100" s="488" t="s">
        <v>399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400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115.096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25.8</v>
      </c>
      <c r="D103" s="615"/>
      <c r="E103" s="264"/>
      <c r="F103" s="597"/>
      <c r="G103" s="264"/>
      <c r="H103" s="597"/>
      <c r="I103" s="262"/>
    </row>
    <row r="104" spans="1:9" ht="15.75" thickBot="1">
      <c r="A104" s="287" t="s">
        <v>105</v>
      </c>
      <c r="B104" s="610" t="s">
        <v>9</v>
      </c>
      <c r="C104" s="618">
        <f>PGL_Supplies!B7/1000</f>
        <v>0</v>
      </c>
      <c r="D104" s="596"/>
      <c r="E104" s="264"/>
      <c r="F104" s="597"/>
      <c r="G104" s="264"/>
      <c r="H104" s="597"/>
      <c r="I104" s="262"/>
    </row>
    <row r="105" spans="1:9" ht="16.5" thickBot="1">
      <c r="A105" s="611" t="s">
        <v>401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5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402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403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404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75">
      <c r="A110" s="507" t="s">
        <v>405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5" thickBot="1">
      <c r="A111" s="508" t="s">
        <v>406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407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75">
      <c r="A113" s="420" t="s">
        <v>408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75">
      <c r="A114" s="327" t="s">
        <v>409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410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411</v>
      </c>
      <c r="B116" s="414">
        <f>-PGL_Supplies!Y7/1000</f>
        <v>-0.2</v>
      </c>
      <c r="C116" s="414">
        <f>-NSG_Supplies!V7/1000</f>
        <v>0</v>
      </c>
      <c r="D116" s="310">
        <f>-PGL_Supplies!Y7/1000</f>
        <v>-0.2</v>
      </c>
      <c r="E116" s="310">
        <f>-NSG_Supplies!V7/1000</f>
        <v>0</v>
      </c>
      <c r="F116" s="310">
        <f>-PGL_Supplies!Y7/1000</f>
        <v>-0.2</v>
      </c>
      <c r="G116" s="310">
        <f>-NSG_Supplies!V7/1000</f>
        <v>0</v>
      </c>
      <c r="H116" s="315">
        <f>-PGL_Supplies!Y7/1000</f>
        <v>-0.2</v>
      </c>
      <c r="I116" s="316">
        <f>-NSG_Supplies!V7/1000</f>
        <v>0</v>
      </c>
    </row>
    <row r="117" spans="1:9" ht="15">
      <c r="A117" s="420" t="s">
        <v>412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75">
      <c r="A118" s="420" t="s">
        <v>414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415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75">
      <c r="A121" s="420" t="s">
        <v>413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75">
      <c r="A122" s="420" t="s">
        <v>416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417</v>
      </c>
      <c r="B123" s="310">
        <f>-PGL_Supplies!W7/1000</f>
        <v>-0.3</v>
      </c>
      <c r="C123" s="310">
        <f>-NSG_Supplies!R7/1000</f>
        <v>-15.99</v>
      </c>
      <c r="D123" s="308"/>
      <c r="E123" s="308"/>
      <c r="F123" s="308"/>
      <c r="G123" s="308"/>
      <c r="H123" s="312"/>
      <c r="I123" s="313"/>
    </row>
    <row r="124" spans="1:9" ht="16.5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418</v>
      </c>
      <c r="B125" s="310">
        <f>PGL_Requirements!T7/1000</f>
        <v>0.2</v>
      </c>
      <c r="F125" s="537" t="s">
        <v>9</v>
      </c>
      <c r="G125" s="538"/>
      <c r="H125" s="605"/>
      <c r="I125" s="331"/>
    </row>
    <row r="126" spans="1:9" ht="15">
      <c r="A126" s="420" t="s">
        <v>375</v>
      </c>
      <c r="B126" s="319">
        <f>PGL_Supplies!Q7/1000</f>
        <v>0</v>
      </c>
      <c r="C126" s="310" t="s">
        <v>9</v>
      </c>
      <c r="D126" s="308"/>
      <c r="E126" s="328"/>
      <c r="F126" s="420" t="s">
        <v>438</v>
      </c>
      <c r="G126" s="539"/>
      <c r="H126" s="544"/>
      <c r="I126" s="331"/>
    </row>
    <row r="127" spans="1:9" ht="15">
      <c r="A127" s="420" t="s">
        <v>468</v>
      </c>
      <c r="B127" s="310">
        <f>PGL_Requirements!N7/1000</f>
        <v>11.16</v>
      </c>
      <c r="C127" s="310" t="s">
        <v>9</v>
      </c>
      <c r="D127" s="308"/>
      <c r="E127" s="328"/>
      <c r="F127" s="420" t="s">
        <v>439</v>
      </c>
      <c r="G127" s="539"/>
      <c r="H127" s="312"/>
      <c r="I127" s="331"/>
    </row>
    <row r="128" spans="1:9" ht="15">
      <c r="A128" s="420" t="s">
        <v>408</v>
      </c>
      <c r="B128" s="310">
        <f>PGL_Requirements!H7/1000</f>
        <v>0</v>
      </c>
      <c r="C128" s="310" t="s">
        <v>9</v>
      </c>
      <c r="D128" s="308"/>
      <c r="E128" s="328"/>
      <c r="F128" s="420" t="s">
        <v>440</v>
      </c>
      <c r="G128" s="539"/>
      <c r="H128" s="312"/>
      <c r="I128" s="331"/>
    </row>
    <row r="129" spans="1:9" ht="15">
      <c r="A129" s="420" t="s">
        <v>419</v>
      </c>
      <c r="B129" s="310" t="e">
        <f>PGL_Requirements!#REF!/1000</f>
        <v>#REF!</v>
      </c>
      <c r="C129" s="308"/>
      <c r="D129" s="308"/>
      <c r="E129" s="328"/>
      <c r="F129" s="420" t="s">
        <v>441</v>
      </c>
      <c r="G129" s="539"/>
      <c r="H129" s="312"/>
      <c r="I129" s="331"/>
    </row>
    <row r="130" spans="1:9" ht="15">
      <c r="A130" s="420" t="s">
        <v>420</v>
      </c>
      <c r="B130" s="310">
        <f>PGL_Requirements!Z7/1000</f>
        <v>0</v>
      </c>
      <c r="C130" s="589"/>
      <c r="D130" s="308"/>
      <c r="E130" s="328"/>
      <c r="F130" s="420" t="s">
        <v>442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0.2</v>
      </c>
      <c r="C131" s="308"/>
      <c r="D131" s="308"/>
      <c r="E131" s="328"/>
      <c r="F131" s="365" t="s">
        <v>443</v>
      </c>
      <c r="G131" s="539"/>
      <c r="H131" s="312"/>
      <c r="I131" s="331"/>
    </row>
    <row r="132" spans="1:9" ht="15.75" thickBot="1">
      <c r="A132" s="420" t="s">
        <v>371</v>
      </c>
      <c r="B132" s="319">
        <f>PGL_Supplies!T7/1000</f>
        <v>0</v>
      </c>
      <c r="C132" s="344"/>
      <c r="D132" s="344"/>
      <c r="E132" s="549"/>
      <c r="F132" s="420" t="s">
        <v>444</v>
      </c>
      <c r="G132" s="539"/>
      <c r="H132" s="312"/>
      <c r="I132" s="331"/>
    </row>
    <row r="133" spans="1:9" ht="16.5" thickBot="1">
      <c r="A133" s="554" t="s">
        <v>421</v>
      </c>
      <c r="B133" s="561" t="e">
        <f>B126+B127+B130+B131+B132-B125-B128-B129</f>
        <v>#REF!</v>
      </c>
      <c r="C133" s="526"/>
      <c r="D133" s="526"/>
      <c r="E133" s="516"/>
      <c r="F133" s="420" t="s">
        <v>445</v>
      </c>
      <c r="G133" s="539"/>
      <c r="H133" s="312"/>
      <c r="I133" s="331"/>
    </row>
    <row r="134" spans="1:9" ht="15.75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446</v>
      </c>
      <c r="G134" s="540"/>
      <c r="H134" s="312"/>
      <c r="I134" s="331"/>
    </row>
    <row r="135" spans="1:9" ht="15">
      <c r="A135" s="420" t="s">
        <v>408</v>
      </c>
      <c r="B135" s="132">
        <f>PGL_Requirements!I7</f>
        <v>0</v>
      </c>
      <c r="C135" s="8"/>
      <c r="D135" s="8"/>
      <c r="E135" s="8"/>
      <c r="F135" s="542" t="s">
        <v>447</v>
      </c>
      <c r="G135" s="540"/>
      <c r="H135" s="345"/>
      <c r="I135" s="331"/>
    </row>
    <row r="136" spans="1:9" ht="15">
      <c r="A136" s="420" t="s">
        <v>422</v>
      </c>
      <c r="B136" s="319">
        <f>NSG_Supplies!N7/1011</f>
        <v>0</v>
      </c>
      <c r="C136" s="308"/>
      <c r="D136" s="308"/>
      <c r="E136" s="308"/>
      <c r="F136" s="420" t="s">
        <v>448</v>
      </c>
      <c r="G136" s="539"/>
      <c r="H136" s="347"/>
      <c r="I136" s="331"/>
    </row>
    <row r="137" spans="1:9" ht="15">
      <c r="A137" s="420" t="s">
        <v>423</v>
      </c>
      <c r="B137" s="319">
        <f>PGL_Supplies!Z7/1000</f>
        <v>0</v>
      </c>
      <c r="C137" s="589"/>
      <c r="D137" s="308"/>
      <c r="E137" s="308"/>
      <c r="F137" s="420" t="s">
        <v>449</v>
      </c>
      <c r="G137" s="539"/>
      <c r="H137" s="312"/>
      <c r="I137" s="331"/>
    </row>
    <row r="138" spans="1:9" ht="15">
      <c r="A138" s="420" t="s">
        <v>424</v>
      </c>
      <c r="B138" s="132">
        <f>PGL_Requirements!C7</f>
        <v>0</v>
      </c>
      <c r="C138" s="308"/>
      <c r="D138" s="308"/>
      <c r="E138" s="308"/>
      <c r="F138" s="420" t="s">
        <v>381</v>
      </c>
      <c r="G138" s="539"/>
      <c r="H138" s="347"/>
      <c r="I138" s="331"/>
    </row>
    <row r="139" spans="1:9" ht="15">
      <c r="A139" s="420" t="s">
        <v>425</v>
      </c>
      <c r="B139" s="319">
        <f>PGL_Supplies!C7/1000</f>
        <v>0</v>
      </c>
      <c r="C139" s="308"/>
      <c r="D139" s="308"/>
      <c r="E139" s="308"/>
      <c r="F139" s="365" t="s">
        <v>450</v>
      </c>
      <c r="G139" s="543"/>
      <c r="H139" s="534"/>
      <c r="I139" s="331"/>
    </row>
    <row r="140" spans="1:9" ht="15.75" thickBot="1">
      <c r="A140" s="420" t="s">
        <v>371</v>
      </c>
      <c r="B140" s="319">
        <f>PGL_Supplies!U7/1000</f>
        <v>123.648</v>
      </c>
      <c r="C140" s="344"/>
      <c r="D140" s="344"/>
      <c r="E140" s="344"/>
      <c r="F140" s="365" t="s">
        <v>451</v>
      </c>
      <c r="G140" s="543"/>
      <c r="H140" s="545"/>
      <c r="I140" s="331"/>
    </row>
    <row r="141" spans="1:9" ht="16.5" thickBot="1">
      <c r="A141" s="554" t="s">
        <v>421</v>
      </c>
      <c r="B141" s="556">
        <f>-B135+B136+B137-B138+B139+B140</f>
        <v>123.648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5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452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103</v>
      </c>
      <c r="C143" s="308"/>
      <c r="D143" s="308"/>
      <c r="E143" s="308"/>
      <c r="F143" s="563" t="s">
        <v>404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426</v>
      </c>
      <c r="B144" s="319">
        <f>PGL_Supplies!L7/1000</f>
        <v>0</v>
      </c>
      <c r="C144" s="308"/>
      <c r="D144" s="308"/>
      <c r="E144" s="308"/>
      <c r="F144" s="356" t="s">
        <v>453</v>
      </c>
      <c r="G144" s="308"/>
      <c r="H144" s="383" t="s">
        <v>9</v>
      </c>
      <c r="I144" s="361">
        <f>NSG_Supplies!N7/1000</f>
        <v>0</v>
      </c>
    </row>
    <row r="145" spans="1:9" ht="15.75" thickBot="1">
      <c r="A145" s="420" t="s">
        <v>427</v>
      </c>
      <c r="B145" s="319">
        <f>PGL_Requirements!B7/1000</f>
        <v>0</v>
      </c>
      <c r="C145" s="308"/>
      <c r="D145" s="308"/>
      <c r="E145" s="308"/>
      <c r="F145" s="532" t="s">
        <v>454</v>
      </c>
      <c r="G145" s="350"/>
      <c r="H145" s="521" t="s">
        <v>9</v>
      </c>
      <c r="I145" s="402"/>
    </row>
    <row r="146" spans="1:9" ht="15.75" thickBot="1">
      <c r="A146" s="420" t="s">
        <v>428</v>
      </c>
      <c r="B146" s="319">
        <f>PGL_Supplies!G7/1000</f>
        <v>1</v>
      </c>
      <c r="C146" s="308"/>
      <c r="D146" s="308"/>
      <c r="E146" s="308"/>
      <c r="F146" s="560" t="s">
        <v>430</v>
      </c>
      <c r="G146" s="526"/>
      <c r="H146" s="561" t="s">
        <v>9</v>
      </c>
      <c r="I146" s="562" t="e">
        <f>PGL_Requirements!#REF!/1000</f>
        <v>#REF!</v>
      </c>
    </row>
    <row r="147" spans="1:9" ht="16.5" thickBot="1">
      <c r="A147" s="365" t="s">
        <v>405</v>
      </c>
      <c r="B147" s="319" t="s">
        <v>9</v>
      </c>
      <c r="C147" s="308"/>
      <c r="D147" s="308"/>
      <c r="E147" s="308"/>
      <c r="F147" s="353" t="s">
        <v>455</v>
      </c>
      <c r="G147" s="354"/>
      <c r="H147" s="354"/>
      <c r="I147" s="355"/>
    </row>
    <row r="148" spans="1:9" ht="15.75" thickBot="1">
      <c r="A148" s="420" t="s">
        <v>429</v>
      </c>
      <c r="B148" s="319">
        <f>PGL_Requirements!P7/1000</f>
        <v>1.5449999999999999</v>
      </c>
      <c r="C148" s="344"/>
      <c r="D148" s="344"/>
      <c r="E148" s="344"/>
      <c r="F148" s="537" t="s">
        <v>456</v>
      </c>
      <c r="G148" s="538"/>
      <c r="H148" s="564" t="s">
        <v>9</v>
      </c>
      <c r="I148" s="565">
        <f>+NSG_Supplies!Y7/1000</f>
        <v>0</v>
      </c>
    </row>
    <row r="149" spans="1:9" ht="16.5" thickBot="1">
      <c r="A149" s="513" t="s">
        <v>430</v>
      </c>
      <c r="B149" s="514">
        <f>B144+B146</f>
        <v>1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75" thickBot="1">
      <c r="A150" s="420" t="s">
        <v>204</v>
      </c>
      <c r="B150" s="517">
        <f>PGL_Deliveries!AE5</f>
        <v>0</v>
      </c>
      <c r="C150" s="518"/>
      <c r="D150" s="518"/>
      <c r="E150" s="519"/>
      <c r="F150" s="560" t="s">
        <v>430</v>
      </c>
      <c r="G150" s="526"/>
      <c r="H150" s="561" t="s">
        <v>9</v>
      </c>
      <c r="I150" s="562" t="e">
        <f>PGL_Requirements!#REF!/1000</f>
        <v>#REF!</v>
      </c>
    </row>
    <row r="151" spans="1:9" ht="16.5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399</v>
      </c>
      <c r="G151" s="354"/>
      <c r="H151" s="354"/>
      <c r="I151" s="355"/>
    </row>
    <row r="152" spans="1:9" ht="15.75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457</v>
      </c>
      <c r="G152" s="538"/>
      <c r="H152" s="569"/>
      <c r="I152" s="383">
        <f>PGL_Requirements!S7/1000</f>
        <v>0</v>
      </c>
    </row>
    <row r="153" spans="1:9" ht="15">
      <c r="A153" s="420" t="s">
        <v>431</v>
      </c>
      <c r="B153" s="383">
        <f>PGL_Requirements!M7/1000</f>
        <v>0</v>
      </c>
      <c r="C153" s="308"/>
      <c r="D153" s="308"/>
      <c r="E153" s="375"/>
      <c r="F153" s="533" t="s">
        <v>458</v>
      </c>
      <c r="G153" s="540"/>
      <c r="H153" s="535"/>
      <c r="I153" s="383">
        <f>PGL_Requirements!S7/1000</f>
        <v>0</v>
      </c>
    </row>
    <row r="154" spans="1:9" ht="15">
      <c r="A154" s="420" t="s">
        <v>432</v>
      </c>
      <c r="B154" s="319">
        <f>PGL_Supplies!AD7/1000</f>
        <v>0</v>
      </c>
      <c r="C154" s="376" t="s">
        <v>9</v>
      </c>
      <c r="D154" s="308"/>
      <c r="E154" s="377"/>
      <c r="F154" s="532" t="s">
        <v>459</v>
      </c>
      <c r="G154" s="539"/>
      <c r="H154" s="535"/>
      <c r="I154" s="319">
        <f>PGL_Supplies!AK7/1000</f>
        <v>0</v>
      </c>
    </row>
    <row r="155" spans="1:9" ht="15">
      <c r="A155" s="420" t="s">
        <v>433</v>
      </c>
      <c r="B155" s="383">
        <f>PGL_Requirements!E7/1000</f>
        <v>0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75" thickBot="1">
      <c r="A156" s="420" t="s">
        <v>434</v>
      </c>
      <c r="B156" s="319">
        <f>PGL_Supplies!F7/1000</f>
        <v>5.3</v>
      </c>
      <c r="C156" s="384" t="s">
        <v>9</v>
      </c>
      <c r="D156" s="308"/>
      <c r="E156" s="377"/>
      <c r="F156" s="365" t="s">
        <v>371</v>
      </c>
      <c r="G156" s="568"/>
      <c r="H156" s="545"/>
      <c r="I156" s="319">
        <f>PGL_Supplies!AK9/1000</f>
        <v>0</v>
      </c>
    </row>
    <row r="157" spans="1:9" ht="15.75">
      <c r="A157" s="420" t="s">
        <v>435</v>
      </c>
      <c r="B157" s="383">
        <f>PGL_Requirements!S7/1000</f>
        <v>0</v>
      </c>
      <c r="C157" s="376" t="s">
        <v>9</v>
      </c>
      <c r="D157" s="308"/>
      <c r="E157" s="377"/>
      <c r="F157" s="570" t="s">
        <v>460</v>
      </c>
      <c r="G157" s="571"/>
      <c r="H157" s="569"/>
      <c r="I157" s="572">
        <v>0</v>
      </c>
    </row>
    <row r="158" spans="1:9" ht="15.75" thickBot="1">
      <c r="A158" s="420" t="s">
        <v>436</v>
      </c>
      <c r="B158" s="319">
        <f>PGL_Supplies!O7/1000</f>
        <v>0</v>
      </c>
      <c r="C158" s="384" t="s">
        <v>9</v>
      </c>
      <c r="D158" s="308"/>
      <c r="E158" s="486"/>
      <c r="F158" s="573" t="s">
        <v>461</v>
      </c>
      <c r="G158" s="387"/>
      <c r="H158" s="574"/>
      <c r="I158" s="575">
        <v>0</v>
      </c>
    </row>
    <row r="159" spans="1:9" ht="16.5" thickBot="1">
      <c r="A159" s="420" t="s">
        <v>104</v>
      </c>
      <c r="B159" s="319">
        <f>PGL_Supplies!AC7/1000</f>
        <v>3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75" thickBot="1">
      <c r="A160" s="420" t="s">
        <v>371</v>
      </c>
      <c r="B160" s="606">
        <f>PGL_Supplies!X7/1000</f>
        <v>106.79600000000001</v>
      </c>
      <c r="C160" s="522" t="s">
        <v>9</v>
      </c>
      <c r="D160" s="344"/>
      <c r="E160" s="520"/>
      <c r="F160" s="576" t="s">
        <v>462</v>
      </c>
      <c r="G160" s="536" t="s">
        <v>9</v>
      </c>
      <c r="H160" s="518"/>
      <c r="I160" s="581"/>
    </row>
    <row r="161" spans="1:9" ht="16.5" thickBot="1">
      <c r="A161" s="590" t="s">
        <v>437</v>
      </c>
      <c r="B161" s="608"/>
      <c r="C161" s="528" t="s">
        <v>9</v>
      </c>
      <c r="D161" s="529"/>
      <c r="E161" s="530"/>
      <c r="F161" s="559" t="s">
        <v>463</v>
      </c>
      <c r="G161" s="344"/>
      <c r="H161" s="579"/>
      <c r="I161" s="580" t="s">
        <v>9</v>
      </c>
    </row>
    <row r="162" spans="1:9" ht="16.5" thickBot="1">
      <c r="A162" s="394" t="s">
        <v>430</v>
      </c>
      <c r="B162" s="607">
        <f>B154+B156+B158+B159+B160-B153-B155-B157-B161</f>
        <v>115.096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.75" thickBot="1">
      <c r="A163" s="591"/>
      <c r="B163" s="592" t="s">
        <v>464</v>
      </c>
      <c r="C163" s="592"/>
      <c r="D163" s="592" t="s">
        <v>465</v>
      </c>
      <c r="E163" s="592"/>
      <c r="F163" s="592"/>
      <c r="G163" s="592"/>
      <c r="H163" s="593" t="s">
        <v>244</v>
      </c>
      <c r="I163" s="594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4" t="s">
        <v>246</v>
      </c>
      <c r="D5" s="122" t="s">
        <v>360</v>
      </c>
      <c r="F5" s="194" t="s">
        <v>247</v>
      </c>
      <c r="G5" s="122" t="s">
        <v>361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362</v>
      </c>
    </row>
    <row r="9" spans="1:10">
      <c r="D9" s="122" t="s">
        <v>364</v>
      </c>
      <c r="G9" s="122" t="s">
        <v>363</v>
      </c>
    </row>
    <row r="10" spans="1:10">
      <c r="D10" s="122" t="s">
        <v>365</v>
      </c>
    </row>
    <row r="11" spans="1:10" ht="15.75">
      <c r="D11" s="194" t="s">
        <v>250</v>
      </c>
    </row>
    <row r="12" spans="1:10" ht="15.75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75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1" t="s">
        <v>369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37090.172731018516</v>
      </c>
      <c r="F22" s="161" t="s">
        <v>257</v>
      </c>
      <c r="G22" s="188">
        <f ca="1">NOW()</f>
        <v>37090.172731018516</v>
      </c>
    </row>
    <row r="24" spans="2:9">
      <c r="B24" s="161" t="s">
        <v>258</v>
      </c>
      <c r="D24" s="225" t="s">
        <v>385</v>
      </c>
      <c r="E24" t="s">
        <v>9</v>
      </c>
      <c r="F24" s="161" t="s">
        <v>259</v>
      </c>
      <c r="G24" s="162" t="s">
        <v>260</v>
      </c>
    </row>
    <row r="25" spans="2:9" ht="15.75" thickBot="1"/>
    <row r="26" spans="2:9" ht="15.75" thickBot="1">
      <c r="B26" s="206" t="s">
        <v>9</v>
      </c>
      <c r="C26" s="161" t="s">
        <v>261</v>
      </c>
    </row>
    <row r="27" spans="2:9" ht="15.75" thickBot="1">
      <c r="B27" s="206" t="s">
        <v>9</v>
      </c>
      <c r="C27" s="161" t="s">
        <v>262</v>
      </c>
    </row>
    <row r="28" spans="2:9" ht="15.75" thickBot="1">
      <c r="B28" s="206" t="s">
        <v>386</v>
      </c>
      <c r="C28" s="122" t="s">
        <v>366</v>
      </c>
    </row>
    <row r="29" spans="2:9">
      <c r="B29" t="s">
        <v>9</v>
      </c>
      <c r="C29" s="161" t="s">
        <v>367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75">
      <c r="B34" s="161" t="s">
        <v>264</v>
      </c>
      <c r="E34" s="187">
        <v>0</v>
      </c>
      <c r="F34" t="s">
        <v>265</v>
      </c>
    </row>
    <row r="36" spans="2:8" ht="15.75">
      <c r="B36" s="161" t="s">
        <v>266</v>
      </c>
      <c r="E36" s="187">
        <v>0</v>
      </c>
      <c r="F36" t="s">
        <v>265</v>
      </c>
    </row>
    <row r="38" spans="2:8" ht="15.75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75">
      <c r="E39" s="163">
        <f>+E38+1</f>
        <v>35917</v>
      </c>
      <c r="F39" s="187">
        <v>0</v>
      </c>
      <c r="G39" t="s">
        <v>265</v>
      </c>
    </row>
    <row r="40" spans="2:8" ht="15.75">
      <c r="E40" s="163">
        <f>+E39+1</f>
        <v>35918</v>
      </c>
      <c r="F40" s="187">
        <v>0</v>
      </c>
      <c r="G40" t="s">
        <v>265</v>
      </c>
    </row>
    <row r="41" spans="2:8" ht="15.75">
      <c r="E41" s="163">
        <f>+E40+1</f>
        <v>35919</v>
      </c>
      <c r="F41" s="187">
        <v>0</v>
      </c>
      <c r="G41" t="s">
        <v>265</v>
      </c>
    </row>
    <row r="42" spans="2:8" ht="15.75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368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Tuesday</v>
      </c>
      <c r="B5" s="21">
        <f>Weather_Input!A5</f>
        <v>37089</v>
      </c>
      <c r="C5" s="15"/>
      <c r="D5" s="22" t="s">
        <v>275</v>
      </c>
      <c r="E5" s="23">
        <f>Weather_Input!B5</f>
        <v>85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72</v>
      </c>
      <c r="F6" s="24" t="s">
        <v>278</v>
      </c>
      <c r="G6" s="25">
        <f>Weather_Input!F5</f>
        <v>5</v>
      </c>
      <c r="H6" s="26" t="s">
        <v>279</v>
      </c>
      <c r="I6" s="27">
        <f ca="1">G6-(VLOOKUP(B5,DD_Normal_Data,CELL("Col",C7),FALSE))</f>
        <v>5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78.5</v>
      </c>
      <c r="F7" s="24" t="s">
        <v>281</v>
      </c>
      <c r="G7" s="25">
        <f>Weather_Input!G5</f>
        <v>6704</v>
      </c>
      <c r="H7" s="26" t="s">
        <v>281</v>
      </c>
      <c r="I7" s="120">
        <f ca="1">G7-(VLOOKUP(B5,DD_Normal_Data,CELL("Col",D4),FALSE))</f>
        <v>282</v>
      </c>
      <c r="J7" s="120"/>
    </row>
    <row r="8" spans="1:109" ht="15">
      <c r="A8" s="18"/>
      <c r="B8" s="20"/>
      <c r="C8" s="15"/>
      <c r="D8" s="32" t="str">
        <f>IF(Weather_Input!I5=""," ",Weather_Input!I5)</f>
        <v>PARTLY SUNNY.WARM AND HUMID WITH A 30% CHANCE OF SHOWERS AND T'STOR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MS. SOUTH WINDS 10 MPH. OVERNIGHT…PARTLY CLOUDY…T'STORMS POSSIBLE.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Wednesday</v>
      </c>
      <c r="B10" s="21">
        <f>Weather_Input!A6</f>
        <v>37090</v>
      </c>
      <c r="C10" s="15"/>
      <c r="D10" s="150" t="s">
        <v>275</v>
      </c>
      <c r="E10" s="23">
        <f>Weather_Input!B6</f>
        <v>90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72</v>
      </c>
      <c r="F11" s="24" t="s">
        <v>278</v>
      </c>
      <c r="G11" s="25">
        <f>IF(DAY(B10)=1,G10,G6+G10)</f>
        <v>5</v>
      </c>
      <c r="H11" s="30" t="s">
        <v>279</v>
      </c>
      <c r="I11" s="27">
        <f ca="1">G11-(VLOOKUP(B10,DD_Normal_Data,CELL("Col",C12),FALSE))</f>
        <v>5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81</v>
      </c>
      <c r="F12" s="24" t="s">
        <v>281</v>
      </c>
      <c r="G12" s="25">
        <f>IF(AND(DAY(B10)=1,MONTH(B10)=8),G10,G7+G10)</f>
        <v>6704</v>
      </c>
      <c r="H12" s="26" t="s">
        <v>281</v>
      </c>
      <c r="I12" s="27">
        <f ca="1">G12-(VLOOKUP(B10,DD_Normal_Data,CELL("Col",D9),FALSE))</f>
        <v>282</v>
      </c>
    </row>
    <row r="13" spans="1:109" ht="15">
      <c r="A13" s="18"/>
      <c r="B13" s="21"/>
      <c r="C13" s="15"/>
      <c r="D13" s="32" t="str">
        <f>IF(Weather_Input!I6=""," ",Weather_Input!I6)</f>
        <v>PARTLY CLOUDY WITH A 30% CHANCE OF T'STORMS. OVERNIGHT…PARTLY CLOUDY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WITH A 30% CHANCE OF T'STORMS.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Thursday</v>
      </c>
      <c r="B15" s="21">
        <f>Weather_Input!A7</f>
        <v>37091</v>
      </c>
      <c r="C15" s="15"/>
      <c r="D15" s="22" t="s">
        <v>275</v>
      </c>
      <c r="E15" s="23">
        <f>Weather_Input!B7</f>
        <v>91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70</v>
      </c>
      <c r="F16" s="24" t="s">
        <v>278</v>
      </c>
      <c r="G16" s="25">
        <f>IF(DAY(B15)=1,G15,G11+G15)</f>
        <v>5</v>
      </c>
      <c r="H16" s="30" t="s">
        <v>279</v>
      </c>
      <c r="I16" s="27">
        <f ca="1">G16-(VLOOKUP(B15,DD_Normal_Data,CELL("Col",C17),FALSE))</f>
        <v>5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80.5</v>
      </c>
      <c r="F17" s="24" t="s">
        <v>281</v>
      </c>
      <c r="G17" s="25">
        <f>IF(AND(DAY(B15)=1,MONTH(B15)=8),G15,G12+G15)</f>
        <v>6704</v>
      </c>
      <c r="H17" s="26" t="s">
        <v>281</v>
      </c>
      <c r="I17" s="27">
        <f ca="1">G17-(VLOOKUP(B15,DD_Normal_Data,CELL("Col",D14),FALSE))</f>
        <v>282</v>
      </c>
    </row>
    <row r="18" spans="1:109" ht="15">
      <c r="A18" s="18"/>
      <c r="B18" s="20"/>
      <c r="C18" s="15"/>
      <c r="D18" s="32" t="str">
        <f>IF(Weather_Input!I7=""," ",Weather_Input!I7)</f>
        <v>PARTLY CLOUDY. CHANCE OF SHOWERS EARLY.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Friday</v>
      </c>
      <c r="B20" s="21">
        <f>Weather_Input!A8</f>
        <v>37092</v>
      </c>
      <c r="C20" s="15"/>
      <c r="D20" s="22" t="s">
        <v>275</v>
      </c>
      <c r="E20" s="23">
        <f>Weather_Input!B8</f>
        <v>91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162</v>
      </c>
      <c r="E21" s="23">
        <f>Weather_Input!C8</f>
        <v>71</v>
      </c>
      <c r="F21" s="24" t="s">
        <v>278</v>
      </c>
      <c r="G21" s="25">
        <f>IF(DAY(B20)=1,G20,G16+G20)</f>
        <v>5</v>
      </c>
      <c r="H21" s="30" t="s">
        <v>279</v>
      </c>
      <c r="I21" s="27">
        <f ca="1">G21-(VLOOKUP(B20,DD_Normal_Data,CELL("Col",C22),FALSE))</f>
        <v>5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81</v>
      </c>
      <c r="F22" s="24" t="s">
        <v>281</v>
      </c>
      <c r="G22" s="25">
        <f>IF(AND(DAY(B20)=1,MONTH(B20)=8),G20,G17+G20)</f>
        <v>6704</v>
      </c>
      <c r="H22" s="26" t="s">
        <v>281</v>
      </c>
      <c r="I22" s="27">
        <f ca="1">G22-(VLOOKUP(B20,DD_Normal_Data,CELL("Col",D19),FALSE))</f>
        <v>282</v>
      </c>
    </row>
    <row r="23" spans="1:109" ht="15">
      <c r="A23" s="18"/>
      <c r="B23" s="21"/>
      <c r="C23" s="15"/>
      <c r="D23" s="32" t="str">
        <f>IF(Weather_Input!I8=""," ",Weather_Input!I8)</f>
        <v xml:space="preserve">PARTLY CLOUDY. 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Saturday</v>
      </c>
      <c r="B25" s="21">
        <f>Weather_Input!A9</f>
        <v>37093</v>
      </c>
      <c r="C25" s="15"/>
      <c r="D25" s="22" t="s">
        <v>275</v>
      </c>
      <c r="E25" s="23">
        <f>Weather_Input!B9</f>
        <v>91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162</v>
      </c>
      <c r="E26" s="23">
        <f>Weather_Input!C9</f>
        <v>72</v>
      </c>
      <c r="F26" s="24" t="s">
        <v>278</v>
      </c>
      <c r="G26" s="25">
        <f>IF(DAY(B25)=1,G25,G21+G25)</f>
        <v>5</v>
      </c>
      <c r="H26" s="30" t="s">
        <v>279</v>
      </c>
      <c r="I26" s="27">
        <f ca="1">G26-(VLOOKUP(B25,DD_Normal_Data,CELL("Col",C27),FALSE))</f>
        <v>5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81.5</v>
      </c>
      <c r="F27" s="24" t="s">
        <v>281</v>
      </c>
      <c r="G27" s="25">
        <f>IF(AND(DAY(B25)=1,MONTH(B25)=8),G25,G22+G25)</f>
        <v>6704</v>
      </c>
      <c r="H27" s="26" t="s">
        <v>281</v>
      </c>
      <c r="I27" s="27">
        <f ca="1">G27-(VLOOKUP(B25,DD_Normal_Data,CELL("Col",D24),FALSE))</f>
        <v>282</v>
      </c>
    </row>
    <row r="28" spans="1:109" ht="15">
      <c r="A28" s="18"/>
      <c r="B28" s="20"/>
      <c r="C28" s="15"/>
      <c r="D28" s="32" t="str">
        <f>IF(Weather_Input!I9=""," ",Weather_Input!I9)</f>
        <v xml:space="preserve">PARTLY CLOUDY. 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Sunday</v>
      </c>
      <c r="B30" s="21">
        <f>Weather_Input!A10</f>
        <v>37094</v>
      </c>
      <c r="C30" s="15"/>
      <c r="D30" s="22" t="s">
        <v>275</v>
      </c>
      <c r="E30" s="23">
        <f>Weather_Input!B10</f>
        <v>91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162</v>
      </c>
      <c r="E31" s="23">
        <f>Weather_Input!C10</f>
        <v>72</v>
      </c>
      <c r="F31" s="24" t="s">
        <v>278</v>
      </c>
      <c r="G31" s="25">
        <f>IF(DAY(B30)=1,G30,G26+G30)</f>
        <v>5</v>
      </c>
      <c r="H31" s="30" t="s">
        <v>279</v>
      </c>
      <c r="I31" s="27">
        <f ca="1">G31-(VLOOKUP(B30,DD_Normal_Data,CELL("Col",C32),FALSE))</f>
        <v>5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81.5</v>
      </c>
      <c r="F32" s="24" t="s">
        <v>281</v>
      </c>
      <c r="G32" s="25">
        <f>IF(AND(DAY(B30)=1,MONTH(B30)=8),G30,G27+G30)</f>
        <v>6704</v>
      </c>
      <c r="H32" s="26" t="s">
        <v>281</v>
      </c>
      <c r="I32" s="27">
        <f ca="1">G32-(VLOOKUP(B30,DD_Normal_Data,CELL("Col",D29),FALSE))</f>
        <v>282</v>
      </c>
    </row>
    <row r="33" spans="1:9" ht="15">
      <c r="A33" s="15"/>
      <c r="B33" s="34"/>
      <c r="C33" s="15"/>
      <c r="D33" s="32" t="str">
        <f>IF(Weather_Input!I10=""," ",Weather_Input!I10)</f>
        <v xml:space="preserve">PARTLY CLOUDY. 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37089</v>
      </c>
      <c r="C36" s="89">
        <f>B10</f>
        <v>37090</v>
      </c>
      <c r="D36" s="89">
        <f>B15</f>
        <v>37091</v>
      </c>
      <c r="E36" s="89">
        <f xml:space="preserve">       B20</f>
        <v>37092</v>
      </c>
      <c r="F36" s="89">
        <f>B25</f>
        <v>37093</v>
      </c>
      <c r="G36" s="89">
        <f>B30</f>
        <v>37094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198</v>
      </c>
      <c r="C37" s="41">
        <f ca="1">(VLOOKUP(C36,PGL_Sendouts,(CELL("COL",PGL_Deliveries!C7))))/1000</f>
        <v>195</v>
      </c>
      <c r="D37" s="41">
        <f ca="1">(VLOOKUP(D36,PGL_Sendouts,(CELL("COL",PGL_Deliveries!C8))))/1000</f>
        <v>195</v>
      </c>
      <c r="E37" s="41">
        <f ca="1">(VLOOKUP(E36,PGL_Sendouts,(CELL("COL",PGL_Deliveries!C9))))/1000</f>
        <v>185</v>
      </c>
      <c r="F37" s="41">
        <f ca="1">(VLOOKUP(F36,PGL_Sendouts,(CELL("COL",PGL_Deliveries!C10))))/1000</f>
        <v>175</v>
      </c>
      <c r="G37" s="41">
        <f ca="1">(VLOOKUP(G36,PGL_Sendouts,(CELL("COL",PGL_Deliveries!C10))))/1000</f>
        <v>185</v>
      </c>
      <c r="H37" s="14"/>
      <c r="I37" s="15"/>
    </row>
    <row r="38" spans="1:9" ht="15">
      <c r="A38" s="15" t="s">
        <v>286</v>
      </c>
      <c r="B38" s="41">
        <f>PGL_6_Day_Report!D25</f>
        <v>482.72500000000002</v>
      </c>
      <c r="C38" s="41">
        <f>PGL_6_Day_Report!E25</f>
        <v>397.43</v>
      </c>
      <c r="D38" s="41">
        <f>PGL_6_Day_Report!F25</f>
        <v>332.8</v>
      </c>
      <c r="E38" s="41">
        <f>PGL_6_Day_Report!G25</f>
        <v>322.8</v>
      </c>
      <c r="F38" s="41">
        <f>PGL_6_Day_Report!H25</f>
        <v>312.8</v>
      </c>
      <c r="G38" s="41">
        <f>PGL_6_Day_Report!I25</f>
        <v>322.8</v>
      </c>
      <c r="H38" s="14"/>
      <c r="I38" s="15"/>
    </row>
    <row r="39" spans="1:9" ht="15">
      <c r="A39" s="42" t="s">
        <v>104</v>
      </c>
      <c r="B39" s="41">
        <f>SUM(PGL_Supplies!Y7:AD7)/1000</f>
        <v>268.03300000000002</v>
      </c>
      <c r="C39" s="41">
        <f>SUM(PGL_Supplies!Y8:AD8)/1000</f>
        <v>242.05199999999999</v>
      </c>
      <c r="D39" s="41">
        <f>SUM(PGL_Supplies!Y9:AD9)/1000</f>
        <v>237.05199999999999</v>
      </c>
      <c r="E39" s="41">
        <f>SUM(PGL_Supplies!Y10:AD10)/1000</f>
        <v>237.05199999999999</v>
      </c>
      <c r="F39" s="41">
        <f>SUM(PGL_Supplies!Y11:AD11)/1000</f>
        <v>237.05199999999999</v>
      </c>
      <c r="G39" s="41">
        <f>SUM(PGL_Supplies!Y12:AD12)/1000</f>
        <v>237.05199999999999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0.82</v>
      </c>
      <c r="C41" s="41">
        <f>SUM(PGL_Requirements!Q7:T7)/1000</f>
        <v>0.82</v>
      </c>
      <c r="D41" s="41">
        <f>SUM(PGL_Requirements!Q7:T7)/1000</f>
        <v>0.82</v>
      </c>
      <c r="E41" s="41">
        <f>SUM(PGL_Requirements!Q7:T7)/1000</f>
        <v>0.82</v>
      </c>
      <c r="F41" s="41">
        <f>SUM(PGL_Requirements!Q7:T7)/1000</f>
        <v>0.82</v>
      </c>
      <c r="G41" s="41">
        <f>SUM(PGL_Requirements!Q7:T7)/1000</f>
        <v>0.82</v>
      </c>
      <c r="H41" s="14"/>
      <c r="I41" s="15"/>
    </row>
    <row r="42" spans="1:9" ht="15">
      <c r="A42" s="15" t="s">
        <v>127</v>
      </c>
      <c r="B42" s="41">
        <f>PGL_Supplies!U7/1000</f>
        <v>123.648</v>
      </c>
      <c r="C42" s="41">
        <f>PGL_Supplies!U8/1000</f>
        <v>129.77199999999999</v>
      </c>
      <c r="D42" s="41">
        <f>PGL_Supplies!U9/1000</f>
        <v>129.77199999999999</v>
      </c>
      <c r="E42" s="41">
        <f>PGL_Supplies!U10/1000</f>
        <v>129.77199999999999</v>
      </c>
      <c r="F42" s="41">
        <f>PGL_Supplies!U11/1000</f>
        <v>129.77199999999999</v>
      </c>
      <c r="G42" s="41">
        <f>PGL_Supplies!U12/1000</f>
        <v>129.77199999999999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37089</v>
      </c>
      <c r="C44" s="89">
        <f t="shared" si="0"/>
        <v>37090</v>
      </c>
      <c r="D44" s="89">
        <f t="shared" si="0"/>
        <v>37091</v>
      </c>
      <c r="E44" s="89">
        <f t="shared" si="0"/>
        <v>37092</v>
      </c>
      <c r="F44" s="89">
        <f t="shared" si="0"/>
        <v>37093</v>
      </c>
      <c r="G44" s="89">
        <f t="shared" si="0"/>
        <v>37094</v>
      </c>
      <c r="H44" s="14"/>
      <c r="I44" s="15"/>
    </row>
    <row r="45" spans="1:9" ht="15">
      <c r="A45" s="15" t="s">
        <v>54</v>
      </c>
      <c r="B45" s="41">
        <f ca="1">NSG_6_Day_Report!D6</f>
        <v>33.5</v>
      </c>
      <c r="C45" s="41">
        <f ca="1">NSG_6_Day_Report!E6</f>
        <v>34</v>
      </c>
      <c r="D45" s="41">
        <f ca="1">NSG_6_Day_Report!F6</f>
        <v>34</v>
      </c>
      <c r="E45" s="41">
        <f ca="1">NSG_6_Day_Report!G6</f>
        <v>33</v>
      </c>
      <c r="F45" s="41">
        <f ca="1">NSG_6_Day_Report!H6</f>
        <v>30</v>
      </c>
      <c r="G45" s="41">
        <f ca="1">NSG_6_Day_Report!I6</f>
        <v>33</v>
      </c>
      <c r="H45" s="14"/>
      <c r="I45" s="15"/>
    </row>
    <row r="46" spans="1:9" ht="15">
      <c r="A46" s="42" t="s">
        <v>286</v>
      </c>
      <c r="B46" s="41">
        <f ca="1">NSG_6_Day_Report!D11</f>
        <v>39.92</v>
      </c>
      <c r="C46" s="41">
        <f ca="1">NSG_6_Day_Report!E11</f>
        <v>34</v>
      </c>
      <c r="D46" s="41">
        <f ca="1">NSG_6_Day_Report!F11</f>
        <v>34</v>
      </c>
      <c r="E46" s="41">
        <f ca="1">NSG_6_Day_Report!G11</f>
        <v>33</v>
      </c>
      <c r="F46" s="41">
        <f ca="1">NSG_6_Day_Report!H11</f>
        <v>30</v>
      </c>
      <c r="G46" s="41">
        <f ca="1">NSG_6_Day_Report!I11</f>
        <v>33</v>
      </c>
      <c r="H46" s="14"/>
      <c r="I46" s="15"/>
    </row>
    <row r="47" spans="1:9" ht="15">
      <c r="A47" s="42" t="s">
        <v>104</v>
      </c>
      <c r="B47" s="41">
        <f>SUM(NSG_Supplies!O7:Q7)/1000</f>
        <v>39.323</v>
      </c>
      <c r="C47" s="41">
        <f>SUM(NSG_Supplies!O8:Q8)/1000</f>
        <v>38.65</v>
      </c>
      <c r="D47" s="41">
        <f>SUM(NSG_Supplies!O9:Q9)/1000</f>
        <v>38.65</v>
      </c>
      <c r="E47" s="41">
        <f>SUM(NSG_Supplies!O10:Q10)/1000</f>
        <v>38.65</v>
      </c>
      <c r="F47" s="41">
        <f>SUM(NSG_Supplies!O11:Q11)/1000</f>
        <v>38.65</v>
      </c>
      <c r="G47" s="41">
        <f>SUM(NSG_Supplies!O12:Q12)/1000</f>
        <v>38.65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15.99</v>
      </c>
      <c r="C50" s="41">
        <f>NSG_Supplies!R8/1000</f>
        <v>15.317</v>
      </c>
      <c r="D50" s="41">
        <f>NSG_Supplies!R9/1000</f>
        <v>15.317</v>
      </c>
      <c r="E50" s="41">
        <f>NSG_Supplies!R10/1000</f>
        <v>15.317</v>
      </c>
      <c r="F50" s="41">
        <f>NSG_Supplies!R11/1000</f>
        <v>15.317</v>
      </c>
      <c r="G50" s="41">
        <f>NSG_Supplies!R12/1000</f>
        <v>15.317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37089</v>
      </c>
      <c r="C52" s="89">
        <f t="shared" si="1"/>
        <v>37090</v>
      </c>
      <c r="D52" s="89">
        <f t="shared" si="1"/>
        <v>37091</v>
      </c>
      <c r="E52" s="89">
        <f t="shared" si="1"/>
        <v>37092</v>
      </c>
      <c r="F52" s="89">
        <f t="shared" si="1"/>
        <v>37093</v>
      </c>
      <c r="G52" s="89">
        <f t="shared" si="1"/>
        <v>37094</v>
      </c>
      <c r="H52" s="14"/>
      <c r="I52" s="15"/>
    </row>
    <row r="53" spans="1:9" ht="15">
      <c r="A53" s="92" t="s">
        <v>290</v>
      </c>
      <c r="B53" s="41">
        <f>PGL_Requirements!O7/1000</f>
        <v>103</v>
      </c>
      <c r="C53" s="41">
        <f>PGL_Requirements!O8/1000</f>
        <v>132</v>
      </c>
      <c r="D53" s="41">
        <f>PGL_Requirements!O9/1000</f>
        <v>132</v>
      </c>
      <c r="E53" s="41">
        <f>PGL_Requirements!O10/1000</f>
        <v>132</v>
      </c>
      <c r="F53" s="41">
        <f>PGL_Requirements!O11/1000</f>
        <v>132</v>
      </c>
      <c r="G53" s="41">
        <f>PGL_Requirements!O12/1000</f>
        <v>132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38" t="s">
        <v>687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5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64"/>
    </row>
    <row r="3" spans="1:8" ht="15.75" thickBot="1">
      <c r="A3" s="96" t="s">
        <v>296</v>
      </c>
    </row>
    <row r="4" spans="1:8">
      <c r="A4" s="97"/>
      <c r="B4" s="1065" t="str">
        <f>Six_Day_Summary!A10</f>
        <v>Wednesday</v>
      </c>
      <c r="C4" s="1066" t="str">
        <f>Six_Day_Summary!A15</f>
        <v>Thursday</v>
      </c>
      <c r="D4" s="1066" t="str">
        <f>Six_Day_Summary!A20</f>
        <v>Friday</v>
      </c>
      <c r="E4" s="1066" t="str">
        <f>Six_Day_Summary!A25</f>
        <v>Saturday</v>
      </c>
      <c r="F4" s="1067" t="str">
        <f>Six_Day_Summary!A30</f>
        <v>Sunday</v>
      </c>
      <c r="G4" s="98"/>
    </row>
    <row r="5" spans="1:8">
      <c r="A5" s="101" t="s">
        <v>297</v>
      </c>
      <c r="B5" s="1068">
        <f>Weather_Input!A6</f>
        <v>37090</v>
      </c>
      <c r="C5" s="1069">
        <f>Weather_Input!A7</f>
        <v>37091</v>
      </c>
      <c r="D5" s="1069">
        <f>Weather_Input!A8</f>
        <v>37092</v>
      </c>
      <c r="E5" s="1069">
        <f>Weather_Input!A9</f>
        <v>37093</v>
      </c>
      <c r="F5" s="1070">
        <f>Weather_Input!A10</f>
        <v>37094</v>
      </c>
      <c r="G5" s="98"/>
    </row>
    <row r="6" spans="1:8">
      <c r="A6" s="98" t="s">
        <v>298</v>
      </c>
      <c r="B6" s="1071">
        <f>PGL_Supplies!AB8/1000+PGL_Supplies!K8/1000-PGL_Requirements!N8/1000-PGL_Requirements!S8/1000+B8</f>
        <v>37.305999999999997</v>
      </c>
      <c r="C6" s="1071">
        <f>PGL_Supplies!AB9/1000+PGL_Supplies!K9/1000-PGL_Requirements!N9/1000+C15-PGL_Requirements!S9/1000</f>
        <v>32.305999999999997</v>
      </c>
      <c r="D6" s="1071">
        <f>PGL_Supplies!AB10/1000+PGL_Supplies!K10/1000-PGL_Requirements!N10/1000+D15-PGL_Requirements!S10/1000</f>
        <v>32.305999999999997</v>
      </c>
      <c r="E6" s="1071">
        <f>PGL_Supplies!AB11/1000+PGL_Supplies!K11/1000-PGL_Requirements!N11/1000+E15-PGL_Requirements!S11/1000</f>
        <v>32.305999999999997</v>
      </c>
      <c r="F6" s="1072">
        <f>PGL_Supplies!AB12/1000+PGL_Supplies!K12/1000-PGL_Requirements!N12/1000+F15-PGL_Requirements!S12/1000</f>
        <v>32.305999999999997</v>
      </c>
      <c r="G6" s="98"/>
      <c r="H6" t="s">
        <v>9</v>
      </c>
    </row>
    <row r="7" spans="1:8">
      <c r="A7" s="98" t="s">
        <v>299</v>
      </c>
      <c r="B7" s="1071">
        <f>PGL_Supplies!M8/1000</f>
        <v>0</v>
      </c>
      <c r="C7" s="1071">
        <f>PGL_Supplies!M9/1000</f>
        <v>0</v>
      </c>
      <c r="D7" s="1071">
        <f>PGL_Supplies!M10/1000</f>
        <v>0</v>
      </c>
      <c r="E7" s="1071">
        <f>PGL_Supplies!M11/1000</f>
        <v>0</v>
      </c>
      <c r="F7" s="1073">
        <f>PGL_Supplies!M12/1000</f>
        <v>0</v>
      </c>
      <c r="G7" s="98"/>
    </row>
    <row r="8" spans="1:8">
      <c r="A8" s="98" t="s">
        <v>300</v>
      </c>
      <c r="B8" s="1071">
        <f>PGL_Supplies!N8/1000</f>
        <v>0</v>
      </c>
      <c r="C8" s="1071">
        <f>PGL_Supplies!N9/1000</f>
        <v>0</v>
      </c>
      <c r="D8" s="1071">
        <f>PGL_Supplies!N10/1000</f>
        <v>0</v>
      </c>
      <c r="E8" s="1071">
        <f>PGL_Supplies!N11/1000</f>
        <v>0</v>
      </c>
      <c r="F8" s="1073">
        <f>PGL_Supplies!N12/1000</f>
        <v>0</v>
      </c>
      <c r="G8" s="98"/>
    </row>
    <row r="9" spans="1:8">
      <c r="A9" s="98" t="s">
        <v>301</v>
      </c>
      <c r="B9" s="1071">
        <v>0</v>
      </c>
      <c r="C9" s="1071">
        <v>0</v>
      </c>
      <c r="D9" s="1071">
        <v>0</v>
      </c>
      <c r="E9" s="1071">
        <v>0</v>
      </c>
      <c r="F9" s="1073">
        <v>0</v>
      </c>
      <c r="G9" s="98"/>
    </row>
    <row r="10" spans="1:8">
      <c r="A10" s="99"/>
      <c r="B10" s="1074"/>
      <c r="C10" s="1074"/>
      <c r="D10" s="1074"/>
      <c r="E10" s="1074"/>
      <c r="F10" s="1075"/>
      <c r="G10" s="98"/>
    </row>
    <row r="11" spans="1:8">
      <c r="A11" s="98" t="s">
        <v>302</v>
      </c>
      <c r="B11" s="1071">
        <v>0</v>
      </c>
      <c r="C11" s="1071">
        <v>0</v>
      </c>
      <c r="D11" s="1071">
        <v>0</v>
      </c>
      <c r="E11" s="1071">
        <v>0</v>
      </c>
      <c r="F11" s="1073">
        <v>0</v>
      </c>
      <c r="G11" s="98"/>
      <c r="H11" s="119" t="s">
        <v>9</v>
      </c>
    </row>
    <row r="12" spans="1:8">
      <c r="A12" s="98" t="s">
        <v>303</v>
      </c>
      <c r="B12" s="1071">
        <f>PGL_Requirements!R8/1000</f>
        <v>0</v>
      </c>
      <c r="C12" s="1071">
        <f>PGL_Requirements!R9/1000</f>
        <v>0</v>
      </c>
      <c r="D12" s="1071">
        <f>PGL_Requirements!R10/1000</f>
        <v>0</v>
      </c>
      <c r="E12" s="1071">
        <f>PGL_Requirements!R11/1000</f>
        <v>0</v>
      </c>
      <c r="F12" s="1073">
        <f>PGL_Requirements!R12/1000</f>
        <v>0</v>
      </c>
      <c r="G12" s="98"/>
    </row>
    <row r="13" spans="1:8">
      <c r="A13" s="98" t="s">
        <v>304</v>
      </c>
      <c r="B13" s="1071">
        <v>0</v>
      </c>
      <c r="C13" s="1071">
        <v>0</v>
      </c>
      <c r="D13" s="1071">
        <v>0</v>
      </c>
      <c r="E13" s="1071">
        <v>0</v>
      </c>
      <c r="F13" s="1073">
        <v>0</v>
      </c>
      <c r="G13" s="98"/>
    </row>
    <row r="14" spans="1:8">
      <c r="A14" s="98" t="s">
        <v>175</v>
      </c>
      <c r="B14" s="1071">
        <v>0</v>
      </c>
      <c r="C14" s="1077"/>
      <c r="D14" s="1077"/>
      <c r="E14" s="1077"/>
      <c r="F14" s="1073"/>
      <c r="G14" s="98"/>
    </row>
    <row r="15" spans="1:8">
      <c r="A15" s="98" t="s">
        <v>673</v>
      </c>
      <c r="B15" s="1076">
        <v>0</v>
      </c>
      <c r="C15" s="1076">
        <v>0</v>
      </c>
      <c r="D15" s="1076">
        <v>0</v>
      </c>
      <c r="E15" s="1076">
        <v>0</v>
      </c>
      <c r="F15" s="1107">
        <v>0</v>
      </c>
      <c r="G15" s="119"/>
    </row>
    <row r="16" spans="1:8">
      <c r="A16" s="98" t="s">
        <v>305</v>
      </c>
      <c r="B16" s="1076">
        <v>0</v>
      </c>
      <c r="C16" s="1077"/>
      <c r="D16" s="1077"/>
      <c r="E16" s="1077"/>
      <c r="F16" s="1073"/>
      <c r="G16" s="98"/>
    </row>
    <row r="17" spans="1:7" ht="15.75" thickBot="1">
      <c r="A17" s="100" t="s">
        <v>730</v>
      </c>
      <c r="B17" s="1078">
        <v>0</v>
      </c>
      <c r="C17" s="1079"/>
      <c r="D17" s="1079"/>
      <c r="E17" s="1079"/>
      <c r="F17" s="1080"/>
      <c r="G17" s="98"/>
    </row>
    <row r="20" spans="1:7" ht="15.75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1" t="str">
        <f t="shared" ref="B21:F22" si="0">B4</f>
        <v>Wednesday</v>
      </c>
      <c r="C21" s="1081" t="str">
        <f t="shared" si="0"/>
        <v>Thursday</v>
      </c>
      <c r="D21" s="1081" t="str">
        <f t="shared" si="0"/>
        <v>Friday</v>
      </c>
      <c r="E21" s="1081" t="str">
        <f t="shared" si="0"/>
        <v>Saturday</v>
      </c>
      <c r="F21" s="1082" t="str">
        <f t="shared" si="0"/>
        <v>Sunday</v>
      </c>
      <c r="G21" s="98"/>
    </row>
    <row r="22" spans="1:7">
      <c r="A22" s="105" t="s">
        <v>297</v>
      </c>
      <c r="B22" s="1083">
        <f t="shared" si="0"/>
        <v>37090</v>
      </c>
      <c r="C22" s="1083">
        <f t="shared" si="0"/>
        <v>37091</v>
      </c>
      <c r="D22" s="1083">
        <f t="shared" si="0"/>
        <v>37092</v>
      </c>
      <c r="E22" s="1083">
        <f t="shared" si="0"/>
        <v>37093</v>
      </c>
      <c r="F22" s="1084">
        <f t="shared" si="0"/>
        <v>37094</v>
      </c>
      <c r="G22" s="98"/>
    </row>
    <row r="23" spans="1:7">
      <c r="A23" s="98" t="s">
        <v>298</v>
      </c>
      <c r="B23" s="1077">
        <f>NSG_Supplies!Q8/1000+NSG_Supplies!F8/1000-NSG_Requirements!H8/1000</f>
        <v>26.65</v>
      </c>
      <c r="C23" s="1077">
        <f>NSG_Supplies!Q9/1000+NSG_Supplies!F9/1000-NSG_Requirements!H9/1000</f>
        <v>26.65</v>
      </c>
      <c r="D23" s="1077">
        <f>NSG_Supplies!Q10/1000+NSG_Supplies!F10/1000-NSG_Requirements!H10/1000</f>
        <v>26.65</v>
      </c>
      <c r="E23" s="1077">
        <f>NSG_Supplies!Q12/1000+NSG_Supplies!F11/1000-NSG_Requirements!H11/1000</f>
        <v>26.65</v>
      </c>
      <c r="F23" s="1072">
        <f>NSG_Supplies!Q12/1000+NSG_Supplies!F12/1000-NSG_Requirements!H12/1000</f>
        <v>26.65</v>
      </c>
      <c r="G23" s="98"/>
    </row>
    <row r="24" spans="1:7">
      <c r="A24" s="98" t="s">
        <v>307</v>
      </c>
      <c r="B24" s="1077">
        <f>NSG_Supplies!G8/1000</f>
        <v>0</v>
      </c>
      <c r="C24" s="1077">
        <f>NSG_Supplies!G9/1000</f>
        <v>0</v>
      </c>
      <c r="D24" s="1077">
        <f>NSG_Supplies!G10/1000</f>
        <v>0</v>
      </c>
      <c r="E24" s="1077">
        <f>NSG_Supplies!G11/1000</f>
        <v>0</v>
      </c>
      <c r="F24" s="1073">
        <f>NSG_Supplies!G12/1000</f>
        <v>0</v>
      </c>
      <c r="G24" s="98"/>
    </row>
    <row r="25" spans="1:7">
      <c r="A25" s="98" t="s">
        <v>299</v>
      </c>
      <c r="B25" s="1077">
        <f>NSG_Supplies!H8/1000</f>
        <v>0</v>
      </c>
      <c r="C25" s="1077">
        <f>NSG_Supplies!H9/1000</f>
        <v>0</v>
      </c>
      <c r="D25" s="1077">
        <f>NSG_Supplies!H10/1000</f>
        <v>0</v>
      </c>
      <c r="E25" s="1077">
        <f>NSG_Supplies!H11/1000</f>
        <v>0</v>
      </c>
      <c r="F25" s="1073">
        <f>NSG_Supplies!H12/1000</f>
        <v>0</v>
      </c>
      <c r="G25" s="98"/>
    </row>
    <row r="26" spans="1:7">
      <c r="A26" s="102" t="s">
        <v>300</v>
      </c>
      <c r="B26" s="1077">
        <f>NSG_Supplies!I8/1000</f>
        <v>0</v>
      </c>
      <c r="C26" s="1077">
        <f>NSG_Supplies!I9/1000</f>
        <v>0</v>
      </c>
      <c r="D26" s="1077">
        <f>NSG_Supplies!I10/1000</f>
        <v>0</v>
      </c>
      <c r="E26" s="1077">
        <f>NSG_Supplies!I11/1000</f>
        <v>0</v>
      </c>
      <c r="F26" s="1073">
        <f>NSG_Supplies!I12/1000</f>
        <v>0</v>
      </c>
      <c r="G26" s="98"/>
    </row>
    <row r="27" spans="1:7">
      <c r="A27" s="98" t="s">
        <v>301</v>
      </c>
      <c r="B27" s="1077">
        <f>NSG_Supplies!J8/1000</f>
        <v>0</v>
      </c>
      <c r="C27" s="1077">
        <f>NSG_Supplies!J9/1000</f>
        <v>0</v>
      </c>
      <c r="D27" s="1077">
        <f>NSG_Supplies!J10/1000</f>
        <v>0</v>
      </c>
      <c r="E27" s="1077">
        <f>NSG_Supplies!J11/1000</f>
        <v>0</v>
      </c>
      <c r="F27" s="1073">
        <f>NSG_Supplies!J12/1000</f>
        <v>0</v>
      </c>
      <c r="G27" s="98"/>
    </row>
    <row r="28" spans="1:7">
      <c r="A28" s="98" t="s">
        <v>308</v>
      </c>
      <c r="B28" s="1077" t="s">
        <v>9</v>
      </c>
      <c r="C28" s="1077"/>
      <c r="D28" s="1077"/>
      <c r="E28" s="1077"/>
      <c r="F28" s="1073"/>
      <c r="G28" s="98"/>
    </row>
    <row r="29" spans="1:7">
      <c r="A29" s="99"/>
      <c r="B29" s="1074"/>
      <c r="C29" s="1074"/>
      <c r="D29" s="1074"/>
      <c r="E29" s="1074"/>
      <c r="F29" s="1075"/>
      <c r="G29" s="98"/>
    </row>
    <row r="30" spans="1:7">
      <c r="A30" s="98" t="s">
        <v>302</v>
      </c>
      <c r="B30" s="1077">
        <f>NSG_Requirements!P8/1000</f>
        <v>0</v>
      </c>
      <c r="C30" s="1077">
        <f>NSG_Requirements!P9/1000</f>
        <v>0</v>
      </c>
      <c r="D30" s="1077">
        <f>NSG_Requirements!P10/1000</f>
        <v>0</v>
      </c>
      <c r="E30" s="1077">
        <f>NSG_Requirements!P11/1000</f>
        <v>0</v>
      </c>
      <c r="F30" s="1073">
        <f>NSG_Supplies!J12/1000</f>
        <v>0</v>
      </c>
      <c r="G30" s="98"/>
    </row>
    <row r="31" spans="1:7">
      <c r="A31" s="98" t="s">
        <v>303</v>
      </c>
      <c r="B31" s="1077">
        <f>NSG_Requirements!R8/1000</f>
        <v>0</v>
      </c>
      <c r="C31" s="1077">
        <f>NSG_Requirements!R9/1000</f>
        <v>0</v>
      </c>
      <c r="D31" s="1077">
        <f>NSG_Requirements!R10/1000</f>
        <v>0</v>
      </c>
      <c r="E31" s="1077">
        <f>NSG_Requirements!R11/1000</f>
        <v>0</v>
      </c>
      <c r="F31" s="1073">
        <f>NSG_Supplies!L12/1000</f>
        <v>0</v>
      </c>
      <c r="G31" s="98"/>
    </row>
    <row r="32" spans="1:7">
      <c r="A32" s="98" t="s">
        <v>304</v>
      </c>
      <c r="B32" s="1077">
        <f>NSG_Requirements!Q8/1000</f>
        <v>0</v>
      </c>
      <c r="C32" s="1077">
        <f>NSG_Requirements!Q9/1000</f>
        <v>0</v>
      </c>
      <c r="D32" s="1077">
        <f>NSG_Requirements!Q10/1000</f>
        <v>0</v>
      </c>
      <c r="E32" s="1077">
        <f>NSG_Requirements!Q11/1000</f>
        <v>0</v>
      </c>
      <c r="F32" s="1073">
        <f>NSG_Requirements!Q12/1000</f>
        <v>0</v>
      </c>
      <c r="G32" s="98"/>
    </row>
    <row r="33" spans="1:7" ht="15.75" thickBot="1">
      <c r="A33" s="100" t="s">
        <v>309</v>
      </c>
      <c r="B33" s="1079">
        <f>NSG_Requirements!L8/1000</f>
        <v>0</v>
      </c>
      <c r="C33" s="1079">
        <f>NSG_Requirements!L9/1000</f>
        <v>0</v>
      </c>
      <c r="D33" s="1079">
        <f>NSG_Requirements!L10/1000</f>
        <v>0</v>
      </c>
      <c r="E33" s="1079">
        <f>NSG_Requirements!L11/1000</f>
        <v>0</v>
      </c>
      <c r="F33" s="1080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0" t="s">
        <v>9</v>
      </c>
      <c r="B1" s="796" t="s">
        <v>359</v>
      </c>
      <c r="C1" s="892">
        <f>Weather_Input!A6</f>
        <v>37090</v>
      </c>
      <c r="D1" s="893" t="s">
        <v>352</v>
      </c>
      <c r="E1" s="797"/>
      <c r="F1" s="1015"/>
      <c r="G1" s="425"/>
      <c r="H1" s="425"/>
      <c r="I1" s="1016"/>
    </row>
    <row r="2" spans="1:11" ht="15.75" customHeight="1" thickBot="1">
      <c r="A2" s="428"/>
      <c r="B2" s="1013" t="s">
        <v>607</v>
      </c>
      <c r="E2" s="158"/>
      <c r="I2" s="158"/>
    </row>
    <row r="3" spans="1:11" ht="15.75" customHeight="1" thickTop="1">
      <c r="B3" s="169" t="s">
        <v>104</v>
      </c>
      <c r="C3" s="887">
        <f>NSG_Supplies!P8/1000</f>
        <v>12</v>
      </c>
      <c r="E3" s="158"/>
      <c r="F3" s="779" t="s">
        <v>155</v>
      </c>
      <c r="G3" s="778"/>
      <c r="H3" s="791" t="s">
        <v>541</v>
      </c>
      <c r="I3" s="790" t="s">
        <v>540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62">
        <f>NSG_Supplies!E8/1000</f>
        <v>0</v>
      </c>
      <c r="D4" s="132">
        <f>NSG_Requirements!J8/1000</f>
        <v>0</v>
      </c>
      <c r="E4" s="789"/>
      <c r="F4" s="169" t="s">
        <v>520</v>
      </c>
      <c r="G4" s="60"/>
      <c r="H4" s="151">
        <f>PGL_Requirements!O8/1000</f>
        <v>132</v>
      </c>
      <c r="I4" s="173">
        <f>AVERAGE(H4/1.025)</f>
        <v>128.78048780487805</v>
      </c>
      <c r="J4" t="s">
        <v>9</v>
      </c>
    </row>
    <row r="5" spans="1:11" ht="15.75" customHeight="1" thickTop="1" thickBot="1">
      <c r="B5" s="432" t="s">
        <v>608</v>
      </c>
      <c r="C5" s="443">
        <f>C3+C4-D4</f>
        <v>12</v>
      </c>
      <c r="D5" s="433"/>
      <c r="E5" s="435">
        <f>AVERAGE(C5/24)</f>
        <v>0.5</v>
      </c>
      <c r="F5" s="167" t="s">
        <v>426</v>
      </c>
      <c r="G5" s="207">
        <f>PGL_Supplies!L8/1000</f>
        <v>0</v>
      </c>
      <c r="H5" s="165"/>
      <c r="I5" s="974">
        <f>AVERAGE(G5/1.025)</f>
        <v>0</v>
      </c>
      <c r="K5" t="s">
        <v>9</v>
      </c>
    </row>
    <row r="6" spans="1:11" ht="15.75" customHeight="1" thickTop="1" thickBot="1">
      <c r="B6" s="890" t="s">
        <v>370</v>
      </c>
      <c r="C6" s="891"/>
      <c r="D6" s="119"/>
      <c r="E6" s="788"/>
      <c r="F6" t="s">
        <v>725</v>
      </c>
      <c r="G6" s="891">
        <f>AVERAGE(H4/24)</f>
        <v>5.5</v>
      </c>
      <c r="H6" s="425"/>
      <c r="I6" s="1016"/>
    </row>
    <row r="7" spans="1:11" ht="15.75" customHeight="1">
      <c r="B7" s="169" t="s">
        <v>353</v>
      </c>
      <c r="C7" s="151">
        <f>NSG_Supplies!K8/1000</f>
        <v>0</v>
      </c>
      <c r="D7" s="60"/>
      <c r="E7" s="445"/>
      <c r="F7" s="1013" t="s">
        <v>589</v>
      </c>
      <c r="G7" s="1014"/>
      <c r="H7" s="60"/>
      <c r="I7" s="158"/>
    </row>
    <row r="8" spans="1:11" ht="15.75" customHeight="1">
      <c r="B8" s="169" t="s">
        <v>501</v>
      </c>
      <c r="C8" s="151">
        <f>PGL_Requirements!V8/1000</f>
        <v>0</v>
      </c>
      <c r="D8" s="60"/>
      <c r="E8" s="445"/>
      <c r="F8" s="169" t="s">
        <v>588</v>
      </c>
      <c r="G8" s="151">
        <f>PGL_Supplies!S8/1000</f>
        <v>50</v>
      </c>
      <c r="H8" s="60"/>
      <c r="I8" s="158"/>
    </row>
    <row r="9" spans="1:11" ht="15.75" customHeight="1" thickBot="1">
      <c r="B9" s="169" t="s">
        <v>716</v>
      </c>
      <c r="C9" s="151">
        <f>NSG_Requirements!B8/1000</f>
        <v>0</v>
      </c>
      <c r="D9" s="60"/>
      <c r="E9" s="445"/>
      <c r="F9" s="1" t="s">
        <v>670</v>
      </c>
      <c r="G9" s="151">
        <f>PGL_Supplies!T8/1000</f>
        <v>0</v>
      </c>
      <c r="I9" s="158"/>
    </row>
    <row r="10" spans="1:11" ht="15.75" customHeight="1" thickTop="1" thickBot="1">
      <c r="B10" s="432" t="s">
        <v>525</v>
      </c>
      <c r="C10" s="443">
        <f>C7+C8-C9</f>
        <v>0</v>
      </c>
      <c r="D10" s="433"/>
      <c r="E10" s="435">
        <f>AVERAGE(C10/24)</f>
        <v>0</v>
      </c>
      <c r="F10" s="169" t="s">
        <v>423</v>
      </c>
      <c r="G10" s="151">
        <f>PGL_Supplies!AA8/1000</f>
        <v>201.54599999999999</v>
      </c>
      <c r="H10" s="151" t="s">
        <v>9</v>
      </c>
      <c r="I10" s="158"/>
    </row>
    <row r="11" spans="1:11" ht="15.75" customHeight="1" thickTop="1">
      <c r="A11" t="s">
        <v>9</v>
      </c>
      <c r="B11" s="1055" t="s">
        <v>700</v>
      </c>
      <c r="C11" s="151">
        <f>PGL_Supplies!X8/1000</f>
        <v>114.566</v>
      </c>
      <c r="D11" s="778"/>
      <c r="E11" s="1056"/>
      <c r="F11" s="430" t="s">
        <v>356</v>
      </c>
      <c r="G11" s="442">
        <f>G8+G10</f>
        <v>251.54599999999999</v>
      </c>
      <c r="H11" s="429"/>
      <c r="I11" s="431"/>
    </row>
    <row r="12" spans="1:11" ht="15.75" customHeight="1">
      <c r="B12" s="244" t="s">
        <v>729</v>
      </c>
      <c r="C12" s="151">
        <v>0</v>
      </c>
      <c r="D12" s="119"/>
      <c r="E12" s="158"/>
      <c r="F12" s="170" t="s">
        <v>504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701</v>
      </c>
      <c r="C13" s="119"/>
      <c r="D13" s="151">
        <f>PGL_Requirements!I8/1000</f>
        <v>0</v>
      </c>
      <c r="E13" s="158"/>
      <c r="F13" s="170" t="s">
        <v>505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57" t="s">
        <v>708</v>
      </c>
      <c r="C14" s="443">
        <f>C11-C12</f>
        <v>114.566</v>
      </c>
      <c r="D14" s="433"/>
      <c r="E14" s="435">
        <f>AVERAGE(C14/24)</f>
        <v>4.7735833333333337</v>
      </c>
      <c r="F14" s="772" t="s">
        <v>523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706</v>
      </c>
      <c r="C15" s="151">
        <f>PGL_Supplies!Y8/1000</f>
        <v>0.2</v>
      </c>
      <c r="D15" s="60"/>
      <c r="E15" s="158"/>
      <c r="F15" s="772" t="s">
        <v>532</v>
      </c>
      <c r="G15" s="442">
        <f>SUM(G11)-G16-G17</f>
        <v>167.286</v>
      </c>
      <c r="H15" s="433" t="s">
        <v>9</v>
      </c>
      <c r="I15" s="435">
        <f>AVERAGE(G15/24)</f>
        <v>6.9702500000000001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PGL_Supplies!Q8/1000</f>
        <v>0</v>
      </c>
      <c r="D16" s="151">
        <f>PGL_Requirements!T8/1000</f>
        <v>0.2</v>
      </c>
      <c r="E16" s="158"/>
      <c r="F16" s="772" t="s">
        <v>537</v>
      </c>
      <c r="G16" s="443">
        <f>PGL_Requirements!G8/1000</f>
        <v>69.260000000000005</v>
      </c>
      <c r="H16" s="443" t="s">
        <v>9</v>
      </c>
      <c r="I16" s="435">
        <f>AVERAGE(G16/24)</f>
        <v>2.8858333333333337</v>
      </c>
    </row>
    <row r="17" spans="1:9" ht="15.75" customHeight="1" thickTop="1" thickBot="1">
      <c r="B17" s="430" t="s">
        <v>356</v>
      </c>
      <c r="C17" s="442">
        <f>SUM(C15:C16)-SUM(D15:D16)</f>
        <v>0</v>
      </c>
      <c r="D17" s="429"/>
      <c r="E17" s="431"/>
      <c r="F17" s="1025" t="s">
        <v>671</v>
      </c>
      <c r="G17" s="1104">
        <v>15</v>
      </c>
      <c r="H17" s="1024"/>
      <c r="I17" s="1105">
        <f>AVERAGE(G17/24)</f>
        <v>0.625</v>
      </c>
    </row>
    <row r="18" spans="1:9" ht="15.75" customHeight="1">
      <c r="B18" s="1257"/>
      <c r="C18" s="1258"/>
      <c r="D18" s="624"/>
      <c r="E18" s="1259"/>
      <c r="F18" s="1023" t="s">
        <v>521</v>
      </c>
      <c r="G18" s="60" t="s">
        <v>9</v>
      </c>
      <c r="H18" s="60"/>
      <c r="I18" s="158"/>
    </row>
    <row r="19" spans="1:9" ht="15.75" customHeight="1" thickBot="1">
      <c r="B19" s="1257"/>
      <c r="C19" s="624"/>
      <c r="D19" s="1258"/>
      <c r="E19" s="1259"/>
      <c r="F19" s="167" t="s">
        <v>522</v>
      </c>
      <c r="G19" s="165"/>
      <c r="H19" s="207">
        <v>0</v>
      </c>
      <c r="I19" s="438"/>
    </row>
    <row r="20" spans="1:9" ht="15.75" customHeight="1" thickTop="1" thickBot="1">
      <c r="B20" s="432" t="s">
        <v>527</v>
      </c>
      <c r="C20" s="443">
        <f>C17+C18-D19</f>
        <v>0</v>
      </c>
      <c r="D20" s="436" t="s">
        <v>9</v>
      </c>
      <c r="E20" s="435">
        <f>AVERAGE(C20/24)</f>
        <v>0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707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3</v>
      </c>
      <c r="H21" s="151" t="s">
        <v>9</v>
      </c>
      <c r="I21" s="158"/>
    </row>
    <row r="22" spans="1:9" ht="15.75" customHeight="1">
      <c r="B22" s="430" t="s">
        <v>356</v>
      </c>
      <c r="C22" s="442">
        <f>SUM(C21:C21)-SUM(D21)</f>
        <v>0</v>
      </c>
      <c r="D22" s="429"/>
      <c r="E22" s="431"/>
      <c r="F22" s="430" t="s">
        <v>356</v>
      </c>
      <c r="G22" s="442">
        <f>G21</f>
        <v>3</v>
      </c>
      <c r="H22" s="429"/>
      <c r="I22" s="431"/>
    </row>
    <row r="23" spans="1:9" ht="15.75" customHeight="1">
      <c r="B23" s="169" t="s">
        <v>354</v>
      </c>
      <c r="C23" s="151">
        <f>PGL_Supplies!C8/1000</f>
        <v>0</v>
      </c>
      <c r="D23" s="60"/>
      <c r="E23" s="158"/>
      <c r="F23" s="169" t="s">
        <v>357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355</v>
      </c>
      <c r="C24" s="60">
        <v>0</v>
      </c>
      <c r="D24" s="151">
        <f>PGL_Requirements!C8/1000</f>
        <v>0</v>
      </c>
      <c r="E24" s="158"/>
      <c r="F24" s="169" t="s">
        <v>358</v>
      </c>
      <c r="G24" s="60"/>
      <c r="H24" s="151">
        <f>PGL_Requirements!E8/1000</f>
        <v>3</v>
      </c>
      <c r="I24" s="158"/>
    </row>
    <row r="25" spans="1:9" ht="15.75" customHeight="1" thickTop="1" thickBot="1">
      <c r="B25" s="432" t="s">
        <v>526</v>
      </c>
      <c r="C25" s="443">
        <f>C22+C23-D24</f>
        <v>0</v>
      </c>
      <c r="D25" s="433"/>
      <c r="E25" s="435">
        <f>AVERAGE(C25/24)</f>
        <v>0</v>
      </c>
      <c r="F25" s="546" t="s">
        <v>524</v>
      </c>
      <c r="G25" s="888">
        <f>G22+G23-H24+G20</f>
        <v>0</v>
      </c>
      <c r="H25" s="425"/>
      <c r="I25" s="889">
        <f>AVERAGE(G25/24)</f>
        <v>0</v>
      </c>
    </row>
    <row r="26" spans="1:9" ht="15.75" customHeight="1" thickTop="1">
      <c r="B26" t="s">
        <v>668</v>
      </c>
    </row>
    <row r="27" spans="1:9" ht="15.75" customHeight="1">
      <c r="B27" t="s">
        <v>667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609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81" customWidth="1"/>
    <col min="2" max="2" width="8.109375" style="981" customWidth="1"/>
    <col min="3" max="3" width="7.88671875" style="981" customWidth="1"/>
    <col min="4" max="4" width="5.88671875" style="981" customWidth="1"/>
    <col min="5" max="5" width="4.44140625" style="981" customWidth="1"/>
    <col min="6" max="6" width="5.21875" style="981" customWidth="1"/>
    <col min="7" max="7" width="9" style="981" customWidth="1"/>
    <col min="8" max="11" width="8.88671875" style="981"/>
    <col min="12" max="12" width="14.88671875" style="981" customWidth="1"/>
    <col min="13" max="13" width="5.6640625" style="981" customWidth="1"/>
    <col min="14" max="16384" width="8.88671875" style="981"/>
  </cols>
  <sheetData>
    <row r="1" spans="1:22" ht="22.5">
      <c r="A1" s="921"/>
      <c r="B1" s="917"/>
      <c r="C1" s="928" t="s">
        <v>613</v>
      </c>
      <c r="D1" s="925"/>
      <c r="E1" s="925" t="s">
        <v>614</v>
      </c>
      <c r="F1" s="925"/>
      <c r="G1" s="979" t="s">
        <v>310</v>
      </c>
      <c r="H1" s="980">
        <f>Weather_Input!A6</f>
        <v>37090</v>
      </c>
      <c r="I1" s="914"/>
      <c r="J1" s="916"/>
      <c r="K1" s="916"/>
    </row>
    <row r="2" spans="1:22" ht="16.5" customHeight="1">
      <c r="A2" s="934" t="s">
        <v>641</v>
      </c>
      <c r="C2" s="982">
        <v>344</v>
      </c>
      <c r="F2" s="983">
        <v>349</v>
      </c>
      <c r="H2" s="916"/>
      <c r="I2" s="914" t="s">
        <v>643</v>
      </c>
      <c r="J2" s="936">
        <f>NSG_Supplies!P8/1000</f>
        <v>12</v>
      </c>
    </row>
    <row r="3" spans="1:22" ht="16.5" customHeight="1">
      <c r="A3" s="984">
        <f>PGL_Supplies!I8/1000</f>
        <v>0</v>
      </c>
      <c r="C3" s="981" t="s">
        <v>9</v>
      </c>
      <c r="G3" s="914"/>
      <c r="H3" s="916"/>
    </row>
    <row r="4" spans="1:22" ht="16.5" customHeight="1">
      <c r="A4" s="924" t="s">
        <v>615</v>
      </c>
      <c r="G4" s="942"/>
      <c r="H4" s="916"/>
      <c r="I4" s="914"/>
      <c r="J4" s="914" t="s">
        <v>639</v>
      </c>
      <c r="K4" s="936">
        <f>Billy_Sheet!C5</f>
        <v>12</v>
      </c>
      <c r="N4" s="936"/>
    </row>
    <row r="5" spans="1:22" ht="16.5" customHeight="1">
      <c r="A5" s="985">
        <f>PGL_Supplies!J7/1000</f>
        <v>0</v>
      </c>
      <c r="B5" s="986"/>
      <c r="G5" s="917"/>
      <c r="H5" s="936"/>
      <c r="U5" s="916"/>
      <c r="V5" s="916"/>
    </row>
    <row r="6" spans="1:22" ht="16.5" customHeight="1">
      <c r="A6" s="923" t="s">
        <v>611</v>
      </c>
      <c r="G6" s="917"/>
      <c r="H6" s="936"/>
      <c r="U6" s="916"/>
      <c r="V6" s="936"/>
    </row>
    <row r="7" spans="1:22" ht="18.75" customHeight="1">
      <c r="A7" s="936">
        <f>Billy_Sheet!G14</f>
        <v>0</v>
      </c>
      <c r="G7" s="917"/>
      <c r="H7" s="915"/>
      <c r="U7" s="916"/>
      <c r="V7" s="915"/>
    </row>
    <row r="8" spans="1:22" ht="14.45" customHeight="1">
      <c r="A8" s="914" t="s">
        <v>72</v>
      </c>
      <c r="G8" s="917"/>
      <c r="H8" s="914" t="s">
        <v>164</v>
      </c>
      <c r="I8" s="914"/>
      <c r="K8" s="914"/>
      <c r="L8" s="914"/>
      <c r="N8" s="914"/>
      <c r="O8" s="914"/>
      <c r="U8" s="916"/>
      <c r="V8" s="936"/>
    </row>
    <row r="9" spans="1:22" ht="14.45" customHeight="1">
      <c r="A9" s="936">
        <f>PGL_Supplies!H8/1000</f>
        <v>15</v>
      </c>
      <c r="H9" s="936">
        <f>NSG_Supplies!Q8/1000+NSG_Supplies!F8/1000-NSG_Requirements!H8/1000</f>
        <v>26.65</v>
      </c>
      <c r="I9" s="987"/>
      <c r="K9" s="914" t="s">
        <v>645</v>
      </c>
      <c r="L9" s="936">
        <f>NSG_Deliveries!C6/1000</f>
        <v>34</v>
      </c>
      <c r="N9" s="914"/>
      <c r="O9" s="936"/>
      <c r="U9" s="916"/>
      <c r="V9" s="936"/>
    </row>
    <row r="10" spans="1:22" ht="18" customHeight="1">
      <c r="A10" s="914" t="s">
        <v>66</v>
      </c>
      <c r="H10" s="943" t="s">
        <v>644</v>
      </c>
      <c r="U10" s="916"/>
      <c r="V10" s="936"/>
    </row>
    <row r="11" spans="1:22" ht="14.45" customHeight="1">
      <c r="A11" s="936">
        <f>Billy_Sheet!C17</f>
        <v>0</v>
      </c>
      <c r="B11" s="987"/>
      <c r="H11" s="936">
        <f>NSG_Supplies!T8/1000</f>
        <v>0</v>
      </c>
      <c r="K11" s="917" t="s">
        <v>646</v>
      </c>
      <c r="L11" s="942">
        <f>SUM(K4+K17+K19+H11+H9-L9)</f>
        <v>4.6499999999999986</v>
      </c>
      <c r="N11" s="917"/>
      <c r="O11" s="942"/>
      <c r="U11" s="916"/>
      <c r="V11" s="930"/>
    </row>
    <row r="12" spans="1:22" ht="14.45" customHeight="1">
      <c r="A12" s="914" t="s">
        <v>697</v>
      </c>
      <c r="H12" s="936"/>
      <c r="U12" s="916"/>
      <c r="V12" s="936"/>
    </row>
    <row r="13" spans="1:22" ht="14.45" customHeight="1">
      <c r="A13" s="985">
        <f>PGL_Supplies!X8/1000</f>
        <v>114.566</v>
      </c>
      <c r="H13" s="936"/>
      <c r="U13" s="916"/>
      <c r="V13" s="936"/>
    </row>
    <row r="14" spans="1:22" ht="14.45" customHeight="1">
      <c r="H14" s="936"/>
      <c r="U14" s="916"/>
      <c r="V14" s="936"/>
    </row>
    <row r="15" spans="1:22" ht="15.6" customHeight="1">
      <c r="B15" s="981" t="s">
        <v>9</v>
      </c>
      <c r="C15" s="988">
        <v>350</v>
      </c>
      <c r="F15" s="988">
        <v>350</v>
      </c>
      <c r="H15" s="942"/>
      <c r="U15" s="926"/>
      <c r="V15" s="942"/>
    </row>
    <row r="16" spans="1:22" ht="42.75" customHeight="1">
      <c r="A16" s="927"/>
      <c r="B16" s="942"/>
      <c r="C16" s="989"/>
      <c r="D16" s="990"/>
      <c r="E16" s="990"/>
      <c r="F16" s="989"/>
    </row>
    <row r="17" spans="1:17" ht="38.25" customHeight="1">
      <c r="B17" s="990"/>
      <c r="C17" s="990"/>
      <c r="D17" s="991"/>
      <c r="E17" s="990"/>
      <c r="F17" s="990"/>
      <c r="G17" s="990"/>
      <c r="J17" s="914" t="s">
        <v>311</v>
      </c>
      <c r="K17" s="936">
        <f>NSG_Supplies!K8/1000</f>
        <v>0</v>
      </c>
      <c r="N17" s="936"/>
    </row>
    <row r="18" spans="1:17" ht="15" customHeight="1">
      <c r="A18" s="922"/>
      <c r="C18" s="988">
        <v>576</v>
      </c>
      <c r="D18" s="990"/>
      <c r="E18" s="990"/>
      <c r="F18" s="983">
        <v>787</v>
      </c>
    </row>
    <row r="19" spans="1:17">
      <c r="A19" s="923" t="s">
        <v>612</v>
      </c>
      <c r="C19" s="981" t="s">
        <v>9</v>
      </c>
      <c r="J19" s="914" t="s">
        <v>640</v>
      </c>
      <c r="K19" s="936"/>
      <c r="N19" s="993"/>
    </row>
    <row r="20" spans="1:17" ht="17.25" customHeight="1">
      <c r="A20" s="936">
        <f>Billy_Sheet!G15</f>
        <v>167.286</v>
      </c>
      <c r="G20" s="428"/>
      <c r="J20" s="914"/>
    </row>
    <row r="21" spans="1:17" ht="11.25" customHeight="1">
      <c r="G21" s="915"/>
      <c r="H21" s="915"/>
      <c r="I21" s="917"/>
      <c r="J21" s="942"/>
    </row>
    <row r="22" spans="1:17">
      <c r="A22" s="916" t="s">
        <v>167</v>
      </c>
      <c r="G22" s="914"/>
      <c r="I22" s="917"/>
      <c r="J22" s="914"/>
      <c r="M22" s="917"/>
      <c r="N22" s="942"/>
    </row>
    <row r="23" spans="1:17">
      <c r="A23" s="936">
        <f>Billy_Sheet!C25</f>
        <v>0</v>
      </c>
      <c r="G23" s="914" t="s">
        <v>709</v>
      </c>
      <c r="H23" s="916"/>
      <c r="I23" s="917"/>
      <c r="J23" s="942"/>
      <c r="M23" s="914"/>
      <c r="N23" s="942"/>
      <c r="Q23" s="994"/>
    </row>
    <row r="24" spans="1:17" ht="9" customHeight="1">
      <c r="G24" s="936">
        <f>PGL_Requirements!J7/1000</f>
        <v>28.5</v>
      </c>
      <c r="H24" s="917"/>
      <c r="I24" s="917"/>
      <c r="J24" s="917"/>
    </row>
    <row r="25" spans="1:17" ht="10.5" customHeight="1">
      <c r="A25" s="916" t="s">
        <v>169</v>
      </c>
      <c r="B25" s="916"/>
      <c r="C25" s="916"/>
      <c r="D25" s="916"/>
      <c r="F25" s="916"/>
      <c r="G25" s="914" t="s">
        <v>648</v>
      </c>
      <c r="H25" s="917"/>
      <c r="I25" s="917"/>
      <c r="J25" s="917"/>
    </row>
    <row r="26" spans="1:17" ht="14.25" customHeight="1">
      <c r="A26" s="936">
        <f>Billy_Sheet!G25</f>
        <v>0</v>
      </c>
      <c r="B26" s="916"/>
      <c r="C26" s="917"/>
      <c r="D26" s="917"/>
      <c r="F26" s="917"/>
      <c r="G26" s="992">
        <v>0</v>
      </c>
      <c r="H26" s="917"/>
      <c r="I26" s="917"/>
      <c r="J26" s="917" t="s">
        <v>542</v>
      </c>
      <c r="K26" s="995">
        <f>PGL_Deliveries!C6/1000</f>
        <v>195</v>
      </c>
      <c r="L26" s="914" t="s">
        <v>645</v>
      </c>
      <c r="M26" s="936">
        <f>NSG_Deliveries!C6/1000</f>
        <v>34</v>
      </c>
      <c r="N26" s="936"/>
    </row>
    <row r="27" spans="1:17" ht="8.25" customHeight="1">
      <c r="A27" s="917"/>
      <c r="B27" s="938"/>
      <c r="C27" s="917"/>
      <c r="D27" s="917"/>
      <c r="F27" s="917"/>
      <c r="G27" s="917"/>
      <c r="H27" s="918"/>
      <c r="I27" s="917"/>
      <c r="J27" s="918"/>
    </row>
    <row r="28" spans="1:17" ht="12.75" customHeight="1">
      <c r="A28" s="925" t="s">
        <v>616</v>
      </c>
      <c r="B28" s="936"/>
      <c r="C28" s="916"/>
      <c r="D28" s="917"/>
      <c r="F28" s="914"/>
      <c r="G28" s="926" t="s">
        <v>621</v>
      </c>
      <c r="H28" s="428"/>
      <c r="J28" s="917" t="s">
        <v>647</v>
      </c>
      <c r="K28" s="942">
        <f>SUM(A42)</f>
        <v>96.591999999999985</v>
      </c>
      <c r="L28" s="917" t="s">
        <v>689</v>
      </c>
      <c r="M28" s="942">
        <f>SUM(J2+K17+K19+H11+H9-M26)</f>
        <v>4.6499999999999986</v>
      </c>
      <c r="N28" s="942"/>
    </row>
    <row r="29" spans="1:17">
      <c r="A29" s="936">
        <f>PGL_Supplies!L8/1000</f>
        <v>0</v>
      </c>
      <c r="B29" s="936"/>
      <c r="C29" s="917"/>
      <c r="D29" s="996"/>
      <c r="F29" s="1041">
        <f>PGL_Requirements!A7</f>
        <v>37089</v>
      </c>
      <c r="G29" s="936">
        <f>PGL_Requirements!G7/1000</f>
        <v>227.8</v>
      </c>
      <c r="H29" s="915"/>
      <c r="J29" s="917" t="s">
        <v>649</v>
      </c>
      <c r="K29" s="936">
        <f>PGL_Supplies!AB8/1000+PGL_Supplies!K8/1000-PGL_Requirements!N8/1000</f>
        <v>37.305999999999997</v>
      </c>
    </row>
    <row r="30" spans="1:17" ht="10.5" customHeight="1">
      <c r="A30" s="919"/>
      <c r="B30" s="936"/>
      <c r="C30" s="917"/>
      <c r="D30" s="936"/>
      <c r="F30" s="1041">
        <f>PGL_Requirements!A8</f>
        <v>37090</v>
      </c>
      <c r="G30" s="936">
        <f>PGL_Requirements!G8/1000</f>
        <v>69.260000000000005</v>
      </c>
    </row>
    <row r="31" spans="1:17" ht="17.25" customHeight="1">
      <c r="A31" s="925" t="s">
        <v>618</v>
      </c>
      <c r="B31" s="997"/>
      <c r="C31" s="920"/>
      <c r="D31" s="942"/>
      <c r="G31" s="926" t="s">
        <v>619</v>
      </c>
      <c r="H31" s="942"/>
      <c r="J31" s="917" t="s">
        <v>646</v>
      </c>
      <c r="K31" s="942">
        <f>SUM(K28+K29-K26)</f>
        <v>-61.102000000000032</v>
      </c>
    </row>
    <row r="32" spans="1:17">
      <c r="A32" s="936">
        <f>PGL_Supplies!G8/1000</f>
        <v>1</v>
      </c>
      <c r="G32" s="936">
        <f>PGL_Requirements!O8/1000</f>
        <v>132</v>
      </c>
    </row>
    <row r="33" spans="1:11" ht="6.75" customHeight="1"/>
    <row r="34" spans="1:11">
      <c r="A34" s="914" t="s">
        <v>617</v>
      </c>
      <c r="G34" s="917" t="s">
        <v>620</v>
      </c>
    </row>
    <row r="35" spans="1:11">
      <c r="A35" s="992">
        <v>0</v>
      </c>
      <c r="G35" s="936">
        <f>PGL_Requirements!B8/1000</f>
        <v>0</v>
      </c>
    </row>
    <row r="36" spans="1:11">
      <c r="G36" s="936"/>
    </row>
    <row r="37" spans="1:11">
      <c r="C37" s="914" t="s">
        <v>623</v>
      </c>
      <c r="F37" s="914" t="s">
        <v>624</v>
      </c>
      <c r="G37" s="936"/>
    </row>
    <row r="38" spans="1:11">
      <c r="C38" s="988">
        <v>582</v>
      </c>
      <c r="F38" s="988">
        <v>752</v>
      </c>
    </row>
    <row r="39" spans="1:11">
      <c r="A39" s="934" t="s">
        <v>688</v>
      </c>
      <c r="E39" s="916" t="s">
        <v>622</v>
      </c>
      <c r="F39" s="916"/>
    </row>
    <row r="40" spans="1:11">
      <c r="A40" s="942">
        <f>SUM(A3:A35)</f>
        <v>297.85199999999998</v>
      </c>
      <c r="B40" s="930"/>
      <c r="C40" s="929"/>
      <c r="D40" s="930"/>
      <c r="E40" s="930"/>
      <c r="F40" s="998"/>
      <c r="G40" s="998">
        <f>SUM(G30:G35)</f>
        <v>201.26</v>
      </c>
      <c r="H40" s="932"/>
      <c r="I40" s="931"/>
    </row>
    <row r="41" spans="1:11">
      <c r="A41" s="933" t="s">
        <v>638</v>
      </c>
      <c r="B41" s="936"/>
      <c r="C41" s="930"/>
      <c r="D41" s="930"/>
      <c r="E41" s="930"/>
      <c r="F41" s="930"/>
      <c r="G41" s="930"/>
      <c r="H41" s="930"/>
      <c r="I41" s="929"/>
    </row>
    <row r="42" spans="1:11">
      <c r="A42" s="936">
        <f>SUM(A40-G40)</f>
        <v>96.591999999999985</v>
      </c>
      <c r="B42" s="936"/>
      <c r="C42" s="930"/>
      <c r="D42" s="930"/>
      <c r="E42" s="930"/>
      <c r="F42" s="939"/>
      <c r="G42" s="941" t="s">
        <v>642</v>
      </c>
      <c r="H42" s="999"/>
      <c r="I42" s="1000"/>
      <c r="J42" s="999"/>
      <c r="K42" s="990"/>
    </row>
    <row r="43" spans="1:11" ht="14.25" customHeight="1">
      <c r="A43" s="936"/>
      <c r="B43" s="936"/>
      <c r="C43" s="936"/>
      <c r="D43" s="936"/>
      <c r="E43" s="939"/>
      <c r="F43" s="938" t="s">
        <v>637</v>
      </c>
      <c r="G43" s="939" t="s">
        <v>636</v>
      </c>
      <c r="I43" s="936"/>
    </row>
    <row r="44" spans="1:11" ht="12.75" customHeight="1">
      <c r="A44" s="933" t="s">
        <v>625</v>
      </c>
      <c r="B44" s="936" t="s">
        <v>630</v>
      </c>
      <c r="C44" s="936" t="s">
        <v>631</v>
      </c>
      <c r="D44" s="936" t="s">
        <v>632</v>
      </c>
      <c r="E44" s="937"/>
      <c r="F44" s="937" t="s">
        <v>633</v>
      </c>
      <c r="G44" s="930" t="s">
        <v>635</v>
      </c>
      <c r="H44" s="916" t="s">
        <v>634</v>
      </c>
      <c r="I44" s="936"/>
      <c r="K44" s="916"/>
    </row>
    <row r="45" spans="1:11">
      <c r="A45" s="933" t="s">
        <v>629</v>
      </c>
      <c r="B45" s="1001">
        <v>275</v>
      </c>
      <c r="C45" s="1001">
        <v>450</v>
      </c>
      <c r="D45" s="1002">
        <f>SUM(F2+F15)/2</f>
        <v>349.5</v>
      </c>
      <c r="E45" s="1003"/>
      <c r="F45" s="1004">
        <v>6.7000000000000004E-2</v>
      </c>
      <c r="G45" s="1005">
        <f>(C45-D45)*F45</f>
        <v>6.7335000000000003</v>
      </c>
      <c r="H45" s="1005">
        <f>(D45-B45)*F45</f>
        <v>4.9915000000000003</v>
      </c>
      <c r="I45" s="936"/>
      <c r="J45" s="1006"/>
    </row>
    <row r="46" spans="1:11">
      <c r="A46" s="916" t="s">
        <v>626</v>
      </c>
      <c r="B46" s="1007">
        <v>797</v>
      </c>
      <c r="C46" s="1001">
        <v>797</v>
      </c>
      <c r="D46" s="1002">
        <v>797</v>
      </c>
      <c r="E46" s="1003"/>
      <c r="F46" s="1004">
        <v>0.13900000000000001</v>
      </c>
      <c r="G46" s="1005">
        <f>(C46-D46)*F46</f>
        <v>0</v>
      </c>
      <c r="H46" s="1005">
        <f>(D46-B46)*F46</f>
        <v>0</v>
      </c>
      <c r="I46" s="936"/>
    </row>
    <row r="47" spans="1:11">
      <c r="A47" s="916" t="s">
        <v>627</v>
      </c>
      <c r="B47" s="1007">
        <v>275</v>
      </c>
      <c r="C47" s="1001">
        <v>450</v>
      </c>
      <c r="D47" s="1002">
        <f>SUM(C2+C15)/2</f>
        <v>347</v>
      </c>
      <c r="E47" s="1003"/>
      <c r="F47" s="1004">
        <v>0.14099999999999999</v>
      </c>
      <c r="G47" s="1005">
        <f>(C47-D47)*F47</f>
        <v>14.522999999999998</v>
      </c>
      <c r="H47" s="1005">
        <f>(D47-B47)*F47</f>
        <v>10.151999999999999</v>
      </c>
      <c r="I47" s="936"/>
    </row>
    <row r="48" spans="1:11">
      <c r="A48" s="916" t="s">
        <v>628</v>
      </c>
      <c r="B48" s="1007">
        <v>285</v>
      </c>
      <c r="C48" s="1001">
        <v>750</v>
      </c>
      <c r="D48" s="1002">
        <f>SUM(C18+C38)/2</f>
        <v>579</v>
      </c>
      <c r="E48" s="1003"/>
      <c r="F48" s="1004">
        <v>0.161</v>
      </c>
      <c r="G48" s="1005">
        <f>(C48-D48)*F48</f>
        <v>27.531000000000002</v>
      </c>
      <c r="H48" s="1005">
        <f>(D48-B48)*F48</f>
        <v>47.334000000000003</v>
      </c>
    </row>
    <row r="49" spans="1:8">
      <c r="B49" s="987"/>
      <c r="C49" s="987"/>
      <c r="D49" s="987"/>
      <c r="E49" s="987"/>
      <c r="F49" s="940" t="s">
        <v>339</v>
      </c>
      <c r="G49" s="1005">
        <f>SUM(G45:G48)</f>
        <v>48.787500000000001</v>
      </c>
      <c r="H49" s="1005">
        <f>SUM(H45:H48)</f>
        <v>62.477500000000006</v>
      </c>
    </row>
    <row r="55" spans="1:8">
      <c r="A55" s="1008"/>
      <c r="G55" s="100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37089</v>
      </c>
      <c r="B5" s="11">
        <v>85</v>
      </c>
      <c r="C5" s="49">
        <v>72</v>
      </c>
      <c r="D5" s="49">
        <v>8</v>
      </c>
      <c r="E5" s="11" t="s">
        <v>815</v>
      </c>
      <c r="F5" s="11">
        <v>5</v>
      </c>
      <c r="G5" s="11">
        <v>6704</v>
      </c>
      <c r="H5" s="11">
        <v>0</v>
      </c>
      <c r="I5" s="894" t="s">
        <v>810</v>
      </c>
      <c r="J5" s="894" t="s">
        <v>811</v>
      </c>
      <c r="K5" s="11">
        <v>2</v>
      </c>
      <c r="L5" s="11">
        <v>1</v>
      </c>
      <c r="N5" s="15" t="str">
        <f>I5&amp;" "&amp;I5</f>
        <v>PARTLY SUNNY.WARM AND HUMID WITH A 30% CHANCE OF SHOWERS AND T'STOR PARTLY SUNNY.WARM AND HUMID WITH A 30% CHANCE OF SHOWERS AND T'STOR</v>
      </c>
      <c r="AE5" s="15">
        <v>1</v>
      </c>
      <c r="AH5" s="15" t="s">
        <v>32</v>
      </c>
    </row>
    <row r="6" spans="1:34" ht="16.5" customHeight="1">
      <c r="A6" s="86">
        <f>A5+1</f>
        <v>37090</v>
      </c>
      <c r="B6" s="11">
        <v>90</v>
      </c>
      <c r="C6" s="49">
        <v>72</v>
      </c>
      <c r="D6" s="49">
        <v>8</v>
      </c>
      <c r="E6" s="11" t="s">
        <v>9</v>
      </c>
      <c r="F6" s="11" t="s">
        <v>9</v>
      </c>
      <c r="G6" s="11"/>
      <c r="H6" s="11" t="s">
        <v>9</v>
      </c>
      <c r="I6" s="894" t="s">
        <v>812</v>
      </c>
      <c r="J6" s="894" t="s">
        <v>813</v>
      </c>
      <c r="K6" s="11">
        <v>3</v>
      </c>
      <c r="L6" s="11" t="s">
        <v>590</v>
      </c>
      <c r="N6" s="15" t="str">
        <f>I6&amp;" "&amp;J6</f>
        <v>PARTLY CLOUDY WITH A 30% CHANCE OF T'STORMS. OVERNIGHT…PARTLY CLOUDY WITH A 30% CHANCE OF T'STORMS.</v>
      </c>
      <c r="AE6" s="15">
        <v>1</v>
      </c>
      <c r="AH6" s="15" t="s">
        <v>33</v>
      </c>
    </row>
    <row r="7" spans="1:34" ht="16.5" customHeight="1">
      <c r="A7" s="86">
        <f>A6+1</f>
        <v>37091</v>
      </c>
      <c r="B7" s="11">
        <v>91</v>
      </c>
      <c r="C7" s="49">
        <v>70</v>
      </c>
      <c r="D7" s="49">
        <v>8</v>
      </c>
      <c r="E7" s="11" t="s">
        <v>9</v>
      </c>
      <c r="F7" s="11" t="s">
        <v>9</v>
      </c>
      <c r="G7" s="11"/>
      <c r="H7" s="11" t="s">
        <v>9</v>
      </c>
      <c r="I7" s="894" t="s">
        <v>814</v>
      </c>
      <c r="J7" s="894" t="s">
        <v>9</v>
      </c>
      <c r="K7" s="11">
        <v>3</v>
      </c>
      <c r="L7" s="11" t="s">
        <v>20</v>
      </c>
      <c r="N7" s="15" t="str">
        <f>I7&amp;" "&amp;J7</f>
        <v xml:space="preserve">PARTLY CLOUDY. CHANCE OF SHOWERS EARLY.  </v>
      </c>
    </row>
    <row r="8" spans="1:34" ht="16.5" customHeight="1">
      <c r="A8" s="86">
        <f>A7+1</f>
        <v>37092</v>
      </c>
      <c r="B8" s="11">
        <v>91</v>
      </c>
      <c r="C8" s="49">
        <v>71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94" t="s">
        <v>809</v>
      </c>
      <c r="J8" s="894" t="s">
        <v>9</v>
      </c>
      <c r="K8" s="11">
        <v>3</v>
      </c>
      <c r="L8" s="11"/>
      <c r="N8" s="15" t="str">
        <f>I8&amp;" "&amp;J8</f>
        <v xml:space="preserve">PARTLY CLOUDY.   </v>
      </c>
    </row>
    <row r="9" spans="1:34" ht="16.5" customHeight="1">
      <c r="A9" s="86">
        <f>A8+1</f>
        <v>37093</v>
      </c>
      <c r="B9" s="11">
        <v>91</v>
      </c>
      <c r="C9" s="49">
        <v>72</v>
      </c>
      <c r="D9" s="49">
        <v>10</v>
      </c>
      <c r="E9" s="11" t="s">
        <v>9</v>
      </c>
      <c r="F9" s="11" t="s">
        <v>9</v>
      </c>
      <c r="G9" s="11"/>
      <c r="H9" s="11" t="s">
        <v>9</v>
      </c>
      <c r="I9" s="894" t="s">
        <v>809</v>
      </c>
      <c r="J9" s="894" t="s">
        <v>9</v>
      </c>
      <c r="K9" s="11">
        <v>3</v>
      </c>
      <c r="L9" s="11">
        <v>0</v>
      </c>
      <c r="M9" s="87"/>
      <c r="N9" s="15" t="str">
        <f>I9&amp;" "&amp;J9</f>
        <v xml:space="preserve">PARTLY CLOUDY.   </v>
      </c>
    </row>
    <row r="10" spans="1:34" ht="16.5" customHeight="1">
      <c r="A10" s="86">
        <f>A9+1</f>
        <v>37094</v>
      </c>
      <c r="B10" s="11">
        <v>91</v>
      </c>
      <c r="C10" s="49">
        <v>72</v>
      </c>
      <c r="D10" s="49">
        <v>10</v>
      </c>
      <c r="E10" s="11" t="s">
        <v>9</v>
      </c>
      <c r="F10" s="11" t="s">
        <v>9</v>
      </c>
      <c r="G10" s="11"/>
      <c r="H10" s="11" t="s">
        <v>9</v>
      </c>
      <c r="I10" s="894" t="s">
        <v>809</v>
      </c>
      <c r="J10" s="894" t="s">
        <v>9</v>
      </c>
      <c r="K10" s="11">
        <v>3</v>
      </c>
      <c r="L10" s="11" t="s">
        <v>392</v>
      </c>
      <c r="N10" s="15" t="str">
        <f>I10&amp;" "&amp;J10</f>
        <v xml:space="preserve">PARTLY CLOUDY.   </v>
      </c>
    </row>
    <row r="11" spans="1:34" ht="16.5" customHeight="1">
      <c r="G11"/>
    </row>
    <row r="12" spans="1:34" ht="15.75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542</v>
      </c>
      <c r="B2" s="183">
        <f>PGL_Deliveries!U5/1000</f>
        <v>4.2649999999999997</v>
      </c>
      <c r="C2" s="60"/>
      <c r="D2" s="118" t="s">
        <v>310</v>
      </c>
      <c r="E2" s="421">
        <f>Weather_Input!A5</f>
        <v>37089</v>
      </c>
      <c r="F2" s="60"/>
      <c r="H2"/>
      <c r="I2"/>
      <c r="J2"/>
      <c r="K2"/>
      <c r="L2"/>
      <c r="M2"/>
    </row>
    <row r="3" spans="1:13" ht="15">
      <c r="A3" s="97" t="s">
        <v>543</v>
      </c>
      <c r="B3" s="627">
        <f>PGL_Supplies!I7/1000</f>
        <v>0</v>
      </c>
      <c r="C3" s="182"/>
      <c r="D3" s="1054" t="s">
        <v>717</v>
      </c>
      <c r="E3" s="794">
        <f>PGL_Deliveries!T5/1000</f>
        <v>0</v>
      </c>
      <c r="F3" s="181"/>
      <c r="H3"/>
      <c r="I3"/>
      <c r="J3"/>
      <c r="K3"/>
      <c r="L3"/>
      <c r="M3"/>
    </row>
    <row r="4" spans="1:13" ht="15.75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546</v>
      </c>
      <c r="B5" s="151">
        <f>PGL_Deliveries!D5/1000</f>
        <v>0</v>
      </c>
      <c r="C5" s="63"/>
      <c r="D5" s="59" t="s">
        <v>544</v>
      </c>
      <c r="E5" s="151">
        <f>PGL_Deliveries!O5/1000</f>
        <v>0</v>
      </c>
      <c r="F5" s="168"/>
      <c r="H5"/>
      <c r="I5"/>
      <c r="J5"/>
      <c r="K5"/>
      <c r="L5"/>
      <c r="M5"/>
    </row>
    <row r="6" spans="1:13" ht="15.75" thickBot="1">
      <c r="A6" s="179" t="s">
        <v>240</v>
      </c>
      <c r="B6" s="151">
        <f>PGL_Deliveries!I5/1000</f>
        <v>0</v>
      </c>
      <c r="C6" s="166"/>
      <c r="D6" s="59" t="s">
        <v>545</v>
      </c>
      <c r="E6" s="151">
        <f>PGL_Deliveries!P5/1000</f>
        <v>0</v>
      </c>
      <c r="F6" s="168"/>
      <c r="H6"/>
      <c r="I6"/>
      <c r="J6"/>
      <c r="K6"/>
      <c r="L6"/>
      <c r="M6"/>
    </row>
    <row r="7" spans="1:13" ht="16.5" thickBot="1">
      <c r="A7" s="178" t="s">
        <v>548</v>
      </c>
      <c r="B7" s="224">
        <f>SUM(B5:B6)</f>
        <v>0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697</v>
      </c>
      <c r="B8" s="151">
        <f>PGL_Deliveries!V5/1000</f>
        <v>90.033000000000001</v>
      </c>
      <c r="C8" s="626"/>
      <c r="D8" s="115" t="s">
        <v>547</v>
      </c>
      <c r="E8" s="151">
        <f>PGL_Deliveries!N5/1000</f>
        <v>0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4.2649999999999997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16.943999999999999</v>
      </c>
      <c r="C11" s="63"/>
      <c r="D11" s="115" t="s">
        <v>549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69" t="s">
        <v>550</v>
      </c>
      <c r="B12" s="151">
        <f>PGL_Supplies!J7/1000</f>
        <v>0</v>
      </c>
      <c r="C12" s="63"/>
      <c r="D12" s="115" t="s">
        <v>203</v>
      </c>
      <c r="E12" s="151">
        <f>PGL_Deliveries!G5/1000</f>
        <v>0</v>
      </c>
      <c r="F12" s="168"/>
      <c r="H12"/>
      <c r="I12"/>
      <c r="J12"/>
      <c r="K12"/>
      <c r="L12"/>
      <c r="M12"/>
    </row>
    <row r="13" spans="1:13" ht="15">
      <c r="A13" s="169" t="s">
        <v>551</v>
      </c>
      <c r="B13" s="151">
        <f>PGL_Deliveries!Y5/1000+PGL_Deliveries!Z5/1000+PGL_Deliveries!AA5/1000-PGL_Deliveries!BE5/1000-PGL_Deliveries!BF5/1000+0.117</f>
        <v>171.541</v>
      </c>
      <c r="C13" s="63"/>
      <c r="D13" s="115" t="s">
        <v>205</v>
      </c>
      <c r="E13" s="151">
        <f>PGL_Deliveries!F5/1000</f>
        <v>0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0</v>
      </c>
      <c r="C14" s="63"/>
      <c r="D14" s="115" t="s">
        <v>206</v>
      </c>
      <c r="E14" s="151">
        <f>PGL_Deliveries!H5/1000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-124.864</v>
      </c>
      <c r="C15" s="63"/>
      <c r="D15" s="59" t="s">
        <v>380</v>
      </c>
      <c r="E15" s="151">
        <f>PGL_Deliveries!K5/1000</f>
        <v>0</v>
      </c>
      <c r="F15" s="168"/>
      <c r="H15"/>
      <c r="I15"/>
      <c r="J15"/>
      <c r="K15"/>
      <c r="L15"/>
      <c r="M15"/>
    </row>
    <row r="16" spans="1:13" ht="15">
      <c r="A16" s="169" t="s">
        <v>552</v>
      </c>
      <c r="B16" s="60"/>
      <c r="C16" s="222">
        <f>PGL_Deliveries!AO5/1000</f>
        <v>0</v>
      </c>
      <c r="D16" s="115" t="s">
        <v>209</v>
      </c>
      <c r="E16" s="151">
        <f>PGL_Deliveries!L5/1000</f>
        <v>0</v>
      </c>
      <c r="F16" s="168"/>
      <c r="H16"/>
      <c r="I16"/>
      <c r="J16"/>
      <c r="K16"/>
      <c r="L16"/>
      <c r="M16"/>
    </row>
    <row r="17" spans="1:13" ht="15.75" thickBot="1">
      <c r="A17" s="167" t="s">
        <v>172</v>
      </c>
      <c r="B17" s="151">
        <f>PGL_Deliveries!AP5/1000</f>
        <v>10.491</v>
      </c>
      <c r="C17" s="166" t="s">
        <v>9</v>
      </c>
      <c r="D17" s="1086" t="s">
        <v>208</v>
      </c>
      <c r="E17" s="207">
        <f>PGL_Deliveries!M5/1000</f>
        <v>0</v>
      </c>
      <c r="F17" s="164"/>
      <c r="H17"/>
      <c r="I17"/>
      <c r="J17"/>
      <c r="K17"/>
      <c r="L17"/>
      <c r="M17"/>
    </row>
    <row r="18" spans="1:13" ht="16.5" thickBot="1">
      <c r="A18" s="177" t="s">
        <v>553</v>
      </c>
      <c r="B18" s="888">
        <f>SUM(B8:B17)-C16</f>
        <v>164.14500000000004</v>
      </c>
      <c r="C18" s="166"/>
      <c r="D18" s="176" t="s">
        <v>554</v>
      </c>
      <c r="E18" s="175">
        <f>SUM(E5:E17)</f>
        <v>4.2649999999999997</v>
      </c>
      <c r="F18" s="164"/>
      <c r="H18"/>
      <c r="I18"/>
      <c r="J18"/>
      <c r="K18"/>
      <c r="L18"/>
      <c r="M18"/>
    </row>
    <row r="19" spans="1:13" ht="15">
      <c r="A19" s="439" t="s">
        <v>700</v>
      </c>
      <c r="B19" s="151">
        <f>PGL_Supplies!X7/1000</f>
        <v>106.79600000000001</v>
      </c>
      <c r="C19" s="626"/>
      <c r="D19" s="115" t="s">
        <v>305</v>
      </c>
      <c r="E19" s="151">
        <f>PGL_Deliveries!AI5/1000</f>
        <v>0</v>
      </c>
      <c r="F19" s="168"/>
      <c r="H19"/>
      <c r="I19"/>
      <c r="J19"/>
      <c r="K19"/>
      <c r="L19"/>
      <c r="M19"/>
    </row>
    <row r="20" spans="1:13" ht="15">
      <c r="A20" s="169" t="s">
        <v>698</v>
      </c>
      <c r="B20" s="151">
        <f>PGL_Supplies!W7/1000</f>
        <v>0.3</v>
      </c>
      <c r="C20" s="63"/>
      <c r="D20" s="115" t="s">
        <v>175</v>
      </c>
      <c r="E20" s="151">
        <f>PGL_Deliveries!AW5/1000+B40</f>
        <v>1.8771</v>
      </c>
      <c r="F20" s="168"/>
      <c r="H20"/>
      <c r="I20"/>
      <c r="J20"/>
      <c r="K20"/>
      <c r="L20"/>
      <c r="M20"/>
    </row>
    <row r="21" spans="1:13" ht="16.5" thickBot="1">
      <c r="A21" s="169" t="s">
        <v>701</v>
      </c>
      <c r="C21" s="173">
        <f>PGL_Requirements!I7/1000</f>
        <v>0</v>
      </c>
      <c r="D21" s="625" t="s">
        <v>555</v>
      </c>
      <c r="E21" s="208">
        <f>SUM(E18:E20)</f>
        <v>6.1420999999999992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59">
        <f>+B19+B20-C21</f>
        <v>107.096</v>
      </c>
      <c r="C22" s="1053"/>
      <c r="D22" s="246" t="s">
        <v>556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0.2</v>
      </c>
      <c r="C23" s="63"/>
      <c r="D23" s="246" t="s">
        <v>557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711</v>
      </c>
      <c r="B24" s="628"/>
      <c r="C24" s="222">
        <f>PGL_Requirements!T7/1000</f>
        <v>0.2</v>
      </c>
      <c r="D24" s="60" t="s">
        <v>558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710</v>
      </c>
      <c r="B25" s="151">
        <f>PGL_Supplies!Q7/1000</f>
        <v>0</v>
      </c>
      <c r="C25" s="63"/>
      <c r="D25" s="246" t="s">
        <v>560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562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559</v>
      </c>
      <c r="B27" s="151">
        <f>PGL_Supplies!Z7/1000</f>
        <v>0</v>
      </c>
      <c r="C27" s="63"/>
      <c r="D27" s="246" t="s">
        <v>565</v>
      </c>
      <c r="E27" s="60" t="s">
        <v>9</v>
      </c>
      <c r="F27" s="173">
        <f>PGL_Deliveries!AQ5/1000</f>
        <v>4.7160000000000002</v>
      </c>
      <c r="H27"/>
      <c r="I27"/>
      <c r="J27"/>
      <c r="K27"/>
      <c r="L27"/>
      <c r="M27"/>
    </row>
    <row r="28" spans="1:13" ht="15">
      <c r="A28" s="169" t="s">
        <v>561</v>
      </c>
      <c r="B28" s="151">
        <v>0</v>
      </c>
      <c r="C28" s="63"/>
      <c r="D28" s="171" t="s">
        <v>566</v>
      </c>
      <c r="E28" s="151">
        <f>PGL_Deliveries!AR5/1000</f>
        <v>0</v>
      </c>
      <c r="F28" s="168"/>
      <c r="H28"/>
      <c r="I28"/>
      <c r="J28"/>
      <c r="K28"/>
      <c r="L28"/>
      <c r="M28"/>
    </row>
    <row r="29" spans="1:13" ht="15">
      <c r="A29" s="169" t="s">
        <v>563</v>
      </c>
      <c r="B29" s="1017">
        <f>PGL_Supplies!AC7/1000</f>
        <v>3</v>
      </c>
      <c r="C29" s="63"/>
      <c r="D29" s="246" t="s">
        <v>685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564</v>
      </c>
      <c r="B30" s="151">
        <f>PGL_Supplies!AD7/1000</f>
        <v>0</v>
      </c>
      <c r="C30" s="63"/>
      <c r="D30" s="60" t="s">
        <v>183</v>
      </c>
      <c r="E30" s="151">
        <f>PGL_Supplies!AB7/1000</f>
        <v>43.286999999999999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569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571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567</v>
      </c>
      <c r="B33" s="629">
        <f>(PGL_Deliveries!AB5+PGL_Deliveries!AC5+PGL_Deliveries!AD5)/1000</f>
        <v>0</v>
      </c>
      <c r="C33" s="63"/>
      <c r="D33" s="246" t="s">
        <v>573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568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570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572</v>
      </c>
      <c r="B36" s="151" t="s">
        <v>9</v>
      </c>
      <c r="C36" s="222">
        <f>PGL_Deliveries!AU5/1000</f>
        <v>125.14</v>
      </c>
      <c r="F36" s="168"/>
      <c r="H36"/>
      <c r="I36"/>
      <c r="J36"/>
      <c r="K36"/>
      <c r="L36"/>
      <c r="M36"/>
    </row>
    <row r="37" spans="1:13" ht="15">
      <c r="A37" s="170" t="s">
        <v>574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575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5" thickBot="1">
      <c r="A39" s="169" t="s">
        <v>195</v>
      </c>
      <c r="B39" s="151">
        <f>PGL_Deliveries!AT5/1000</f>
        <v>0.83599999999999997</v>
      </c>
      <c r="C39" s="63"/>
      <c r="D39" s="209" t="s">
        <v>210</v>
      </c>
      <c r="E39" s="208">
        <f>SUM(E22:E33)-SUM(F23:F38)-E29</f>
        <v>38.570999999999998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576</v>
      </c>
      <c r="E40" s="794"/>
      <c r="F40" s="173">
        <f>PGL_Requirements!J7/1000</f>
        <v>28.5</v>
      </c>
      <c r="H40"/>
      <c r="I40"/>
      <c r="J40"/>
      <c r="K40"/>
      <c r="L40"/>
      <c r="M40"/>
    </row>
    <row r="41" spans="1:13" ht="15">
      <c r="A41" s="170" t="s">
        <v>577</v>
      </c>
      <c r="B41" s="151">
        <f>PGL_Deliveries!AF5/1000</f>
        <v>0</v>
      </c>
      <c r="C41" s="63"/>
      <c r="D41" s="246" t="s">
        <v>498</v>
      </c>
      <c r="E41" s="795">
        <f>PGL_Supplies!AA7/1000</f>
        <v>221.54599999999999</v>
      </c>
      <c r="F41" s="168"/>
      <c r="H41"/>
      <c r="I41"/>
      <c r="J41"/>
      <c r="K41"/>
      <c r="L41"/>
      <c r="M41"/>
    </row>
    <row r="42" spans="1:13" ht="15">
      <c r="A42" s="1" t="s">
        <v>793</v>
      </c>
      <c r="B42" s="151">
        <f>PGL_Deliveries!BI5/1000</f>
        <v>0</v>
      </c>
      <c r="C42" s="222">
        <f>PGL_Deliveries!BH5/1000</f>
        <v>0</v>
      </c>
      <c r="D42" s="60" t="s">
        <v>371</v>
      </c>
      <c r="E42" s="795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578</v>
      </c>
      <c r="B43" s="151">
        <f>PGL_Deliveries!AW5/1000</f>
        <v>1.8771</v>
      </c>
      <c r="C43" s="63"/>
      <c r="D43" s="60" t="s">
        <v>501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75" thickBot="1">
      <c r="A44" s="169" t="s">
        <v>694</v>
      </c>
      <c r="B44" s="165"/>
      <c r="C44" s="222">
        <f>PGL_Requirements!Q7/1000</f>
        <v>0.62</v>
      </c>
      <c r="D44" s="60" t="s">
        <v>502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579</v>
      </c>
      <c r="B45" s="60">
        <f>Weather_Input!B5</f>
        <v>85</v>
      </c>
      <c r="C45" s="182"/>
      <c r="D45" s="60" t="s">
        <v>587</v>
      </c>
      <c r="E45" s="795">
        <f>PGL_Supplies!S7/1000</f>
        <v>70</v>
      </c>
      <c r="F45" s="168"/>
    </row>
    <row r="46" spans="1:13" ht="15">
      <c r="A46" s="169" t="s">
        <v>580</v>
      </c>
      <c r="B46" s="234">
        <f>Weather_Input!C5</f>
        <v>72</v>
      </c>
      <c r="C46" s="159"/>
      <c r="D46" s="72" t="s">
        <v>791</v>
      </c>
      <c r="E46" s="60"/>
      <c r="F46" s="173">
        <f>PGL_Deliveries!BE5/1000</f>
        <v>58.406999999999996</v>
      </c>
    </row>
    <row r="47" spans="1:13" ht="15">
      <c r="A47" s="170" t="s">
        <v>581</v>
      </c>
      <c r="B47" s="60" t="str">
        <f>Weather_Input!E5</f>
        <v>N/A</v>
      </c>
      <c r="C47" s="159"/>
      <c r="D47" s="769" t="s">
        <v>792</v>
      </c>
      <c r="E47" s="67"/>
      <c r="F47" s="1246">
        <f>PGL_Deliveries!BF5/1000</f>
        <v>0.11700000000000001</v>
      </c>
    </row>
    <row r="48" spans="1:13" ht="15">
      <c r="A48" s="169" t="s">
        <v>582</v>
      </c>
      <c r="B48" s="223">
        <f>Weather_Input!D5</f>
        <v>8</v>
      </c>
      <c r="C48" s="159"/>
      <c r="D48" s="246" t="s">
        <v>231</v>
      </c>
      <c r="E48" s="151">
        <f>PGL_Deliveries!AI5/1000</f>
        <v>0</v>
      </c>
      <c r="F48" s="158"/>
    </row>
    <row r="49" spans="1:6" ht="15">
      <c r="A49" s="169" t="s">
        <v>583</v>
      </c>
      <c r="B49" s="151">
        <f>PGL_Deliveries!AM5/1000</f>
        <v>1.0249999999999999</v>
      </c>
      <c r="C49" s="159"/>
      <c r="D49" s="60" t="s">
        <v>727</v>
      </c>
      <c r="E49" s="151">
        <f>PGL_Deliveries!AJ5/1000</f>
        <v>16.943999999999999</v>
      </c>
      <c r="F49" s="158"/>
    </row>
    <row r="50" spans="1:6" ht="15.75" outlineLevel="2" thickBot="1">
      <c r="A50" s="100" t="s">
        <v>584</v>
      </c>
      <c r="B50" s="160"/>
      <c r="C50" s="157"/>
      <c r="D50" s="165" t="s">
        <v>585</v>
      </c>
      <c r="E50" s="207">
        <f>PGL_Deliveries!AK5/1000</f>
        <v>0</v>
      </c>
      <c r="F50" s="438"/>
    </row>
    <row r="51" spans="1:6" ht="15" outlineLevel="2">
      <c r="A51" s="416" t="s">
        <v>586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60" t="s">
        <v>4</v>
      </c>
      <c r="B3" s="239">
        <f>NSG_Deliveries!H5/1000</f>
        <v>0</v>
      </c>
      <c r="C3" s="117"/>
      <c r="D3" s="226" t="s">
        <v>310</v>
      </c>
      <c r="E3" s="424">
        <f>Weather_Input!A5</f>
        <v>37089</v>
      </c>
      <c r="F3" s="117"/>
      <c r="G3"/>
      <c r="J3"/>
      <c r="K3"/>
    </row>
    <row r="4" spans="1:11" ht="15.75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0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0</v>
      </c>
      <c r="C7" s="805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0</v>
      </c>
      <c r="C8" s="158"/>
      <c r="D8" s="806" t="s">
        <v>603</v>
      </c>
      <c r="E8" s="800">
        <f>NSG_Deliveries!F5/1000</f>
        <v>0</v>
      </c>
      <c r="F8" s="799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594</v>
      </c>
      <c r="E9" s="801" t="s">
        <v>9</v>
      </c>
      <c r="F9" s="976">
        <f>NSG_Deliveries!M5/1000</f>
        <v>5.8410000000000002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78" t="s">
        <v>595</v>
      </c>
      <c r="E10" s="441">
        <f>NSG_Deliveries!N5/1000</f>
        <v>0</v>
      </c>
      <c r="F10" s="802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604</v>
      </c>
      <c r="E11" s="803">
        <f>NSG_Supplies!P7/1000</f>
        <v>12</v>
      </c>
      <c r="F11" s="804"/>
      <c r="G11"/>
    </row>
    <row r="12" spans="1:11" ht="15" customHeight="1">
      <c r="A12" s="125" t="s">
        <v>372</v>
      </c>
      <c r="B12" s="215">
        <v>0</v>
      </c>
      <c r="C12" s="129"/>
      <c r="D12" t="s">
        <v>314</v>
      </c>
      <c r="E12" s="237"/>
      <c r="F12" s="78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27.323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0</v>
      </c>
      <c r="D15" s="233" t="s">
        <v>320</v>
      </c>
      <c r="E15" s="762">
        <f>+NSG_Supplies!N7/1000</f>
        <v>0</v>
      </c>
      <c r="F15" s="212"/>
    </row>
    <row r="16" spans="1:11" ht="15" customHeight="1" thickBot="1">
      <c r="A16" s="127" t="s">
        <v>322</v>
      </c>
      <c r="B16" s="441">
        <f>NSG_Deliveries!L5/1000</f>
        <v>0.42699999999999999</v>
      </c>
      <c r="C16" s="977"/>
      <c r="D16" s="814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56" t="s">
        <v>9</v>
      </c>
      <c r="B19" s="441" t="s">
        <v>9</v>
      </c>
      <c r="C19" s="440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56" t="s">
        <v>9</v>
      </c>
      <c r="B20" s="441" t="s">
        <v>9</v>
      </c>
      <c r="C20" s="440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56" t="s">
        <v>9</v>
      </c>
      <c r="B21" s="441" t="s">
        <v>9</v>
      </c>
      <c r="C21" s="440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56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63" t="s">
        <v>333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27.75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373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87" customWidth="1"/>
    <col min="3" max="3" width="20.6640625" customWidth="1"/>
  </cols>
  <sheetData>
    <row r="1" spans="2:7">
      <c r="E1" s="787" t="s">
        <v>9</v>
      </c>
    </row>
    <row r="2" spans="2:7">
      <c r="B2" s="911" t="s">
        <v>9</v>
      </c>
      <c r="C2" s="911" t="s">
        <v>9</v>
      </c>
      <c r="D2" s="911" t="s">
        <v>158</v>
      </c>
      <c r="E2" s="911" t="s">
        <v>9</v>
      </c>
      <c r="F2" s="911" t="s">
        <v>158</v>
      </c>
      <c r="G2" s="911" t="s">
        <v>9</v>
      </c>
    </row>
    <row r="4" spans="2:7">
      <c r="B4" s="912" t="s">
        <v>158</v>
      </c>
    </row>
    <row r="6" spans="2:7">
      <c r="B6" s="911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1"/>
    </row>
    <row r="8" spans="2:7">
      <c r="B8" s="911" t="s">
        <v>9</v>
      </c>
    </row>
    <row r="9" spans="2:7">
      <c r="B9" s="911"/>
    </row>
    <row r="10" spans="2:7">
      <c r="B10" s="911" t="s">
        <v>9</v>
      </c>
      <c r="C10" t="b">
        <f>TRUE()</f>
        <v>1</v>
      </c>
    </row>
    <row r="11" spans="2:7">
      <c r="B11" s="911" t="s">
        <v>9</v>
      </c>
    </row>
    <row r="12" spans="2:7">
      <c r="B12" s="911" t="s">
        <v>9</v>
      </c>
    </row>
    <row r="13" spans="2:7">
      <c r="B13" s="911"/>
    </row>
    <row r="14" spans="2:7">
      <c r="B14" s="911" t="s">
        <v>9</v>
      </c>
    </row>
    <row r="15" spans="2:7">
      <c r="B15" s="911"/>
    </row>
    <row r="16" spans="2:7">
      <c r="B16" s="911" t="s">
        <v>9</v>
      </c>
    </row>
    <row r="17" spans="2:5">
      <c r="B17" s="911"/>
    </row>
    <row r="18" spans="2:5">
      <c r="B18" s="911" t="s">
        <v>9</v>
      </c>
    </row>
    <row r="19" spans="2:5">
      <c r="B19" s="911"/>
    </row>
    <row r="20" spans="2:5">
      <c r="B20" s="911" t="s">
        <v>9</v>
      </c>
    </row>
    <row r="21" spans="2:5">
      <c r="B21" s="911"/>
    </row>
    <row r="22" spans="2:5">
      <c r="B22" s="911" t="s">
        <v>9</v>
      </c>
    </row>
    <row r="24" spans="2:5">
      <c r="B24" s="911" t="s">
        <v>9</v>
      </c>
    </row>
    <row r="25" spans="2:5">
      <c r="E25" s="911" t="s">
        <v>9</v>
      </c>
    </row>
    <row r="27" spans="2:5">
      <c r="B27" s="911" t="s">
        <v>9</v>
      </c>
    </row>
    <row r="29" spans="2:5">
      <c r="B29" s="911" t="s">
        <v>9</v>
      </c>
    </row>
    <row r="30" spans="2:5">
      <c r="B30" s="911"/>
    </row>
    <row r="31" spans="2:5">
      <c r="B31" s="911" t="s">
        <v>9</v>
      </c>
    </row>
    <row r="32" spans="2:5">
      <c r="B32" s="911"/>
    </row>
    <row r="33" spans="2:2">
      <c r="B33" s="911" t="s">
        <v>9</v>
      </c>
    </row>
    <row r="34" spans="2:2">
      <c r="B34" s="911"/>
    </row>
    <row r="35" spans="2:2">
      <c r="B35" s="911" t="s">
        <v>9</v>
      </c>
    </row>
    <row r="36" spans="2:2">
      <c r="B36" s="911"/>
    </row>
    <row r="37" spans="2:2">
      <c r="B37" s="911" t="s">
        <v>9</v>
      </c>
    </row>
    <row r="38" spans="2:2">
      <c r="B38" s="911"/>
    </row>
    <row r="39" spans="2:2">
      <c r="B39" s="911" t="s">
        <v>9</v>
      </c>
    </row>
    <row r="40" spans="2:2">
      <c r="B40" s="911"/>
    </row>
    <row r="41" spans="2:2">
      <c r="B41" s="911" t="s">
        <v>9</v>
      </c>
    </row>
    <row r="42" spans="2:2">
      <c r="B42" s="911"/>
    </row>
    <row r="43" spans="2:2">
      <c r="B43" s="911" t="s">
        <v>9</v>
      </c>
    </row>
    <row r="44" spans="2:2">
      <c r="B44" s="911"/>
    </row>
    <row r="45" spans="2:2">
      <c r="B45" s="911" t="s">
        <v>9</v>
      </c>
    </row>
    <row r="47" spans="2:2">
      <c r="B47" s="911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0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336</v>
      </c>
      <c r="B1" s="51">
        <f>Weather_Input!A5</f>
        <v>37089</v>
      </c>
      <c r="C1" s="4"/>
    </row>
    <row r="2" spans="1:19">
      <c r="A2" s="109" t="s">
        <v>337</v>
      </c>
      <c r="B2" s="4"/>
      <c r="C2" s="4"/>
    </row>
    <row r="3" spans="1:19" ht="15.75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37088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93021</v>
      </c>
      <c r="O6" s="201">
        <v>0</v>
      </c>
      <c r="P6" s="201">
        <v>54790655</v>
      </c>
      <c r="Q6" s="201">
        <v>15045098</v>
      </c>
      <c r="R6" s="201">
        <v>39745557</v>
      </c>
      <c r="S6" s="201">
        <v>0</v>
      </c>
    </row>
    <row r="7" spans="1:19">
      <c r="A7" s="4">
        <f>B1</f>
        <v>37089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109796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54900451</v>
      </c>
      <c r="Q7">
        <f>IF(O7&gt;0,Q6+O7,Q6)</f>
        <v>15045098</v>
      </c>
      <c r="R7">
        <f>IF(P7&gt;Q7,P7-Q7,0)</f>
        <v>39855353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>
      <selection activeCell="C6" sqref="C6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  <col min="59" max="59" width="4.7773437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1" t="s">
        <v>683</v>
      </c>
      <c r="BE1" t="s">
        <v>684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680</v>
      </c>
      <c r="BC2" t="s">
        <v>681</v>
      </c>
      <c r="BE2" s="1029">
        <v>1</v>
      </c>
      <c r="BF2" s="195" t="s">
        <v>681</v>
      </c>
      <c r="BH2" t="s">
        <v>795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381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381</v>
      </c>
      <c r="U3" s="3" t="s">
        <v>13</v>
      </c>
      <c r="V3" s="3"/>
      <c r="W3" s="109"/>
      <c r="X3" s="1"/>
      <c r="Y3" s="1" t="s">
        <v>499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2" t="s">
        <v>664</v>
      </c>
      <c r="AP3" s="1010"/>
      <c r="AQ3" s="782" t="s">
        <v>665</v>
      </c>
      <c r="AR3" s="1010"/>
      <c r="AS3" s="782" t="s">
        <v>666</v>
      </c>
      <c r="AT3" s="1010"/>
      <c r="AU3" s="428" t="s">
        <v>170</v>
      </c>
      <c r="AV3" s="428" t="s">
        <v>170</v>
      </c>
      <c r="AW3" s="428"/>
      <c r="AX3" s="428" t="s">
        <v>170</v>
      </c>
      <c r="AZ3" s="119" t="s">
        <v>678</v>
      </c>
      <c r="BA3" s="119"/>
      <c r="BB3" s="159"/>
      <c r="BC3" s="119" t="s">
        <v>41</v>
      </c>
      <c r="BE3" s="1029" t="s">
        <v>500</v>
      </c>
      <c r="BH3" t="s">
        <v>794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382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378</v>
      </c>
      <c r="U4" s="3" t="s">
        <v>54</v>
      </c>
      <c r="V4" s="3" t="s">
        <v>695</v>
      </c>
      <c r="W4" s="3" t="s">
        <v>66</v>
      </c>
      <c r="X4" s="3" t="s">
        <v>67</v>
      </c>
      <c r="Y4" s="3" t="s">
        <v>538</v>
      </c>
      <c r="Z4" s="3" t="s">
        <v>539</v>
      </c>
      <c r="AA4" s="3" t="s">
        <v>724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09" t="s">
        <v>662</v>
      </c>
      <c r="AP4" s="3" t="s">
        <v>663</v>
      </c>
      <c r="AQ4" s="3" t="s">
        <v>662</v>
      </c>
      <c r="AR4" s="3" t="s">
        <v>663</v>
      </c>
      <c r="AS4" s="3" t="s">
        <v>662</v>
      </c>
      <c r="AT4" s="3" t="s">
        <v>663</v>
      </c>
      <c r="AU4" s="428" t="s">
        <v>189</v>
      </c>
      <c r="AV4" s="428" t="s">
        <v>693</v>
      </c>
      <c r="AW4" s="428" t="s">
        <v>198</v>
      </c>
      <c r="AX4" s="428" t="s">
        <v>661</v>
      </c>
      <c r="AY4" s="1"/>
      <c r="AZ4" s="1030" t="s">
        <v>40</v>
      </c>
      <c r="BA4" s="1031" t="s">
        <v>41</v>
      </c>
      <c r="BB4" s="1032" t="s">
        <v>677</v>
      </c>
      <c r="BC4" s="1032" t="s">
        <v>682</v>
      </c>
      <c r="BE4" s="195" t="s">
        <v>378</v>
      </c>
      <c r="BF4" s="195" t="s">
        <v>679</v>
      </c>
      <c r="BG4" s="1"/>
      <c r="BH4" s="1" t="s">
        <v>796</v>
      </c>
      <c r="BI4" s="1" t="s">
        <v>797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37089</v>
      </c>
      <c r="B5" s="1">
        <f>(Weather_Input!B5+Weather_Input!C5)/2</f>
        <v>78.5</v>
      </c>
      <c r="C5" s="895">
        <v>198000</v>
      </c>
      <c r="D5" s="896">
        <v>0</v>
      </c>
      <c r="E5" s="896">
        <v>0</v>
      </c>
      <c r="F5" s="896">
        <v>0</v>
      </c>
      <c r="G5" s="896">
        <v>0</v>
      </c>
      <c r="H5" s="896">
        <v>0</v>
      </c>
      <c r="I5" s="896">
        <v>0</v>
      </c>
      <c r="J5" s="896">
        <v>0</v>
      </c>
      <c r="K5" s="896">
        <v>0</v>
      </c>
      <c r="L5" s="896">
        <v>0</v>
      </c>
      <c r="M5" s="896">
        <v>0</v>
      </c>
      <c r="N5" s="896">
        <v>0</v>
      </c>
      <c r="O5" s="896">
        <v>0</v>
      </c>
      <c r="P5" s="896">
        <v>0</v>
      </c>
      <c r="Q5" s="896">
        <v>0</v>
      </c>
      <c r="R5" s="896">
        <v>0</v>
      </c>
      <c r="S5" s="901">
        <v>4265</v>
      </c>
      <c r="T5" s="1085">
        <v>0</v>
      </c>
      <c r="U5" s="895">
        <f>SUM(D5:S5)-T5</f>
        <v>4265</v>
      </c>
      <c r="V5" s="895">
        <v>90033</v>
      </c>
      <c r="W5" s="11">
        <v>0</v>
      </c>
      <c r="X5" s="11">
        <v>0</v>
      </c>
      <c r="Y5" s="11">
        <v>0</v>
      </c>
      <c r="Z5" s="11">
        <v>167517</v>
      </c>
      <c r="AA5" s="11">
        <v>62431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16944</v>
      </c>
      <c r="AK5" s="11">
        <v>0</v>
      </c>
      <c r="AL5" s="11">
        <v>0</v>
      </c>
      <c r="AM5" s="1">
        <v>1025</v>
      </c>
      <c r="AN5" s="1"/>
      <c r="AO5" s="1">
        <v>0</v>
      </c>
      <c r="AP5" s="1">
        <v>10491</v>
      </c>
      <c r="AQ5" s="1">
        <v>4716</v>
      </c>
      <c r="AR5" s="1">
        <v>0</v>
      </c>
      <c r="AS5" s="1">
        <v>0</v>
      </c>
      <c r="AT5" s="1">
        <v>836</v>
      </c>
      <c r="AU5" s="1">
        <v>125140</v>
      </c>
      <c r="AV5" s="1">
        <v>560</v>
      </c>
      <c r="AW5" s="622">
        <f>AU5*0.015</f>
        <v>1877.1</v>
      </c>
      <c r="AX5" s="1">
        <v>0</v>
      </c>
      <c r="AY5" s="1"/>
      <c r="AZ5" s="1">
        <v>0</v>
      </c>
      <c r="BA5" s="1">
        <v>0</v>
      </c>
      <c r="BB5" s="1">
        <v>0</v>
      </c>
      <c r="BC5" s="1">
        <v>0</v>
      </c>
      <c r="BD5" s="1"/>
      <c r="BE5" s="1">
        <v>58407</v>
      </c>
      <c r="BF5" s="1">
        <v>117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37090</v>
      </c>
      <c r="B6" s="913">
        <f>(Weather_Input!B6+Weather_Input!C6)/2</f>
        <v>81</v>
      </c>
      <c r="C6" s="895">
        <v>195000</v>
      </c>
      <c r="D6" s="897" t="s">
        <v>9</v>
      </c>
      <c r="E6" s="898"/>
      <c r="F6" s="898"/>
      <c r="G6" s="898"/>
      <c r="H6" s="898"/>
      <c r="I6" s="898" t="s">
        <v>9</v>
      </c>
      <c r="J6" s="898"/>
      <c r="K6" s="898"/>
      <c r="L6" s="898" t="s">
        <v>9</v>
      </c>
      <c r="M6" s="898"/>
      <c r="N6" s="898"/>
      <c r="O6" s="898"/>
      <c r="P6" s="898"/>
      <c r="Q6" s="898"/>
      <c r="R6" s="898"/>
      <c r="S6" s="898"/>
      <c r="T6" s="898"/>
      <c r="U6" s="898"/>
      <c r="V6" s="89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660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37091</v>
      </c>
      <c r="B7" s="913">
        <f>(Weather_Input!B7+Weather_Input!C7)/2</f>
        <v>80.5</v>
      </c>
      <c r="C7" s="895">
        <v>195000</v>
      </c>
      <c r="D7" s="897" t="s">
        <v>9</v>
      </c>
      <c r="E7" s="898"/>
      <c r="F7" s="898"/>
      <c r="G7" s="898"/>
      <c r="H7" s="899" t="s">
        <v>75</v>
      </c>
      <c r="I7" s="898"/>
      <c r="J7" s="898"/>
      <c r="K7" s="898"/>
      <c r="L7" s="898"/>
      <c r="M7" s="898"/>
      <c r="N7" s="898"/>
      <c r="O7" s="898"/>
      <c r="P7" s="898"/>
      <c r="Q7" s="898"/>
      <c r="R7" s="898" t="s">
        <v>511</v>
      </c>
      <c r="S7" s="902">
        <v>0</v>
      </c>
      <c r="T7" s="902"/>
      <c r="U7" s="898"/>
      <c r="V7" s="89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37092</v>
      </c>
      <c r="B8" s="913">
        <f>(Weather_Input!B8+Weather_Input!C8)/2</f>
        <v>81</v>
      </c>
      <c r="C8" s="895">
        <v>185000</v>
      </c>
      <c r="D8" s="897" t="s">
        <v>9</v>
      </c>
      <c r="E8" s="898" t="s">
        <v>9</v>
      </c>
      <c r="F8" s="898"/>
      <c r="G8" s="898"/>
      <c r="H8" s="900" t="s">
        <v>76</v>
      </c>
      <c r="I8" s="898"/>
      <c r="J8" s="898"/>
      <c r="K8" s="898"/>
      <c r="L8" s="898"/>
      <c r="M8" s="898"/>
      <c r="N8" s="898"/>
      <c r="O8" s="898"/>
      <c r="P8" s="898"/>
      <c r="Q8" s="898"/>
      <c r="R8" s="898" t="s">
        <v>512</v>
      </c>
      <c r="S8" s="902">
        <v>0</v>
      </c>
      <c r="T8" s="902"/>
      <c r="U8" s="898"/>
      <c r="V8" s="89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37093</v>
      </c>
      <c r="B9" s="913">
        <f>(Weather_Input!B9+Weather_Input!C9)/2</f>
        <v>81.5</v>
      </c>
      <c r="C9" s="895">
        <v>175000</v>
      </c>
      <c r="D9" s="897" t="s">
        <v>9</v>
      </c>
      <c r="E9" s="898"/>
      <c r="F9" s="898"/>
      <c r="G9" s="898"/>
      <c r="H9" s="898" t="s">
        <v>77</v>
      </c>
      <c r="I9" s="898"/>
      <c r="J9" s="898"/>
      <c r="K9" s="898"/>
      <c r="L9" s="898"/>
      <c r="M9" s="898"/>
      <c r="N9" s="898"/>
      <c r="O9" s="898"/>
      <c r="P9" s="898"/>
      <c r="Q9" s="898"/>
      <c r="R9" s="898" t="s">
        <v>513</v>
      </c>
      <c r="S9" s="902">
        <v>0</v>
      </c>
      <c r="T9" s="902"/>
      <c r="U9" s="898"/>
      <c r="V9" s="89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37094</v>
      </c>
      <c r="B10" s="913">
        <f>(Weather_Input!B10+Weather_Input!C10)/2</f>
        <v>81.5</v>
      </c>
      <c r="C10" s="895">
        <v>185000</v>
      </c>
      <c r="D10" s="897" t="s">
        <v>9</v>
      </c>
      <c r="E10" s="898" t="s">
        <v>9</v>
      </c>
      <c r="F10" s="898"/>
      <c r="G10" s="898"/>
      <c r="H10" s="898" t="s">
        <v>78</v>
      </c>
      <c r="I10" s="898"/>
      <c r="J10" s="898"/>
      <c r="K10" s="898"/>
      <c r="L10" s="898"/>
      <c r="M10" s="898"/>
      <c r="N10" s="898"/>
      <c r="O10" s="898"/>
      <c r="P10" s="898"/>
      <c r="Q10" s="898"/>
      <c r="R10" s="898" t="s">
        <v>516</v>
      </c>
      <c r="S10" s="902">
        <v>0</v>
      </c>
      <c r="T10" s="902"/>
      <c r="U10" s="898"/>
      <c r="V10" s="89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514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515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517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518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519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18" t="s">
        <v>9</v>
      </c>
      <c r="T16" s="8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4"/>
      <c r="T29" s="784"/>
    </row>
    <row r="30" spans="3:92">
      <c r="S30" s="784"/>
      <c r="T30" s="78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C6" sqref="C6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658</v>
      </c>
      <c r="L2" t="s">
        <v>658</v>
      </c>
      <c r="M2" t="s">
        <v>658</v>
      </c>
      <c r="N2" t="s">
        <v>658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598</v>
      </c>
      <c r="G3" s="153" t="s">
        <v>80</v>
      </c>
      <c r="H3" s="3" t="s">
        <v>13</v>
      </c>
      <c r="I3" s="153" t="s">
        <v>81</v>
      </c>
      <c r="K3" t="s">
        <v>659</v>
      </c>
      <c r="L3" t="s">
        <v>659</v>
      </c>
      <c r="M3" t="s">
        <v>659</v>
      </c>
      <c r="N3" t="s">
        <v>659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656</v>
      </c>
      <c r="L4" s="1" t="s">
        <v>657</v>
      </c>
      <c r="M4" s="1" t="s">
        <v>656</v>
      </c>
      <c r="N4" s="1" t="s">
        <v>657</v>
      </c>
    </row>
    <row r="5" spans="1:14">
      <c r="A5" s="12">
        <f>Weather_Input!A5</f>
        <v>37089</v>
      </c>
      <c r="B5" s="1">
        <f>(Weather_Input!B5+Weather_Input!C5)/2</f>
        <v>78.5</v>
      </c>
      <c r="C5" s="895">
        <v>33500</v>
      </c>
      <c r="D5" s="895">
        <v>0</v>
      </c>
      <c r="E5" s="895">
        <v>0</v>
      </c>
      <c r="F5" s="895">
        <v>0</v>
      </c>
      <c r="G5" s="895">
        <v>0</v>
      </c>
      <c r="H5" s="903">
        <f>SUM(D5:G5)</f>
        <v>0</v>
      </c>
      <c r="I5" s="1">
        <v>1004</v>
      </c>
      <c r="J5" s="1" t="s">
        <v>9</v>
      </c>
      <c r="K5" s="1">
        <v>0</v>
      </c>
      <c r="L5" s="1">
        <v>427</v>
      </c>
      <c r="M5" s="1">
        <v>5841</v>
      </c>
      <c r="N5" s="1">
        <v>0</v>
      </c>
    </row>
    <row r="6" spans="1:14">
      <c r="A6" s="12">
        <f>A5+1</f>
        <v>37090</v>
      </c>
      <c r="B6" s="913">
        <f>(Weather_Input!B6+Weather_Input!C6)/2</f>
        <v>81</v>
      </c>
      <c r="C6" s="895">
        <v>34000</v>
      </c>
      <c r="D6" s="898" t="s">
        <v>9</v>
      </c>
      <c r="E6" s="898"/>
      <c r="F6" s="898"/>
      <c r="G6" s="898"/>
      <c r="H6" s="15"/>
      <c r="I6" s="1" t="s">
        <v>9</v>
      </c>
    </row>
    <row r="7" spans="1:14">
      <c r="A7" s="12">
        <f>A6+1</f>
        <v>37091</v>
      </c>
      <c r="B7" s="913">
        <f>(Weather_Input!B7+Weather_Input!C7)/2</f>
        <v>80.5</v>
      </c>
      <c r="C7" s="895">
        <v>34000</v>
      </c>
      <c r="D7" s="898" t="s">
        <v>9</v>
      </c>
      <c r="E7" s="898" t="s">
        <v>9</v>
      </c>
      <c r="F7" s="898"/>
      <c r="G7" s="898"/>
      <c r="H7" s="15"/>
    </row>
    <row r="8" spans="1:14">
      <c r="A8" s="12">
        <f>A7+1</f>
        <v>37092</v>
      </c>
      <c r="B8" s="913">
        <f>(Weather_Input!B8+Weather_Input!C8)/2</f>
        <v>81</v>
      </c>
      <c r="C8" s="895">
        <v>33000</v>
      </c>
      <c r="D8" s="898" t="s">
        <v>9</v>
      </c>
      <c r="E8" s="898"/>
      <c r="F8" s="898"/>
      <c r="G8" s="898"/>
      <c r="H8" s="15"/>
    </row>
    <row r="9" spans="1:14">
      <c r="A9" s="12">
        <f>A8+1</f>
        <v>37093</v>
      </c>
      <c r="B9" s="913">
        <f>(Weather_Input!B9+Weather_Input!C9)/2</f>
        <v>81.5</v>
      </c>
      <c r="C9" s="895">
        <v>30000</v>
      </c>
      <c r="D9" s="898" t="s">
        <v>9</v>
      </c>
      <c r="E9" s="898"/>
      <c r="F9" s="898"/>
      <c r="G9" s="898"/>
      <c r="H9" s="15"/>
    </row>
    <row r="10" spans="1:14">
      <c r="A10" s="12">
        <f>A9+1</f>
        <v>37094</v>
      </c>
      <c r="B10" s="913">
        <f>(Weather_Input!B10+Weather_Input!C10)/2</f>
        <v>81.5</v>
      </c>
      <c r="C10" s="895">
        <v>33000</v>
      </c>
      <c r="D10" s="898" t="s">
        <v>9</v>
      </c>
      <c r="E10" s="898"/>
      <c r="F10" s="898"/>
      <c r="G10" s="898"/>
      <c r="H10" s="15"/>
    </row>
    <row r="11" spans="1:14">
      <c r="A11" s="1" t="s">
        <v>158</v>
      </c>
      <c r="C11" s="1109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>
      <selection activeCell="F8" sqref="F8"/>
    </sheetView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4" width="9" bestFit="1" customWidth="1"/>
    <col min="35" max="35" width="10.109375" bestFit="1" customWidth="1"/>
  </cols>
  <sheetData>
    <row r="1" spans="1:88">
      <c r="A1" s="10"/>
      <c r="B1" s="5"/>
      <c r="C1" s="5"/>
      <c r="D1" s="5"/>
      <c r="E1" s="5"/>
      <c r="F1" s="5"/>
      <c r="G1" s="5"/>
    </row>
    <row r="2" spans="1:88" s="1" customFormat="1" ht="12.75">
      <c r="A2" s="10"/>
      <c r="B2" s="10"/>
      <c r="C2" s="10"/>
      <c r="D2" s="10"/>
      <c r="E2" s="10"/>
      <c r="F2" s="10"/>
      <c r="G2" s="10"/>
    </row>
    <row r="3" spans="1:88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2.75">
      <c r="B4" s="63"/>
      <c r="E4" s="63"/>
      <c r="F4" s="63"/>
      <c r="G4" s="1108">
        <v>1</v>
      </c>
      <c r="H4" s="3" t="s">
        <v>1</v>
      </c>
      <c r="I4" s="3" t="s">
        <v>703</v>
      </c>
      <c r="J4" s="3" t="s">
        <v>679</v>
      </c>
      <c r="L4" s="3" t="s">
        <v>785</v>
      </c>
      <c r="M4" s="3" t="s">
        <v>804</v>
      </c>
      <c r="N4" s="58"/>
      <c r="O4" s="65"/>
      <c r="P4" s="65"/>
      <c r="T4" s="1238" t="s">
        <v>798</v>
      </c>
      <c r="U4" s="1053"/>
      <c r="V4" s="1203" t="s">
        <v>762</v>
      </c>
      <c r="W4" s="1204"/>
      <c r="X4" s="1205"/>
      <c r="Y4" s="53"/>
      <c r="Z4" s="53"/>
      <c r="AA4" s="53"/>
      <c r="AB4" s="55" t="s">
        <v>89</v>
      </c>
      <c r="AC4" s="53"/>
      <c r="AD4" s="53"/>
      <c r="AE4" s="72"/>
      <c r="AF4" s="3" t="s">
        <v>394</v>
      </c>
    </row>
    <row r="5" spans="1:88" s="1" customFormat="1" ht="12.75">
      <c r="B5" s="66" t="s">
        <v>90</v>
      </c>
      <c r="E5" s="247"/>
      <c r="F5" s="66" t="s">
        <v>9</v>
      </c>
      <c r="G5" s="792" t="s">
        <v>783</v>
      </c>
      <c r="H5" s="107" t="s">
        <v>675</v>
      </c>
      <c r="I5" s="54" t="s">
        <v>695</v>
      </c>
      <c r="J5" s="3" t="s">
        <v>732</v>
      </c>
      <c r="L5" s="3" t="s">
        <v>786</v>
      </c>
      <c r="M5" s="56" t="s">
        <v>805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763</v>
      </c>
      <c r="W5" s="56" t="s">
        <v>766</v>
      </c>
      <c r="X5" s="3" t="s">
        <v>767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2.75">
      <c r="A6" s="67"/>
      <c r="B6" s="68" t="s">
        <v>94</v>
      </c>
      <c r="C6" s="54" t="s">
        <v>89</v>
      </c>
      <c r="D6" s="54" t="s">
        <v>394</v>
      </c>
      <c r="E6" s="248" t="s">
        <v>92</v>
      </c>
      <c r="F6" s="54" t="s">
        <v>95</v>
      </c>
      <c r="G6" s="793" t="s">
        <v>784</v>
      </c>
      <c r="H6" s="1011" t="s">
        <v>676</v>
      </c>
      <c r="I6" s="54" t="s">
        <v>702</v>
      </c>
      <c r="J6" s="54" t="s">
        <v>731</v>
      </c>
      <c r="K6" s="54" t="s">
        <v>778</v>
      </c>
      <c r="L6" s="54" t="s">
        <v>67</v>
      </c>
      <c r="M6" s="54" t="s">
        <v>803</v>
      </c>
      <c r="N6" s="81" t="s">
        <v>87</v>
      </c>
      <c r="O6" s="54" t="s">
        <v>58</v>
      </c>
      <c r="P6" s="54" t="s">
        <v>97</v>
      </c>
      <c r="Q6" s="54" t="s">
        <v>690</v>
      </c>
      <c r="R6" s="54" t="s">
        <v>99</v>
      </c>
      <c r="S6" s="54" t="s">
        <v>672</v>
      </c>
      <c r="T6" s="54" t="s">
        <v>780</v>
      </c>
      <c r="U6" s="68" t="s">
        <v>799</v>
      </c>
      <c r="V6" s="1206" t="s">
        <v>764</v>
      </c>
      <c r="W6" s="1206" t="s">
        <v>765</v>
      </c>
      <c r="X6" s="54">
        <v>9</v>
      </c>
      <c r="Y6" s="54" t="s">
        <v>66</v>
      </c>
      <c r="Z6" s="54" t="s">
        <v>89</v>
      </c>
      <c r="AA6" s="54" t="s">
        <v>394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394</v>
      </c>
    </row>
    <row r="7" spans="1:88" s="1" customFormat="1" ht="12.75">
      <c r="A7" s="819">
        <f>Weather_Input!A5</f>
        <v>37089</v>
      </c>
      <c r="B7" s="904">
        <v>0</v>
      </c>
      <c r="C7" s="620">
        <v>0</v>
      </c>
      <c r="D7" s="620">
        <v>0</v>
      </c>
      <c r="E7" s="904">
        <v>0</v>
      </c>
      <c r="F7" s="904">
        <v>25800</v>
      </c>
      <c r="G7" s="906">
        <v>227800</v>
      </c>
      <c r="H7" s="619">
        <v>0</v>
      </c>
      <c r="I7" s="619">
        <v>0</v>
      </c>
      <c r="J7" s="620">
        <v>28500</v>
      </c>
      <c r="K7" s="619">
        <v>0</v>
      </c>
      <c r="L7" s="620">
        <v>0</v>
      </c>
      <c r="M7" s="620">
        <v>0</v>
      </c>
      <c r="N7" s="621">
        <v>11160</v>
      </c>
      <c r="O7" s="620">
        <v>103000</v>
      </c>
      <c r="P7" s="622">
        <f t="shared" ref="P7:P12" si="0">O7*0.015</f>
        <v>1545</v>
      </c>
      <c r="Q7" s="620">
        <v>620</v>
      </c>
      <c r="R7" s="620">
        <v>0</v>
      </c>
      <c r="S7" s="620">
        <v>0</v>
      </c>
      <c r="T7" s="619">
        <v>200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19">
        <f t="shared" ref="AI7:AI12" si="1">AI6+1</f>
        <v>1</v>
      </c>
    </row>
    <row r="8" spans="1:88" s="1" customFormat="1" ht="12.75">
      <c r="A8" s="819">
        <f>A7+1</f>
        <v>37090</v>
      </c>
      <c r="B8" s="904">
        <v>0</v>
      </c>
      <c r="C8" s="620">
        <v>0</v>
      </c>
      <c r="D8" s="620">
        <v>0</v>
      </c>
      <c r="E8" s="904">
        <v>3000</v>
      </c>
      <c r="F8" s="904">
        <v>0</v>
      </c>
      <c r="G8" s="906">
        <v>69260</v>
      </c>
      <c r="H8" s="619">
        <v>0</v>
      </c>
      <c r="I8" s="619">
        <v>0</v>
      </c>
      <c r="J8" s="620">
        <v>30000</v>
      </c>
      <c r="K8" s="619">
        <v>0</v>
      </c>
      <c r="L8" s="620">
        <v>0</v>
      </c>
      <c r="M8" s="620">
        <v>0</v>
      </c>
      <c r="N8" s="621">
        <v>0</v>
      </c>
      <c r="O8" s="620">
        <v>132000</v>
      </c>
      <c r="P8" s="622">
        <f t="shared" si="0"/>
        <v>1980</v>
      </c>
      <c r="Q8" s="620">
        <v>620</v>
      </c>
      <c r="R8" s="620">
        <v>0</v>
      </c>
      <c r="S8" s="620">
        <v>0</v>
      </c>
      <c r="T8" s="619">
        <v>200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19">
        <f t="shared" si="1"/>
        <v>2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2.75">
      <c r="A9" s="819">
        <f>A8+1</f>
        <v>37091</v>
      </c>
      <c r="B9" s="904">
        <v>0</v>
      </c>
      <c r="C9" s="620">
        <v>0</v>
      </c>
      <c r="D9" s="620">
        <v>0</v>
      </c>
      <c r="E9" s="904">
        <v>3000</v>
      </c>
      <c r="F9" s="904">
        <v>0</v>
      </c>
      <c r="G9" s="906">
        <v>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132000</v>
      </c>
      <c r="P9" s="622">
        <f t="shared" si="0"/>
        <v>1980</v>
      </c>
      <c r="Q9" s="620">
        <v>620</v>
      </c>
      <c r="R9" s="620">
        <v>0</v>
      </c>
      <c r="S9" s="620">
        <v>0</v>
      </c>
      <c r="T9" s="619">
        <v>200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19">
        <f t="shared" si="1"/>
        <v>3</v>
      </c>
      <c r="AM9" s="619"/>
    </row>
    <row r="10" spans="1:88" s="1" customFormat="1" ht="12.75">
      <c r="A10" s="819">
        <f>A9+1</f>
        <v>37092</v>
      </c>
      <c r="B10" s="904">
        <v>0</v>
      </c>
      <c r="C10" s="620">
        <v>0</v>
      </c>
      <c r="D10" s="620">
        <v>0</v>
      </c>
      <c r="E10" s="904">
        <v>3000</v>
      </c>
      <c r="F10" s="904">
        <v>0</v>
      </c>
      <c r="G10" s="906">
        <v>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132000</v>
      </c>
      <c r="P10" s="622">
        <f t="shared" si="0"/>
        <v>1980</v>
      </c>
      <c r="Q10" s="620">
        <v>620</v>
      </c>
      <c r="R10" s="620">
        <v>0</v>
      </c>
      <c r="S10" s="620">
        <v>0</v>
      </c>
      <c r="T10" s="619">
        <v>200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19">
        <f t="shared" si="1"/>
        <v>4</v>
      </c>
    </row>
    <row r="11" spans="1:88" s="1" customFormat="1" ht="12.75">
      <c r="A11" s="819">
        <f>A10+1</f>
        <v>37093</v>
      </c>
      <c r="B11" s="904">
        <v>0</v>
      </c>
      <c r="C11" s="620">
        <v>0</v>
      </c>
      <c r="D11" s="620">
        <v>0</v>
      </c>
      <c r="E11" s="904">
        <v>3000</v>
      </c>
      <c r="F11" s="904">
        <v>0</v>
      </c>
      <c r="G11" s="906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132000</v>
      </c>
      <c r="P11" s="622">
        <f t="shared" si="0"/>
        <v>1980</v>
      </c>
      <c r="Q11" s="620">
        <v>620</v>
      </c>
      <c r="R11" s="620">
        <v>0</v>
      </c>
      <c r="S11" s="620">
        <v>0</v>
      </c>
      <c r="T11" s="619">
        <v>200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19">
        <f t="shared" si="1"/>
        <v>5</v>
      </c>
    </row>
    <row r="12" spans="1:88" s="1" customFormat="1" ht="12.75">
      <c r="A12" s="819">
        <f>A11+1</f>
        <v>37094</v>
      </c>
      <c r="B12" s="904">
        <v>0</v>
      </c>
      <c r="C12" s="620">
        <v>0</v>
      </c>
      <c r="D12" s="620">
        <v>0</v>
      </c>
      <c r="E12" s="904">
        <v>3000</v>
      </c>
      <c r="F12" s="904">
        <v>0</v>
      </c>
      <c r="G12" s="906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132000</v>
      </c>
      <c r="P12" s="622">
        <f t="shared" si="0"/>
        <v>1980</v>
      </c>
      <c r="Q12" s="620">
        <v>620</v>
      </c>
      <c r="R12" s="620">
        <v>0</v>
      </c>
      <c r="S12" s="620">
        <v>0</v>
      </c>
      <c r="T12" s="619">
        <v>200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19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651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77734375" defaultRowHeight="12.75"/>
  <cols>
    <col min="1" max="15" width="8.77734375" style="1" customWidth="1"/>
    <col min="16" max="16" width="9.5546875" style="1" customWidth="1"/>
    <col min="17" max="18" width="8.77734375" style="1" customWidth="1"/>
    <col min="19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804</v>
      </c>
      <c r="Q4" s="1238" t="s">
        <v>782</v>
      </c>
      <c r="R4" s="1053"/>
      <c r="S4" s="792" t="s">
        <v>597</v>
      </c>
      <c r="U4" s="3" t="s">
        <v>714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802</v>
      </c>
      <c r="N5" s="3" t="s">
        <v>9</v>
      </c>
      <c r="O5" s="3" t="s">
        <v>9</v>
      </c>
      <c r="P5" s="3" t="s">
        <v>6</v>
      </c>
      <c r="Q5" s="107" t="s">
        <v>780</v>
      </c>
      <c r="R5" s="1239" t="s">
        <v>781</v>
      </c>
      <c r="S5" s="792" t="s">
        <v>378</v>
      </c>
      <c r="T5" s="107" t="s">
        <v>675</v>
      </c>
      <c r="U5" s="3" t="s">
        <v>712</v>
      </c>
      <c r="V5" s="3"/>
      <c r="W5" s="59" t="s">
        <v>695</v>
      </c>
      <c r="X5" s="63"/>
      <c r="Y5" s="3"/>
      <c r="Z5" s="3"/>
      <c r="AA5" s="3"/>
      <c r="AD5" s="66" t="s">
        <v>470</v>
      </c>
    </row>
    <row r="6" spans="1:36">
      <c r="B6" s="54" t="s">
        <v>105</v>
      </c>
      <c r="C6" s="54" t="s">
        <v>89</v>
      </c>
      <c r="D6" s="54" t="s">
        <v>394</v>
      </c>
      <c r="E6" s="54" t="s">
        <v>378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652</v>
      </c>
      <c r="L6" s="57" t="s">
        <v>58</v>
      </c>
      <c r="M6" s="54" t="s">
        <v>803</v>
      </c>
      <c r="N6" s="54" t="s">
        <v>9</v>
      </c>
      <c r="O6" s="54" t="s">
        <v>9</v>
      </c>
      <c r="P6" s="1063" t="s">
        <v>5</v>
      </c>
      <c r="Q6" s="1012" t="s">
        <v>87</v>
      </c>
      <c r="R6" s="1012" t="s">
        <v>87</v>
      </c>
      <c r="S6" s="793" t="s">
        <v>733</v>
      </c>
      <c r="T6" s="1012" t="s">
        <v>676</v>
      </c>
      <c r="U6" s="54" t="s">
        <v>713</v>
      </c>
      <c r="V6" s="54" t="s">
        <v>9</v>
      </c>
      <c r="W6" s="1052" t="s">
        <v>699</v>
      </c>
      <c r="X6" s="68" t="s">
        <v>695</v>
      </c>
      <c r="Y6" s="54" t="s">
        <v>66</v>
      </c>
      <c r="Z6" s="54" t="s">
        <v>89</v>
      </c>
      <c r="AA6" s="54" t="s">
        <v>394</v>
      </c>
      <c r="AB6" s="54" t="s">
        <v>36</v>
      </c>
      <c r="AC6" s="54" t="s">
        <v>92</v>
      </c>
      <c r="AD6" s="68" t="s">
        <v>469</v>
      </c>
      <c r="AE6" s="819"/>
    </row>
    <row r="7" spans="1:36">
      <c r="A7" s="819">
        <f>Weather_Input!A5</f>
        <v>37089</v>
      </c>
      <c r="B7" s="622">
        <v>0</v>
      </c>
      <c r="C7" s="622">
        <v>0</v>
      </c>
      <c r="D7" s="622">
        <v>43700</v>
      </c>
      <c r="E7" s="622">
        <v>0</v>
      </c>
      <c r="F7" s="904">
        <v>5300</v>
      </c>
      <c r="G7" s="620">
        <v>1000</v>
      </c>
      <c r="H7" s="620">
        <v>22600</v>
      </c>
      <c r="I7" s="620">
        <v>0</v>
      </c>
      <c r="J7" s="907">
        <v>0</v>
      </c>
      <c r="K7" s="621">
        <v>0</v>
      </c>
      <c r="L7" s="908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7">
        <v>0</v>
      </c>
      <c r="S7" s="1241">
        <v>70000</v>
      </c>
      <c r="T7" s="620">
        <v>0</v>
      </c>
      <c r="U7" s="621">
        <v>123648</v>
      </c>
      <c r="V7" s="621">
        <v>0</v>
      </c>
      <c r="W7" s="619">
        <v>300</v>
      </c>
      <c r="X7" s="907">
        <v>106796</v>
      </c>
      <c r="Y7" s="621">
        <v>200</v>
      </c>
      <c r="Z7" s="1">
        <v>0</v>
      </c>
      <c r="AA7" s="619">
        <v>221546</v>
      </c>
      <c r="AB7" s="619">
        <v>43287</v>
      </c>
      <c r="AC7" s="619">
        <v>3000</v>
      </c>
      <c r="AD7" s="907">
        <v>0</v>
      </c>
      <c r="AE7" s="819">
        <f t="shared" ref="AE7:AE12" si="0">AE6+1</f>
        <v>1</v>
      </c>
      <c r="AH7" s="619"/>
      <c r="AI7" s="619"/>
      <c r="AJ7" s="619"/>
    </row>
    <row r="8" spans="1:36">
      <c r="A8" s="819">
        <f>A7+1</f>
        <v>37090</v>
      </c>
      <c r="B8" s="622">
        <v>0</v>
      </c>
      <c r="C8" s="622">
        <v>0</v>
      </c>
      <c r="D8" s="622">
        <v>0</v>
      </c>
      <c r="E8" s="622">
        <v>0</v>
      </c>
      <c r="F8" s="904">
        <v>0</v>
      </c>
      <c r="G8" s="620">
        <v>1000</v>
      </c>
      <c r="H8" s="620">
        <v>15000</v>
      </c>
      <c r="I8" s="620">
        <v>0</v>
      </c>
      <c r="J8" s="907">
        <v>0</v>
      </c>
      <c r="K8" s="621">
        <v>0</v>
      </c>
      <c r="L8" s="908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7">
        <v>0</v>
      </c>
      <c r="S8" s="1241">
        <v>50000</v>
      </c>
      <c r="T8" s="620">
        <v>0</v>
      </c>
      <c r="U8" s="621">
        <v>129772</v>
      </c>
      <c r="V8" s="621">
        <v>0</v>
      </c>
      <c r="W8" s="619">
        <v>0</v>
      </c>
      <c r="X8" s="907">
        <v>114566</v>
      </c>
      <c r="Y8" s="621">
        <v>200</v>
      </c>
      <c r="Z8" s="1">
        <v>0</v>
      </c>
      <c r="AA8" s="619">
        <v>201546</v>
      </c>
      <c r="AB8" s="619">
        <v>37306</v>
      </c>
      <c r="AC8" s="619">
        <v>3000</v>
      </c>
      <c r="AD8" s="907">
        <v>0</v>
      </c>
      <c r="AE8" s="819">
        <f t="shared" si="0"/>
        <v>2</v>
      </c>
      <c r="AH8" s="619"/>
      <c r="AI8" s="619"/>
      <c r="AJ8" s="619"/>
    </row>
    <row r="9" spans="1:36" s="619" customFormat="1">
      <c r="A9" s="819">
        <f>A8+1</f>
        <v>37091</v>
      </c>
      <c r="B9" s="622">
        <v>0</v>
      </c>
      <c r="C9" s="622">
        <v>0</v>
      </c>
      <c r="D9" s="622">
        <v>0</v>
      </c>
      <c r="E9" s="622">
        <v>0</v>
      </c>
      <c r="F9" s="904">
        <v>0</v>
      </c>
      <c r="G9" s="620">
        <v>1000</v>
      </c>
      <c r="H9" s="620">
        <v>15000</v>
      </c>
      <c r="I9" s="620">
        <v>0</v>
      </c>
      <c r="J9" s="907">
        <v>0</v>
      </c>
      <c r="K9" s="621">
        <v>0</v>
      </c>
      <c r="L9" s="908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7">
        <v>0</v>
      </c>
      <c r="S9" s="1241">
        <v>0</v>
      </c>
      <c r="T9" s="620">
        <v>0</v>
      </c>
      <c r="U9" s="621">
        <v>129772</v>
      </c>
      <c r="V9" s="621">
        <v>0</v>
      </c>
      <c r="W9" s="619">
        <v>0</v>
      </c>
      <c r="X9" s="907">
        <v>104066</v>
      </c>
      <c r="Y9" s="621">
        <v>200</v>
      </c>
      <c r="Z9" s="1">
        <v>0</v>
      </c>
      <c r="AA9" s="619">
        <v>201546</v>
      </c>
      <c r="AB9" s="619">
        <v>32306</v>
      </c>
      <c r="AC9" s="619">
        <v>3000</v>
      </c>
      <c r="AD9" s="907">
        <v>0</v>
      </c>
      <c r="AE9" s="819">
        <f t="shared" si="0"/>
        <v>3</v>
      </c>
    </row>
    <row r="10" spans="1:36">
      <c r="A10" s="819">
        <f>A9+1</f>
        <v>37092</v>
      </c>
      <c r="B10" s="622">
        <v>0</v>
      </c>
      <c r="C10" s="622">
        <v>0</v>
      </c>
      <c r="D10" s="622">
        <v>0</v>
      </c>
      <c r="E10" s="622">
        <v>0</v>
      </c>
      <c r="F10" s="904">
        <v>0</v>
      </c>
      <c r="G10" s="620">
        <v>1000</v>
      </c>
      <c r="H10" s="620">
        <v>15000</v>
      </c>
      <c r="I10" s="620">
        <v>0</v>
      </c>
      <c r="J10" s="907">
        <v>0</v>
      </c>
      <c r="K10" s="621">
        <v>0</v>
      </c>
      <c r="L10" s="908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7">
        <v>0</v>
      </c>
      <c r="S10" s="1241">
        <v>0</v>
      </c>
      <c r="T10" s="620">
        <v>0</v>
      </c>
      <c r="U10" s="621">
        <v>129772</v>
      </c>
      <c r="V10" s="621">
        <v>0</v>
      </c>
      <c r="W10" s="619">
        <v>0</v>
      </c>
      <c r="X10" s="907">
        <v>104066</v>
      </c>
      <c r="Y10" s="621">
        <v>200</v>
      </c>
      <c r="Z10" s="1">
        <v>0</v>
      </c>
      <c r="AA10" s="619">
        <v>201546</v>
      </c>
      <c r="AB10" s="619">
        <v>32306</v>
      </c>
      <c r="AC10" s="619">
        <v>3000</v>
      </c>
      <c r="AD10" s="907">
        <v>0</v>
      </c>
      <c r="AE10" s="819">
        <f t="shared" si="0"/>
        <v>4</v>
      </c>
      <c r="AH10" s="619"/>
      <c r="AI10" s="619"/>
      <c r="AJ10" s="619"/>
    </row>
    <row r="11" spans="1:36">
      <c r="A11" s="819">
        <f>A10+1</f>
        <v>37093</v>
      </c>
      <c r="B11" s="622">
        <v>0</v>
      </c>
      <c r="C11" s="622">
        <v>0</v>
      </c>
      <c r="D11" s="622">
        <v>0</v>
      </c>
      <c r="E11" s="622">
        <v>0</v>
      </c>
      <c r="F11" s="904">
        <v>0</v>
      </c>
      <c r="G11" s="620">
        <v>1000</v>
      </c>
      <c r="H11" s="620">
        <v>15000</v>
      </c>
      <c r="I11" s="620">
        <v>0</v>
      </c>
      <c r="J11" s="907">
        <v>0</v>
      </c>
      <c r="K11" s="621">
        <v>0</v>
      </c>
      <c r="L11" s="908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7">
        <v>0</v>
      </c>
      <c r="S11" s="1241">
        <v>0</v>
      </c>
      <c r="T11" s="620">
        <v>0</v>
      </c>
      <c r="U11" s="621">
        <v>129772</v>
      </c>
      <c r="V11" s="621">
        <v>0</v>
      </c>
      <c r="W11" s="619">
        <v>0</v>
      </c>
      <c r="X11" s="907">
        <v>104066</v>
      </c>
      <c r="Y11" s="621">
        <v>200</v>
      </c>
      <c r="Z11" s="1">
        <v>0</v>
      </c>
      <c r="AA11" s="619">
        <v>201546</v>
      </c>
      <c r="AB11" s="619">
        <v>32306</v>
      </c>
      <c r="AC11" s="619">
        <v>3000</v>
      </c>
      <c r="AD11" s="907">
        <v>0</v>
      </c>
      <c r="AE11" s="819">
        <f t="shared" si="0"/>
        <v>5</v>
      </c>
    </row>
    <row r="12" spans="1:36">
      <c r="A12" s="819">
        <f>A11+1</f>
        <v>37094</v>
      </c>
      <c r="B12" s="622">
        <v>0</v>
      </c>
      <c r="C12" s="622">
        <v>0</v>
      </c>
      <c r="D12" s="622">
        <v>0</v>
      </c>
      <c r="E12" s="622">
        <v>0</v>
      </c>
      <c r="F12" s="904">
        <v>0</v>
      </c>
      <c r="G12" s="620">
        <v>1000</v>
      </c>
      <c r="H12" s="620">
        <v>15000</v>
      </c>
      <c r="I12" s="620">
        <v>0</v>
      </c>
      <c r="J12" s="907">
        <v>0</v>
      </c>
      <c r="K12" s="621">
        <v>0</v>
      </c>
      <c r="L12" s="908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7">
        <v>0</v>
      </c>
      <c r="S12" s="1241">
        <v>0</v>
      </c>
      <c r="T12" s="620">
        <v>0</v>
      </c>
      <c r="U12" s="621">
        <v>129772</v>
      </c>
      <c r="V12" s="621">
        <v>0</v>
      </c>
      <c r="W12" s="619">
        <v>0</v>
      </c>
      <c r="X12" s="907">
        <v>104066</v>
      </c>
      <c r="Y12" s="621">
        <v>200</v>
      </c>
      <c r="Z12" s="1">
        <v>0</v>
      </c>
      <c r="AA12" s="619">
        <v>201546</v>
      </c>
      <c r="AB12" s="619">
        <v>32306</v>
      </c>
      <c r="AC12" s="619">
        <v>3000</v>
      </c>
      <c r="AD12" s="907">
        <v>0</v>
      </c>
      <c r="AE12" s="819">
        <f t="shared" si="0"/>
        <v>6</v>
      </c>
    </row>
    <row r="13" spans="1:36">
      <c r="F13" s="1" t="s">
        <v>9</v>
      </c>
      <c r="H13" s="11"/>
      <c r="O13" s="1" t="s">
        <v>9</v>
      </c>
      <c r="S13" s="1240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2.75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496</v>
      </c>
      <c r="AE5" s="53" t="s">
        <v>9</v>
      </c>
    </row>
    <row r="6" spans="1:128" s="1" customFormat="1" ht="12.75">
      <c r="A6" s="67"/>
      <c r="B6" s="68" t="s">
        <v>378</v>
      </c>
      <c r="C6" s="54" t="s">
        <v>36</v>
      </c>
      <c r="D6" s="54" t="s">
        <v>66</v>
      </c>
      <c r="E6" s="54" t="s">
        <v>89</v>
      </c>
      <c r="F6" s="54" t="s">
        <v>394</v>
      </c>
      <c r="G6" s="57" t="s">
        <v>117</v>
      </c>
      <c r="H6" s="54" t="s">
        <v>652</v>
      </c>
      <c r="I6" s="54" t="s">
        <v>96</v>
      </c>
      <c r="J6" s="54" t="s">
        <v>87</v>
      </c>
      <c r="K6" s="54" t="s">
        <v>528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495</v>
      </c>
    </row>
    <row r="7" spans="1:128" s="1" customFormat="1" ht="12.75">
      <c r="A7" s="820">
        <f>Weather_Input!A5</f>
        <v>37089</v>
      </c>
      <c r="B7" s="904">
        <v>0</v>
      </c>
      <c r="C7" s="620">
        <v>0</v>
      </c>
      <c r="D7" s="620">
        <v>0</v>
      </c>
      <c r="E7" s="620">
        <v>0</v>
      </c>
      <c r="F7" s="620">
        <v>0</v>
      </c>
      <c r="G7" s="908">
        <v>0</v>
      </c>
      <c r="H7" s="620">
        <v>0</v>
      </c>
      <c r="I7" s="905">
        <v>7197</v>
      </c>
      <c r="J7" s="905">
        <v>6420</v>
      </c>
      <c r="K7" s="623">
        <v>0</v>
      </c>
      <c r="L7" s="909">
        <v>0</v>
      </c>
      <c r="M7" s="909">
        <v>0</v>
      </c>
      <c r="N7" s="909">
        <v>0</v>
      </c>
      <c r="O7" s="909">
        <v>0</v>
      </c>
      <c r="P7" s="620">
        <v>0</v>
      </c>
      <c r="Q7" s="909">
        <v>0</v>
      </c>
      <c r="R7" s="620">
        <v>0</v>
      </c>
      <c r="S7" s="821">
        <v>0</v>
      </c>
      <c r="T7" s="620">
        <v>0</v>
      </c>
      <c r="U7" s="620">
        <v>0</v>
      </c>
      <c r="V7" s="821">
        <v>0</v>
      </c>
      <c r="W7" s="620">
        <v>0</v>
      </c>
      <c r="X7" s="620">
        <v>0</v>
      </c>
      <c r="Y7" s="821">
        <v>0</v>
      </c>
      <c r="Z7" s="620">
        <v>0</v>
      </c>
      <c r="AA7" s="620">
        <v>0</v>
      </c>
      <c r="AB7" s="908">
        <v>0</v>
      </c>
      <c r="AC7" s="620">
        <v>0</v>
      </c>
      <c r="AD7" s="620">
        <v>0</v>
      </c>
      <c r="AE7" s="620">
        <v>0</v>
      </c>
      <c r="AF7" s="819">
        <f>Weather_Input!A5</f>
        <v>37089</v>
      </c>
      <c r="AG7" s="619"/>
      <c r="AH7" s="619"/>
      <c r="AI7" s="619"/>
      <c r="AJ7" s="619"/>
      <c r="AK7" s="619"/>
    </row>
    <row r="8" spans="1:128" s="1" customFormat="1" ht="12.75">
      <c r="A8" s="820">
        <f>Weather_Input!A6</f>
        <v>37090</v>
      </c>
      <c r="B8" s="904">
        <v>0</v>
      </c>
      <c r="C8" s="620">
        <v>0</v>
      </c>
      <c r="D8" s="620">
        <v>0</v>
      </c>
      <c r="E8" s="620">
        <v>0</v>
      </c>
      <c r="F8" s="620">
        <v>0</v>
      </c>
      <c r="G8" s="908">
        <v>0</v>
      </c>
      <c r="H8" s="620">
        <v>0</v>
      </c>
      <c r="I8" s="905">
        <v>7197</v>
      </c>
      <c r="J8" s="905">
        <v>0</v>
      </c>
      <c r="K8" s="623">
        <v>0</v>
      </c>
      <c r="L8" s="909">
        <v>0</v>
      </c>
      <c r="M8" s="909">
        <v>0</v>
      </c>
      <c r="N8" s="909">
        <v>0</v>
      </c>
      <c r="O8" s="909">
        <v>0</v>
      </c>
      <c r="P8" s="620">
        <v>0</v>
      </c>
      <c r="Q8" s="909">
        <v>0</v>
      </c>
      <c r="R8" s="620">
        <v>0</v>
      </c>
      <c r="S8" s="821">
        <v>0</v>
      </c>
      <c r="T8" s="620">
        <v>0</v>
      </c>
      <c r="U8" s="620">
        <v>0</v>
      </c>
      <c r="V8" s="821">
        <v>0</v>
      </c>
      <c r="W8" s="620">
        <v>0</v>
      </c>
      <c r="X8" s="620">
        <v>0</v>
      </c>
      <c r="Y8" s="821">
        <v>0</v>
      </c>
      <c r="Z8" s="620">
        <v>0</v>
      </c>
      <c r="AA8" s="620">
        <v>0</v>
      </c>
      <c r="AB8" s="908">
        <v>0</v>
      </c>
      <c r="AC8" s="620">
        <v>0</v>
      </c>
      <c r="AD8" s="620">
        <v>0</v>
      </c>
      <c r="AE8" s="620">
        <v>0</v>
      </c>
      <c r="AF8" s="820">
        <f>AF7+1</f>
        <v>37090</v>
      </c>
      <c r="AG8" s="619"/>
      <c r="AH8" s="619"/>
      <c r="AI8" s="619"/>
      <c r="AJ8" s="619"/>
      <c r="AK8" s="619"/>
    </row>
    <row r="9" spans="1:128" s="1" customFormat="1" ht="12.75">
      <c r="A9" s="819">
        <f>A8+1</f>
        <v>37091</v>
      </c>
      <c r="B9" s="904">
        <v>0</v>
      </c>
      <c r="C9" s="620">
        <v>0</v>
      </c>
      <c r="D9" s="620">
        <v>0</v>
      </c>
      <c r="E9" s="620">
        <v>0</v>
      </c>
      <c r="F9" s="620">
        <v>0</v>
      </c>
      <c r="G9" s="908">
        <v>0</v>
      </c>
      <c r="H9" s="620">
        <v>0</v>
      </c>
      <c r="I9" s="905">
        <v>7197</v>
      </c>
      <c r="J9" s="905">
        <v>0</v>
      </c>
      <c r="K9" s="623">
        <v>0</v>
      </c>
      <c r="L9" s="909">
        <v>0</v>
      </c>
      <c r="M9" s="909">
        <v>0</v>
      </c>
      <c r="N9" s="909">
        <v>0</v>
      </c>
      <c r="O9" s="909">
        <v>0</v>
      </c>
      <c r="P9" s="620">
        <v>0</v>
      </c>
      <c r="Q9" s="909">
        <v>0</v>
      </c>
      <c r="R9" s="620">
        <v>0</v>
      </c>
      <c r="S9" s="821">
        <v>0</v>
      </c>
      <c r="T9" s="620">
        <v>0</v>
      </c>
      <c r="U9" s="620">
        <v>0</v>
      </c>
      <c r="V9" s="821">
        <v>0</v>
      </c>
      <c r="W9" s="620">
        <v>0</v>
      </c>
      <c r="X9" s="620">
        <v>0</v>
      </c>
      <c r="Y9" s="821">
        <v>0</v>
      </c>
      <c r="Z9" s="620">
        <v>0</v>
      </c>
      <c r="AA9" s="620">
        <v>0</v>
      </c>
      <c r="AB9" s="908">
        <v>0</v>
      </c>
      <c r="AC9" s="620">
        <v>0</v>
      </c>
      <c r="AD9" s="620">
        <v>0</v>
      </c>
      <c r="AE9" s="620">
        <v>0</v>
      </c>
      <c r="AF9" s="819">
        <f>AF8+1</f>
        <v>37091</v>
      </c>
      <c r="AG9" s="619"/>
      <c r="AH9" s="619"/>
      <c r="AI9" s="619"/>
      <c r="AJ9" s="619"/>
      <c r="AK9" s="619"/>
    </row>
    <row r="10" spans="1:128" s="1" customFormat="1" ht="12.75">
      <c r="A10" s="819">
        <f>A9+1</f>
        <v>37092</v>
      </c>
      <c r="B10" s="904">
        <v>0</v>
      </c>
      <c r="C10" s="620">
        <v>0</v>
      </c>
      <c r="D10" s="620">
        <v>0</v>
      </c>
      <c r="E10" s="620">
        <v>0</v>
      </c>
      <c r="F10" s="620">
        <v>0</v>
      </c>
      <c r="G10" s="908">
        <v>0</v>
      </c>
      <c r="H10" s="620">
        <v>0</v>
      </c>
      <c r="I10" s="905">
        <v>7197</v>
      </c>
      <c r="J10" s="905">
        <v>0</v>
      </c>
      <c r="K10" s="623">
        <v>0</v>
      </c>
      <c r="L10" s="909">
        <v>0</v>
      </c>
      <c r="M10" s="909">
        <v>0</v>
      </c>
      <c r="N10" s="909">
        <v>0</v>
      </c>
      <c r="O10" s="909">
        <v>0</v>
      </c>
      <c r="P10" s="620">
        <v>0</v>
      </c>
      <c r="Q10" s="909">
        <v>0</v>
      </c>
      <c r="R10" s="620">
        <v>0</v>
      </c>
      <c r="S10" s="821">
        <v>0</v>
      </c>
      <c r="T10" s="620">
        <v>0</v>
      </c>
      <c r="U10" s="620">
        <v>0</v>
      </c>
      <c r="V10" s="821">
        <v>0</v>
      </c>
      <c r="W10" s="620">
        <v>0</v>
      </c>
      <c r="X10" s="620">
        <v>0</v>
      </c>
      <c r="Y10" s="821">
        <v>0</v>
      </c>
      <c r="Z10" s="620">
        <v>0</v>
      </c>
      <c r="AA10" s="620">
        <v>0</v>
      </c>
      <c r="AB10" s="908">
        <v>0</v>
      </c>
      <c r="AC10" s="620">
        <v>0</v>
      </c>
      <c r="AD10" s="620">
        <v>0</v>
      </c>
      <c r="AE10" s="620">
        <v>0</v>
      </c>
      <c r="AF10" s="819">
        <f>AF9+1</f>
        <v>37092</v>
      </c>
      <c r="AG10" s="619"/>
      <c r="AH10" s="619"/>
      <c r="AI10" s="619"/>
      <c r="AJ10" s="619"/>
      <c r="AK10" s="619"/>
    </row>
    <row r="11" spans="1:128" s="1" customFormat="1" ht="12.75">
      <c r="A11" s="819">
        <f>A10+1</f>
        <v>37093</v>
      </c>
      <c r="B11" s="904">
        <v>0</v>
      </c>
      <c r="C11" s="620">
        <v>0</v>
      </c>
      <c r="D11" s="620">
        <v>0</v>
      </c>
      <c r="E11" s="620">
        <v>0</v>
      </c>
      <c r="F11" s="620">
        <v>0</v>
      </c>
      <c r="G11" s="908">
        <v>0</v>
      </c>
      <c r="H11" s="620">
        <v>0</v>
      </c>
      <c r="I11" s="905">
        <v>7197</v>
      </c>
      <c r="J11" s="905">
        <v>0</v>
      </c>
      <c r="K11" s="623">
        <v>0</v>
      </c>
      <c r="L11" s="909">
        <v>0</v>
      </c>
      <c r="M11" s="909">
        <v>0</v>
      </c>
      <c r="N11" s="909">
        <v>0</v>
      </c>
      <c r="O11" s="909">
        <v>0</v>
      </c>
      <c r="P11" s="620">
        <v>0</v>
      </c>
      <c r="Q11" s="909">
        <v>0</v>
      </c>
      <c r="R11" s="620">
        <v>0</v>
      </c>
      <c r="S11" s="821">
        <v>0</v>
      </c>
      <c r="T11" s="620">
        <v>0</v>
      </c>
      <c r="U11" s="620">
        <v>0</v>
      </c>
      <c r="V11" s="821">
        <v>0</v>
      </c>
      <c r="W11" s="620">
        <v>0</v>
      </c>
      <c r="X11" s="620">
        <v>0</v>
      </c>
      <c r="Y11" s="821">
        <v>0</v>
      </c>
      <c r="Z11" s="620">
        <v>0</v>
      </c>
      <c r="AA11" s="620">
        <v>0</v>
      </c>
      <c r="AB11" s="908">
        <v>0</v>
      </c>
      <c r="AC11" s="620">
        <v>0</v>
      </c>
      <c r="AD11" s="620">
        <v>0</v>
      </c>
      <c r="AE11" s="620">
        <v>0</v>
      </c>
      <c r="AF11" s="819">
        <f>AF10+1</f>
        <v>37093</v>
      </c>
      <c r="AG11" s="619"/>
      <c r="AH11" s="619"/>
      <c r="AI11" s="619"/>
      <c r="AJ11" s="619"/>
      <c r="AK11" s="619"/>
    </row>
    <row r="12" spans="1:128" s="1" customFormat="1" ht="12.75">
      <c r="A12" s="819">
        <f>A11+1</f>
        <v>37094</v>
      </c>
      <c r="B12" s="904">
        <v>0</v>
      </c>
      <c r="C12" s="620">
        <v>0</v>
      </c>
      <c r="D12" s="620">
        <v>0</v>
      </c>
      <c r="E12" s="620">
        <v>0</v>
      </c>
      <c r="F12" s="620">
        <v>0</v>
      </c>
      <c r="G12" s="908">
        <v>0</v>
      </c>
      <c r="H12" s="620">
        <v>0</v>
      </c>
      <c r="I12" s="905">
        <v>7197</v>
      </c>
      <c r="J12" s="905">
        <v>0</v>
      </c>
      <c r="K12" s="623">
        <v>0</v>
      </c>
      <c r="L12" s="909">
        <v>0</v>
      </c>
      <c r="M12" s="909">
        <v>0</v>
      </c>
      <c r="N12" s="909">
        <v>0</v>
      </c>
      <c r="O12" s="909">
        <v>0</v>
      </c>
      <c r="P12" s="620">
        <v>0</v>
      </c>
      <c r="Q12" s="909">
        <v>0</v>
      </c>
      <c r="R12" s="620">
        <v>0</v>
      </c>
      <c r="S12" s="821">
        <v>0</v>
      </c>
      <c r="T12" s="620">
        <v>0</v>
      </c>
      <c r="U12" s="620">
        <v>0</v>
      </c>
      <c r="V12" s="821">
        <v>0</v>
      </c>
      <c r="W12" s="620">
        <v>0</v>
      </c>
      <c r="X12" s="620">
        <v>0</v>
      </c>
      <c r="Y12" s="821">
        <v>0</v>
      </c>
      <c r="Z12" s="620">
        <v>0</v>
      </c>
      <c r="AA12" s="620">
        <v>0</v>
      </c>
      <c r="AB12" s="908">
        <v>0</v>
      </c>
      <c r="AC12" s="620">
        <v>0</v>
      </c>
      <c r="AD12" s="620">
        <v>0</v>
      </c>
      <c r="AE12" s="620">
        <v>0</v>
      </c>
      <c r="AF12" s="819">
        <f>AF11+1</f>
        <v>37094</v>
      </c>
      <c r="AG12" s="619"/>
      <c r="AH12" s="619"/>
      <c r="AI12" s="619"/>
      <c r="AJ12" s="619"/>
      <c r="AK12" s="619"/>
    </row>
    <row r="13" spans="1:128" s="1" customFormat="1" ht="12.75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1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2.75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77734375" defaultRowHeight="12.75"/>
  <cols>
    <col min="1" max="16384" width="8.7773437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596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394</v>
      </c>
      <c r="N5" s="3"/>
      <c r="O5" s="3" t="s">
        <v>126</v>
      </c>
      <c r="P5" s="3" t="s">
        <v>126</v>
      </c>
      <c r="Q5" s="3" t="s">
        <v>36</v>
      </c>
      <c r="R5" s="1" t="s">
        <v>497</v>
      </c>
      <c r="T5" s="66"/>
    </row>
    <row r="6" spans="1:23">
      <c r="B6" s="54" t="s">
        <v>378</v>
      </c>
      <c r="C6" s="57" t="s">
        <v>106</v>
      </c>
      <c r="D6" s="54" t="s">
        <v>107</v>
      </c>
      <c r="E6" s="81" t="s">
        <v>87</v>
      </c>
      <c r="F6" s="54" t="s">
        <v>652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503</v>
      </c>
      <c r="N6" s="54" t="s">
        <v>89</v>
      </c>
      <c r="O6" s="81" t="s">
        <v>128</v>
      </c>
      <c r="P6" s="81" t="s">
        <v>599</v>
      </c>
      <c r="Q6" s="54" t="s">
        <v>126</v>
      </c>
      <c r="R6" s="1012" t="s">
        <v>36</v>
      </c>
      <c r="S6" s="54" t="s">
        <v>394</v>
      </c>
      <c r="T6" s="68" t="s">
        <v>59</v>
      </c>
    </row>
    <row r="7" spans="1:23">
      <c r="A7" s="819">
        <f>Weather_Input!A5</f>
        <v>37089</v>
      </c>
      <c r="B7" s="622">
        <v>0</v>
      </c>
      <c r="C7" s="623">
        <v>0</v>
      </c>
      <c r="D7" s="622">
        <v>0</v>
      </c>
      <c r="E7" s="622">
        <v>0</v>
      </c>
      <c r="F7" s="622">
        <v>600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5">
        <v>0</v>
      </c>
      <c r="O7" s="622">
        <v>0</v>
      </c>
      <c r="P7" s="622">
        <v>12000</v>
      </c>
      <c r="Q7" s="622">
        <v>27323</v>
      </c>
      <c r="R7" s="622">
        <v>15990</v>
      </c>
      <c r="S7" s="622">
        <v>0</v>
      </c>
      <c r="T7" s="622">
        <v>0</v>
      </c>
      <c r="U7" s="819">
        <f t="shared" ref="U7:U12" si="0">U6+1</f>
        <v>1</v>
      </c>
      <c r="V7" s="619"/>
      <c r="W7" s="619"/>
    </row>
    <row r="8" spans="1:23">
      <c r="A8" s="819">
        <f>A7+1</f>
        <v>37090</v>
      </c>
      <c r="B8" s="622">
        <v>0</v>
      </c>
      <c r="C8" s="623">
        <v>0</v>
      </c>
      <c r="D8" s="622">
        <v>0</v>
      </c>
      <c r="E8" s="622">
        <v>0</v>
      </c>
      <c r="F8" s="622">
        <v>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5">
        <v>0</v>
      </c>
      <c r="O8" s="622">
        <v>0</v>
      </c>
      <c r="P8" s="622">
        <v>12000</v>
      </c>
      <c r="Q8" s="622">
        <v>26650</v>
      </c>
      <c r="R8" s="622">
        <v>15317</v>
      </c>
      <c r="S8" s="622">
        <v>0</v>
      </c>
      <c r="T8" s="622">
        <v>0</v>
      </c>
      <c r="U8" s="819">
        <f t="shared" si="0"/>
        <v>2</v>
      </c>
      <c r="V8" s="619"/>
      <c r="W8" s="619"/>
    </row>
    <row r="9" spans="1:23">
      <c r="A9" s="819">
        <f>A8+1</f>
        <v>37091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5">
        <v>0</v>
      </c>
      <c r="O9" s="622">
        <v>0</v>
      </c>
      <c r="P9" s="622">
        <v>12000</v>
      </c>
      <c r="Q9" s="622">
        <v>26650</v>
      </c>
      <c r="R9" s="622">
        <v>15317</v>
      </c>
      <c r="S9" s="622">
        <v>0</v>
      </c>
      <c r="T9" s="622">
        <v>0</v>
      </c>
      <c r="U9" s="819">
        <f t="shared" si="0"/>
        <v>3</v>
      </c>
      <c r="V9" s="619"/>
      <c r="W9" s="619"/>
    </row>
    <row r="10" spans="1:23">
      <c r="A10" s="819">
        <f>A9+1</f>
        <v>37092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5">
        <v>0</v>
      </c>
      <c r="O10" s="622">
        <v>0</v>
      </c>
      <c r="P10" s="622">
        <v>12000</v>
      </c>
      <c r="Q10" s="622">
        <v>26650</v>
      </c>
      <c r="R10" s="622">
        <v>15317</v>
      </c>
      <c r="S10" s="622">
        <v>0</v>
      </c>
      <c r="T10" s="622">
        <v>0</v>
      </c>
      <c r="U10" s="819">
        <f t="shared" si="0"/>
        <v>4</v>
      </c>
      <c r="V10" s="619"/>
      <c r="W10" s="619"/>
    </row>
    <row r="11" spans="1:23">
      <c r="A11" s="819">
        <f>A10+1</f>
        <v>37093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5">
        <v>0</v>
      </c>
      <c r="O11" s="622">
        <v>0</v>
      </c>
      <c r="P11" s="622">
        <v>12000</v>
      </c>
      <c r="Q11" s="622">
        <v>26650</v>
      </c>
      <c r="R11" s="622">
        <v>15317</v>
      </c>
      <c r="S11" s="622">
        <v>0</v>
      </c>
      <c r="T11" s="622">
        <v>0</v>
      </c>
      <c r="U11" s="819">
        <f t="shared" si="0"/>
        <v>5</v>
      </c>
      <c r="V11" s="619"/>
      <c r="W11" s="619"/>
    </row>
    <row r="12" spans="1:23">
      <c r="A12" s="819">
        <f>A11+1</f>
        <v>37094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5">
        <v>0</v>
      </c>
      <c r="O12" s="622">
        <v>0</v>
      </c>
      <c r="P12" s="622">
        <v>12000</v>
      </c>
      <c r="Q12" s="622">
        <v>26650</v>
      </c>
      <c r="R12" s="622">
        <v>15317</v>
      </c>
      <c r="S12" s="622">
        <v>0</v>
      </c>
      <c r="T12" s="622">
        <v>0</v>
      </c>
      <c r="U12" s="819">
        <f t="shared" si="0"/>
        <v>6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49" zoomScale="75" workbookViewId="0">
      <selection activeCell="A49" sqref="A49"/>
    </sheetView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63" t="s">
        <v>0</v>
      </c>
      <c r="B1" s="822"/>
      <c r="C1" s="886"/>
      <c r="D1" s="822"/>
      <c r="E1" s="822"/>
      <c r="F1" s="822" t="s">
        <v>9</v>
      </c>
      <c r="G1" s="822" t="s">
        <v>130</v>
      </c>
      <c r="H1" s="823" t="str">
        <f>D3</f>
        <v>TUE</v>
      </c>
      <c r="I1" s="824">
        <f>D4</f>
        <v>37089</v>
      </c>
    </row>
    <row r="2" spans="1:256" ht="18.95" customHeight="1">
      <c r="A2" s="825" t="s">
        <v>131</v>
      </c>
      <c r="B2" s="826"/>
      <c r="C2" s="826"/>
      <c r="D2" s="826"/>
      <c r="E2" s="826"/>
      <c r="F2" s="826"/>
      <c r="G2" s="826"/>
      <c r="H2" s="826"/>
      <c r="I2" s="827"/>
    </row>
    <row r="3" spans="1:256" ht="18.95" customHeight="1" thickBot="1">
      <c r="A3" s="828"/>
      <c r="B3" s="826"/>
      <c r="C3" s="826"/>
      <c r="D3" s="829" t="str">
        <f t="shared" ref="D3:I3" si="0">CHOOSE(WEEKDAY(D4),"SUN","MON","TUE","WED","THU","FRI","SAT")</f>
        <v>TUE</v>
      </c>
      <c r="E3" s="829" t="str">
        <f t="shared" si="0"/>
        <v>WED</v>
      </c>
      <c r="F3" s="829" t="str">
        <f t="shared" si="0"/>
        <v>THU</v>
      </c>
      <c r="G3" s="829" t="str">
        <f t="shared" si="0"/>
        <v>FRI</v>
      </c>
      <c r="H3" s="829" t="str">
        <f t="shared" si="0"/>
        <v>SAT</v>
      </c>
      <c r="I3" s="830" t="str">
        <f t="shared" si="0"/>
        <v>SUN</v>
      </c>
    </row>
    <row r="4" spans="1:256" ht="18.95" customHeight="1" thickBot="1">
      <c r="A4" s="831"/>
      <c r="B4" s="832"/>
      <c r="C4" s="832"/>
      <c r="D4" s="461">
        <f>Weather_Input!A5</f>
        <v>37089</v>
      </c>
      <c r="E4" s="461">
        <f>Weather_Input!A6</f>
        <v>37090</v>
      </c>
      <c r="F4" s="461">
        <f>Weather_Input!A7</f>
        <v>37091</v>
      </c>
      <c r="G4" s="461">
        <f>Weather_Input!A8</f>
        <v>37092</v>
      </c>
      <c r="H4" s="461">
        <f>Weather_Input!A9</f>
        <v>37093</v>
      </c>
      <c r="I4" s="462">
        <f>Weather_Input!A10</f>
        <v>37094</v>
      </c>
    </row>
    <row r="5" spans="1:256" ht="18.95" customHeight="1" thickTop="1">
      <c r="A5" s="835" t="s">
        <v>132</v>
      </c>
      <c r="B5" s="826"/>
      <c r="C5" s="826" t="s">
        <v>133</v>
      </c>
      <c r="D5" s="463" t="str">
        <f>TEXT(Weather_Input!B5,"0")&amp;"/"&amp;TEXT(Weather_Input!C5,"0") &amp; "/" &amp; TEXT((Weather_Input!B5+Weather_Input!C5)/2,"0")</f>
        <v>85/72/79</v>
      </c>
      <c r="E5" s="463" t="str">
        <f>TEXT(Weather_Input!B6,"0")&amp;"/"&amp;TEXT(Weather_Input!C6,"0") &amp; "/" &amp; TEXT((Weather_Input!B6+Weather_Input!C6)/2,"0")</f>
        <v>90/72/81</v>
      </c>
      <c r="F5" s="463" t="str">
        <f>TEXT(Weather_Input!B7,"0")&amp;"/"&amp;TEXT(Weather_Input!C7,"0") &amp; "/" &amp; TEXT((Weather_Input!B7+Weather_Input!C7)/2,"0")</f>
        <v>91/70/81</v>
      </c>
      <c r="G5" s="463" t="str">
        <f>TEXT(Weather_Input!B8,"0")&amp;"/"&amp;TEXT(Weather_Input!C8,"0") &amp; "/" &amp; TEXT((Weather_Input!B8+Weather_Input!C8)/2,"0")</f>
        <v>91/71/81</v>
      </c>
      <c r="H5" s="463" t="str">
        <f>TEXT(Weather_Input!B9,"0")&amp;"/"&amp;TEXT(Weather_Input!C9,"0") &amp; "/" &amp; TEXT((Weather_Input!B9+Weather_Input!C9)/2,"0")</f>
        <v>91/72/82</v>
      </c>
      <c r="I5" s="464" t="str">
        <f>TEXT(Weather_Input!B10,"0")&amp;"/"&amp;TEXT(Weather_Input!C10,"0") &amp; "/" &amp; TEXT((Weather_Input!B10+Weather_Input!C10)/2,"0")</f>
        <v>91/72/82</v>
      </c>
    </row>
    <row r="6" spans="1:256" ht="18.95" customHeight="1">
      <c r="A6" s="838" t="s">
        <v>134</v>
      </c>
      <c r="B6" s="826"/>
      <c r="C6" s="826"/>
      <c r="D6" s="463">
        <f>PGL_Deliveries!C5/1000</f>
        <v>198</v>
      </c>
      <c r="E6" s="463">
        <f>PGL_Deliveries!C6/1000</f>
        <v>195</v>
      </c>
      <c r="F6" s="463">
        <f>PGL_Deliveries!C7/1000</f>
        <v>195</v>
      </c>
      <c r="G6" s="463">
        <f>PGL_Deliveries!C8/1000</f>
        <v>185</v>
      </c>
      <c r="H6" s="463">
        <f>PGL_Deliveries!C9/1000</f>
        <v>175</v>
      </c>
      <c r="I6" s="464">
        <f>PGL_Deliveries!C10/1000</f>
        <v>185</v>
      </c>
    </row>
    <row r="7" spans="1:256" ht="18.95" customHeight="1">
      <c r="A7" s="838" t="s">
        <v>536</v>
      </c>
      <c r="B7" s="826" t="s">
        <v>9</v>
      </c>
      <c r="C7" s="826"/>
      <c r="D7" s="463">
        <f>PGL_Requirements!G7/1000*0.5</f>
        <v>113.9</v>
      </c>
      <c r="E7" s="463">
        <f>PGL_Requirements!G8/1000*0.5</f>
        <v>34.630000000000003</v>
      </c>
      <c r="F7" s="463">
        <f>PGL_Requirements!G9/1000*0.5</f>
        <v>0</v>
      </c>
      <c r="G7" s="463">
        <f>PGL_Requirements!G10/1000*0.5</f>
        <v>0</v>
      </c>
      <c r="H7" s="463">
        <f>PGL_Requirements!G11/1000*0.5</f>
        <v>0</v>
      </c>
      <c r="I7" s="464">
        <f>PGL_Requirements!G12/1000*0.5</f>
        <v>0</v>
      </c>
    </row>
    <row r="8" spans="1:256" ht="18.95" customHeight="1">
      <c r="A8" s="838" t="s">
        <v>774</v>
      </c>
      <c r="B8" s="826"/>
      <c r="C8" s="826"/>
      <c r="D8" s="463">
        <f>PGL_Requirements!J7/1000</f>
        <v>28.5</v>
      </c>
      <c r="E8" s="463">
        <f>PGL_Requirements!J8/1000</f>
        <v>30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95" customHeight="1">
      <c r="A9" s="835" t="s">
        <v>775</v>
      </c>
      <c r="B9" s="826" t="s">
        <v>9</v>
      </c>
      <c r="C9" s="839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95" customHeight="1">
      <c r="A10" s="835" t="s">
        <v>790</v>
      </c>
      <c r="B10" s="826"/>
      <c r="C10" s="839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95" customHeight="1">
      <c r="A11" s="835" t="s">
        <v>138</v>
      </c>
      <c r="B11" s="826" t="s">
        <v>139</v>
      </c>
      <c r="C11" s="826" t="s">
        <v>58</v>
      </c>
      <c r="D11" s="463">
        <f>PGL_Requirements!O7/1000</f>
        <v>103</v>
      </c>
      <c r="E11" s="463">
        <f>PGL_Requirements!O8/1000</f>
        <v>132</v>
      </c>
      <c r="F11" s="463">
        <f>PGL_Requirements!O9/1000</f>
        <v>132</v>
      </c>
      <c r="G11" s="463">
        <f>PGL_Requirements!O10/1000</f>
        <v>132</v>
      </c>
      <c r="H11" s="463">
        <f>PGL_Requirements!O11/1000</f>
        <v>132</v>
      </c>
      <c r="I11" s="464">
        <f>PGL_Requirements!O12/1000</f>
        <v>132</v>
      </c>
    </row>
    <row r="12" spans="1:256" ht="18.95" customHeight="1">
      <c r="A12" s="835"/>
      <c r="B12" s="826"/>
      <c r="C12" s="826" t="s">
        <v>97</v>
      </c>
      <c r="D12" s="463">
        <f>PGL_Requirements!P7/1000</f>
        <v>1.5449999999999999</v>
      </c>
      <c r="E12" s="463">
        <f>PGL_Requirements!P8/1000</f>
        <v>1.98</v>
      </c>
      <c r="F12" s="463">
        <f>PGL_Requirements!P9/1000</f>
        <v>1.98</v>
      </c>
      <c r="G12" s="463">
        <f>PGL_Requirements!P10/1000</f>
        <v>1.98</v>
      </c>
      <c r="H12" s="463">
        <f>PGL_Requirements!P11/1000</f>
        <v>1.98</v>
      </c>
      <c r="I12" s="464">
        <f>PGL_Requirements!P12/1000</f>
        <v>1.98</v>
      </c>
    </row>
    <row r="13" spans="1:256" ht="18.95" customHeight="1">
      <c r="A13" s="835"/>
      <c r="C13" s="826" t="s">
        <v>690</v>
      </c>
      <c r="D13" s="463">
        <f>PGL_Requirements!Q7/1000</f>
        <v>0.62</v>
      </c>
      <c r="E13" s="463">
        <f>PGL_Requirements!Q8/1000</f>
        <v>0.62</v>
      </c>
      <c r="F13" s="463">
        <f>PGL_Requirements!Q9/1000</f>
        <v>0.62</v>
      </c>
      <c r="G13" s="463">
        <f>PGL_Requirements!Q10/1000</f>
        <v>0.62</v>
      </c>
      <c r="H13" s="463">
        <f>PGL_Requirements!Q11/1000</f>
        <v>0.62</v>
      </c>
      <c r="I13" s="464">
        <f>PGL_Requirements!Q12/1000</f>
        <v>0.62</v>
      </c>
    </row>
    <row r="14" spans="1:256" ht="18.95" customHeight="1">
      <c r="A14" s="835"/>
      <c r="C14" s="826" t="s">
        <v>719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95" customHeight="1">
      <c r="A15" s="835"/>
      <c r="B15" s="826" t="s">
        <v>137</v>
      </c>
      <c r="C15" s="826" t="s">
        <v>777</v>
      </c>
      <c r="D15" s="463">
        <f>PGL_Requirements!T7/1000</f>
        <v>0.2</v>
      </c>
      <c r="E15" s="463">
        <f>PGL_Requirements!T8/1000</f>
        <v>0.2</v>
      </c>
      <c r="F15" s="463">
        <f>PGL_Requirements!T9/1000</f>
        <v>0.2</v>
      </c>
      <c r="G15" s="463">
        <f>PGL_Requirements!T10/1000</f>
        <v>0.2</v>
      </c>
      <c r="H15" s="463">
        <f>PGL_Requirements!T11/1000</f>
        <v>0.2</v>
      </c>
      <c r="I15" s="464">
        <f>PGL_Requirements!T12/1000</f>
        <v>0.2</v>
      </c>
    </row>
    <row r="16" spans="1:256" ht="18.95" customHeight="1">
      <c r="A16" s="835"/>
      <c r="B16" s="826"/>
      <c r="C16" s="826" t="s">
        <v>779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95" customHeight="1">
      <c r="A17" s="835"/>
      <c r="B17" s="826" t="s">
        <v>135</v>
      </c>
      <c r="C17" s="826" t="s">
        <v>87</v>
      </c>
      <c r="D17" s="463">
        <f>PGL_Requirements!N7/1000</f>
        <v>11.16</v>
      </c>
      <c r="E17" s="463">
        <f>PGL_Requirements!N8/1000</f>
        <v>0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95" customHeight="1">
      <c r="A18" s="835" t="s">
        <v>800</v>
      </c>
      <c r="B18" s="842" t="s">
        <v>9</v>
      </c>
      <c r="C18" s="842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95" customHeight="1">
      <c r="A19" s="835" t="s">
        <v>787</v>
      </c>
      <c r="B19" s="840"/>
      <c r="C19" s="842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95" customHeight="1">
      <c r="A20" s="838" t="s">
        <v>141</v>
      </c>
      <c r="B20" s="826"/>
      <c r="C20" s="826"/>
      <c r="D20" s="463">
        <f>PGL_Requirements!F7/1000</f>
        <v>25.8</v>
      </c>
      <c r="E20" s="463">
        <f>PGL_Requirements!F8/1000</f>
        <v>0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95" customHeight="1">
      <c r="A21" s="835" t="s">
        <v>142</v>
      </c>
      <c r="B21" s="826" t="s">
        <v>705</v>
      </c>
      <c r="C21" s="826"/>
      <c r="D21" s="463">
        <f>PGL_Requirements!I7/1000</f>
        <v>0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95" customHeight="1">
      <c r="A22" s="835"/>
      <c r="B22" s="826" t="s">
        <v>89</v>
      </c>
      <c r="C22" s="826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95" customHeight="1">
      <c r="A23" s="835"/>
      <c r="B23" s="826" t="s">
        <v>394</v>
      </c>
      <c r="C23" s="826"/>
      <c r="D23" s="463">
        <f>PGL_Requirements!D7/1000</f>
        <v>0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95" customHeight="1">
      <c r="A24" s="835"/>
      <c r="B24" s="826" t="s">
        <v>92</v>
      </c>
      <c r="C24" s="826"/>
      <c r="D24" s="465">
        <f>PGL_Requirements!E7/1000</f>
        <v>0</v>
      </c>
      <c r="E24" s="465">
        <f>PGL_Requirements!E8/1000</f>
        <v>3</v>
      </c>
      <c r="F24" s="465">
        <f>PGL_Requirements!E9/1000</f>
        <v>3</v>
      </c>
      <c r="G24" s="465">
        <f>PGL_Requirements!E10/1000</f>
        <v>3</v>
      </c>
      <c r="H24" s="465">
        <f>PGL_Requirements!E11/1000</f>
        <v>3</v>
      </c>
      <c r="I24" s="466">
        <f>PGL_Requirements!E12/1000</f>
        <v>3</v>
      </c>
    </row>
    <row r="25" spans="1:10" ht="18.95" customHeight="1" thickBot="1">
      <c r="A25" s="843" t="s">
        <v>143</v>
      </c>
      <c r="B25" s="844"/>
      <c r="C25" s="844"/>
      <c r="D25" s="467">
        <f t="shared" ref="D25:I25" si="1">SUM(D6:D24)</f>
        <v>482.72500000000002</v>
      </c>
      <c r="E25" s="467">
        <f t="shared" si="1"/>
        <v>397.43</v>
      </c>
      <c r="F25" s="467">
        <f t="shared" si="1"/>
        <v>332.8</v>
      </c>
      <c r="G25" s="467">
        <f t="shared" si="1"/>
        <v>322.8</v>
      </c>
      <c r="H25" s="467">
        <f t="shared" si="1"/>
        <v>312.8</v>
      </c>
      <c r="I25" s="1099">
        <f t="shared" si="1"/>
        <v>322.8</v>
      </c>
    </row>
    <row r="26" spans="1:10" ht="18.95" customHeight="1" thickTop="1" thickBot="1">
      <c r="A26" s="847"/>
      <c r="B26" s="826"/>
      <c r="C26" s="826"/>
      <c r="D26" s="468"/>
      <c r="E26" s="469"/>
      <c r="F26" s="469"/>
      <c r="G26" s="469"/>
      <c r="H26" s="469"/>
      <c r="I26" s="470"/>
    </row>
    <row r="27" spans="1:10" ht="18.95" customHeight="1" thickTop="1" thickBot="1">
      <c r="A27" s="848" t="s">
        <v>144</v>
      </c>
      <c r="B27" s="849"/>
      <c r="C27" s="849"/>
      <c r="D27" s="471"/>
      <c r="E27" s="472"/>
      <c r="F27" s="472"/>
      <c r="G27" s="472"/>
      <c r="H27" s="472"/>
      <c r="I27" s="1100"/>
    </row>
    <row r="28" spans="1:10" ht="18.95" customHeight="1" thickTop="1">
      <c r="A28" s="835" t="s">
        <v>145</v>
      </c>
      <c r="B28" s="826" t="s">
        <v>139</v>
      </c>
      <c r="C28" s="826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95" customHeight="1">
      <c r="A29" s="835"/>
      <c r="B29" s="826"/>
      <c r="C29" s="826" t="s">
        <v>90</v>
      </c>
      <c r="D29" s="463">
        <f>PGL_Supplies!G7/1000</f>
        <v>1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95" customHeight="1">
      <c r="A30" s="835"/>
      <c r="B30" s="826"/>
      <c r="C30" s="826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95" customHeight="1">
      <c r="A31" s="835"/>
      <c r="B31" s="826" t="s">
        <v>137</v>
      </c>
      <c r="C31" s="826" t="s">
        <v>777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95" customHeight="1">
      <c r="A32" s="835"/>
      <c r="B32" s="826"/>
      <c r="C32" s="826" t="s">
        <v>779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95" customHeight="1">
      <c r="A33" s="835"/>
      <c r="B33" s="826" t="s">
        <v>135</v>
      </c>
      <c r="C33" s="826" t="s">
        <v>87</v>
      </c>
      <c r="D33" s="463">
        <f>PGL_Supplies!K7/1000</f>
        <v>0</v>
      </c>
      <c r="E33" s="463">
        <f>PGL_Supplies!K8/1000</f>
        <v>0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95" customHeight="1">
      <c r="A34" s="835" t="s">
        <v>801</v>
      </c>
      <c r="B34" s="826"/>
      <c r="C34" s="826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95" customHeight="1">
      <c r="A35" s="838" t="s">
        <v>674</v>
      </c>
      <c r="B35" s="826"/>
      <c r="C35" s="826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95" customHeight="1">
      <c r="A36" s="838" t="s">
        <v>776</v>
      </c>
      <c r="B36" s="826" t="s">
        <v>394</v>
      </c>
      <c r="C36" s="826"/>
      <c r="D36" s="463">
        <f>PGL_Supplies!S7/1000*0.5</f>
        <v>35</v>
      </c>
      <c r="E36" s="463">
        <f>PGL_Supplies!S8/1000*0.5</f>
        <v>25</v>
      </c>
      <c r="F36" s="463">
        <f>PGL_Supplies!S9/1000*0.5</f>
        <v>0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95" customHeight="1">
      <c r="A37" s="852" t="s">
        <v>715</v>
      </c>
      <c r="B37" s="826" t="s">
        <v>696</v>
      </c>
      <c r="C37" s="826"/>
      <c r="D37" s="463">
        <f>PGL_Supplies!X7/1000</f>
        <v>106.79600000000001</v>
      </c>
      <c r="E37" s="463">
        <f>PGL_Supplies!X8/1000</f>
        <v>114.566</v>
      </c>
      <c r="F37" s="463">
        <f>PGL_Supplies!X9/1000</f>
        <v>104.066</v>
      </c>
      <c r="G37" s="463">
        <f>PGL_Supplies!X10/1000</f>
        <v>104.066</v>
      </c>
      <c r="H37" s="463">
        <f>PGL_Supplies!X11/1000</f>
        <v>104.066</v>
      </c>
      <c r="I37" s="464">
        <f>PGL_Supplies!X12/1000</f>
        <v>104.066</v>
      </c>
    </row>
    <row r="38" spans="1:10" ht="18.95" customHeight="1">
      <c r="A38" s="838"/>
      <c r="B38" s="826" t="s">
        <v>137</v>
      </c>
      <c r="C38" s="839"/>
      <c r="D38" s="463">
        <f>PGL_Supplies!Y7/1000</f>
        <v>0.2</v>
      </c>
      <c r="E38" s="463">
        <f>PGL_Supplies!Y8/1000</f>
        <v>0.2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95" customHeight="1">
      <c r="A39" s="838"/>
      <c r="B39" s="826" t="s">
        <v>140</v>
      </c>
      <c r="C39" s="839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95" customHeight="1">
      <c r="A40" s="838"/>
      <c r="B40" s="826" t="s">
        <v>394</v>
      </c>
      <c r="C40" s="839"/>
      <c r="D40" s="463">
        <f>PGL_Supplies!AA7/1000</f>
        <v>221.54599999999999</v>
      </c>
      <c r="E40" s="463">
        <f>PGL_Supplies!AA8/1000</f>
        <v>201.54599999999999</v>
      </c>
      <c r="F40" s="463">
        <f>PGL_Supplies!AA9/1000</f>
        <v>201.54599999999999</v>
      </c>
      <c r="G40" s="463">
        <f>PGL_Supplies!AA10/1000</f>
        <v>201.54599999999999</v>
      </c>
      <c r="H40" s="463">
        <f>PGL_Supplies!AA11/1000</f>
        <v>201.54599999999999</v>
      </c>
      <c r="I40" s="464">
        <f>PGL_Supplies!AA12/1000</f>
        <v>201.54599999999999</v>
      </c>
    </row>
    <row r="41" spans="1:10" ht="18.95" customHeight="1">
      <c r="A41" s="838"/>
      <c r="B41" s="826" t="s">
        <v>135</v>
      </c>
      <c r="C41" s="826"/>
      <c r="D41" s="463">
        <f>PGL_Supplies!AB7/1000</f>
        <v>43.286999999999999</v>
      </c>
      <c r="E41" s="463">
        <f>PGL_Supplies!AB8/1000</f>
        <v>37.305999999999997</v>
      </c>
      <c r="F41" s="463">
        <f>PGL_Supplies!AB9/1000</f>
        <v>32.305999999999997</v>
      </c>
      <c r="G41" s="463">
        <f>PGL_Supplies!AB10/1000</f>
        <v>32.305999999999997</v>
      </c>
      <c r="H41" s="463">
        <f>PGL_Supplies!AB11/1000</f>
        <v>32.305999999999997</v>
      </c>
      <c r="I41" s="464">
        <f>PGL_Supplies!AB12/1000</f>
        <v>32.305999999999997</v>
      </c>
    </row>
    <row r="42" spans="1:10" ht="18.95" customHeight="1">
      <c r="A42" s="838"/>
      <c r="B42" s="826" t="s">
        <v>136</v>
      </c>
      <c r="C42" s="826"/>
      <c r="D42" s="463">
        <f>PGL_Supplies!AC7/1000</f>
        <v>3</v>
      </c>
      <c r="E42" s="463">
        <f>PGL_Supplies!AC8/1000</f>
        <v>3</v>
      </c>
      <c r="F42" s="463">
        <f>PGL_Supplies!AC9/1000</f>
        <v>3</v>
      </c>
      <c r="G42" s="463">
        <f>PGL_Supplies!AC10/1000</f>
        <v>3</v>
      </c>
      <c r="H42" s="463">
        <f>PGL_Supplies!AC11/1000</f>
        <v>3</v>
      </c>
      <c r="I42" s="464">
        <f>PGL_Supplies!AC12/1000</f>
        <v>3</v>
      </c>
    </row>
    <row r="43" spans="1:10" ht="18.95" customHeight="1">
      <c r="A43" s="852"/>
      <c r="B43" s="826" t="s">
        <v>147</v>
      </c>
      <c r="C43" s="826"/>
      <c r="D43" s="463">
        <f>PGL_Supplies!H7/1000</f>
        <v>22.6</v>
      </c>
      <c r="E43" s="463">
        <f>PGL_Supplies!H8/1000</f>
        <v>15</v>
      </c>
      <c r="F43" s="463">
        <f>PGL_Supplies!H9/1000</f>
        <v>15</v>
      </c>
      <c r="G43" s="463">
        <f>PGL_Supplies!H10/1000</f>
        <v>15</v>
      </c>
      <c r="H43" s="463">
        <f>PGL_Supplies!H11/1000</f>
        <v>15</v>
      </c>
      <c r="I43" s="464">
        <f>PGL_Supplies!H12/1000</f>
        <v>15</v>
      </c>
      <c r="J43" s="111" t="s">
        <v>9</v>
      </c>
    </row>
    <row r="44" spans="1:10" ht="18.95" customHeight="1">
      <c r="A44" s="835"/>
      <c r="B44" s="826" t="s">
        <v>148</v>
      </c>
      <c r="C44" s="826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95" customHeight="1">
      <c r="A45" s="838" t="s">
        <v>728</v>
      </c>
      <c r="B45" s="826"/>
      <c r="C45" s="826"/>
      <c r="D45" s="463">
        <f>PGL_Supplies!B7/1000</f>
        <v>0</v>
      </c>
      <c r="E45" s="463">
        <f>PGL_Supplies!B8/1000</f>
        <v>0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95" customHeight="1">
      <c r="A46" s="835" t="s">
        <v>704</v>
      </c>
      <c r="B46" s="826" t="s">
        <v>696</v>
      </c>
      <c r="C46" s="826"/>
      <c r="D46" s="463">
        <f>PGL_Supplies!W7/1000</f>
        <v>0.3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95" customHeight="1">
      <c r="A47" s="835"/>
      <c r="B47" s="840" t="s">
        <v>140</v>
      </c>
      <c r="C47" s="826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95" customHeight="1">
      <c r="A48" s="835"/>
      <c r="B48" s="826" t="s">
        <v>394</v>
      </c>
      <c r="C48" s="826"/>
      <c r="D48" s="463">
        <f>PGL_Supplies!D7/1000</f>
        <v>43.7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95" customHeight="1">
      <c r="A49" s="853"/>
      <c r="B49" s="854" t="s">
        <v>136</v>
      </c>
      <c r="C49" s="854"/>
      <c r="D49" s="465">
        <f>PGL_Supplies!F7/1000</f>
        <v>5.3</v>
      </c>
      <c r="E49" s="465">
        <f>PGL_Supplies!F8/1000</f>
        <v>0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95" customHeight="1" thickBot="1">
      <c r="A50" s="855" t="s">
        <v>149</v>
      </c>
      <c r="B50" s="856"/>
      <c r="C50" s="856"/>
      <c r="D50" s="473">
        <f t="shared" ref="D50:I50" si="2">SUM(D28:D49)</f>
        <v>482.72899999999998</v>
      </c>
      <c r="E50" s="473">
        <f t="shared" si="2"/>
        <v>397.61799999999999</v>
      </c>
      <c r="F50" s="473">
        <f t="shared" si="2"/>
        <v>357.11799999999999</v>
      </c>
      <c r="G50" s="473">
        <f t="shared" si="2"/>
        <v>357.11799999999999</v>
      </c>
      <c r="H50" s="473">
        <f t="shared" si="2"/>
        <v>357.11799999999999</v>
      </c>
      <c r="I50" s="1101">
        <f t="shared" si="2"/>
        <v>357.11799999999999</v>
      </c>
    </row>
    <row r="51" spans="1:9" ht="18.95" customHeight="1">
      <c r="A51" s="857" t="s">
        <v>150</v>
      </c>
      <c r="B51" s="858"/>
      <c r="C51" s="858"/>
      <c r="D51" s="474">
        <f t="shared" ref="D51:I51" si="3">IF(D50-D25&lt;0,0,D50-D25)</f>
        <v>3.999999999962256E-3</v>
      </c>
      <c r="E51" s="474">
        <f t="shared" si="3"/>
        <v>0.18799999999998818</v>
      </c>
      <c r="F51" s="474">
        <f t="shared" si="3"/>
        <v>24.317999999999984</v>
      </c>
      <c r="G51" s="474">
        <f t="shared" si="3"/>
        <v>34.317999999999984</v>
      </c>
      <c r="H51" s="474">
        <f t="shared" si="3"/>
        <v>44.317999999999984</v>
      </c>
      <c r="I51" s="1102">
        <f t="shared" si="3"/>
        <v>34.317999999999984</v>
      </c>
    </row>
    <row r="52" spans="1:9" ht="18.95" customHeight="1" thickBot="1">
      <c r="A52" s="859" t="s">
        <v>151</v>
      </c>
      <c r="B52" s="844"/>
      <c r="C52" s="860"/>
      <c r="D52" s="475">
        <f t="shared" ref="D52:I52" si="4">IF(D25-D50&lt;0,0,D25-D50)</f>
        <v>0</v>
      </c>
      <c r="E52" s="475">
        <f t="shared" si="4"/>
        <v>0</v>
      </c>
      <c r="F52" s="475">
        <f t="shared" si="4"/>
        <v>0</v>
      </c>
      <c r="G52" s="475">
        <f t="shared" si="4"/>
        <v>0</v>
      </c>
      <c r="H52" s="475">
        <f t="shared" si="4"/>
        <v>0</v>
      </c>
      <c r="I52" s="1103">
        <f t="shared" si="4"/>
        <v>0</v>
      </c>
    </row>
    <row r="53" spans="1:9" ht="18.95" customHeight="1" thickTop="1" thickBot="1">
      <c r="A53" s="1090" t="s">
        <v>718</v>
      </c>
      <c r="B53" s="1091"/>
      <c r="C53" s="1091"/>
      <c r="D53" s="1092">
        <f>PGL_Supplies!U7/1000</f>
        <v>123.648</v>
      </c>
      <c r="E53" s="1092">
        <f>PGL_Supplies!U8/1000</f>
        <v>129.77199999999999</v>
      </c>
      <c r="F53" s="1092">
        <f>PGL_Supplies!U9/1000</f>
        <v>129.77199999999999</v>
      </c>
      <c r="G53" s="1092">
        <f>PGL_Supplies!U10/1000</f>
        <v>129.77199999999999</v>
      </c>
      <c r="H53" s="1092">
        <f>PGL_Supplies!U11/1000</f>
        <v>129.77199999999999</v>
      </c>
      <c r="I53" s="1093">
        <f>PGL_Supplies!U12/1000</f>
        <v>129.77199999999999</v>
      </c>
    </row>
    <row r="54" spans="1:9" ht="18.95" customHeight="1" thickTop="1"/>
    <row r="56" spans="1:9">
      <c r="C56" s="111" t="s">
        <v>737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2001-07-17T19:23:26Z</cp:lastPrinted>
  <dcterms:created xsi:type="dcterms:W3CDTF">1997-07-16T16:14:22Z</dcterms:created>
  <dcterms:modified xsi:type="dcterms:W3CDTF">2023-09-10T17:07:05Z</dcterms:modified>
</cp:coreProperties>
</file>