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5F60D1-E6F5-4157-A33E-A0DACE5C7B3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<sst xmlns="http://schemas.openxmlformats.org/spreadsheetml/2006/main" count="2147" uniqueCount="800">
  <si>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</si>
  <si>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</si>
  <si>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</si>
  <si>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</si>
  <si>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</si>
  <si>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</si>
  <si>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</si>
  <si>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</si>
  <si>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</si>
  <si>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</si>
  <si>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</si>
  <si>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</si>
  <si>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</si>
  <si>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</si>
  <si>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</si>
  <si>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</si>
  <si>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</si>
  <si>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</si>
  <si>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</si>
  <si>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</si>
  <si>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</si>
  <si>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</si>
  <si>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</si>
  <si>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</si>
  <si>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</si>
  <si>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</si>
  <si>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</si>
  <si>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</si>
  <si>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</si>
  <si>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</si>
  <si>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</si>
  <si>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</si>
  <si>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</si>
  <si>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</si>
  <si>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</si>
  <si>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</si>
  <si>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</si>
  <si>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</si>
  <si>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</si>
  <si>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</si>
  <si>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</si>
  <si>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</si>
  <si>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</si>
  <si>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</si>
  <si>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</si>
  <si>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</si>
  <si>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</si>
  <si>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</si>
  <si>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</si>
  <si>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</si>
  <si>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</si>
  <si>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</si>
  <si>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</si>
  <si>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</si>
  <si>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</si>
  <si>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</si>
  <si>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</si>
  <si>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</si>
  <si>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</si>
  <si>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</si>
  <si>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</si>
  <si>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</si>
  <si>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</si>
  <si>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</si>
  <si>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</si>
  <si>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</si>
  <si>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</si>
  <si>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</si>
  <si>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</si>
  <si>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</si>
  <si>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</si>
  <si>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</si>
  <si>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</si>
  <si>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</si>
  <si>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</si>
  <si>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</si>
  <si>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</si>
  <si>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</si>
  <si>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</si>
  <si>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</si>
  <si>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</si>
  <si>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</si>
  <si>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</si>
  <si>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</si>
  <si>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</si>
  <si>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</si>
  <si>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</si>
  <si>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</si>
  <si>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</si>
  <si>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</si>
  <si>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</si>
  <si>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</si>
  <si>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</si>
  <si>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</si>
  <si>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</si>
  <si>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</si>
  <si>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</si>
  <si>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</si>
  <si>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</si>
  <si>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</si>
  <si>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</si>
  <si>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</si>
  <si>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</si>
  <si>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</si>
  <si>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</si>
  <si>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</si>
  <si>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</si>
  <si>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</si>
  <si>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</si>
  <si>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</si>
  <si>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</si>
  <si>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</si>
  <si>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</si>
  <si>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</si>
  <si>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</si>
  <si>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</si>
  <si>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</si>
  <si>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</si>
  <si>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</si>
  <si>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</si>
  <si>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</si>
  <si>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</si>
  <si>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</si>
  <si>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</si>
  <si>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</si>
  <si>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</si>
  <si>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</si>
  <si>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</si>
  <si>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</si>
  <si>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</si>
  <si>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</si>
  <si>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</si>
  <si>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</si>
  <si>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</si>
  <si>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</si>
  <si>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</si>
  <si>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</si>
  <si>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</si>
  <si>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</si>
  <si>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</si>
  <si>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</si>
  <si>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</si>
  <si>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</si>
  <si>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</si>
  <si>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</si>
  <si>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</si>
  <si>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</si>
  <si>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</si>
  <si>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</si>
  <si>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</si>
  <si>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</si>
  <si>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</si>
  <si>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</si>
  <si>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</si>
  <si>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</si>
  <si>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</si>
  <si>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</si>
  <si>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</si>
  <si>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</si>
  <si>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</si>
  <si>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</si>
  <si>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</si>
  <si>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</si>
  <si>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</si>
  <si>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</si>
  <si>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</si>
  <si>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</si>
  <si>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</si>
  <si>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</si>
  <si>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</si>
  <si>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</si>
  <si>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</si>
  <si>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</si>
  <si>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</si>
  <si>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</si>
  <si>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</si>
  <si>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</si>
  <si>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</si>
  <si>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</si>
  <si>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</si>
  <si>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</si>
  <si>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</si>
  <si>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</si>
  <si>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</si>
  <si>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</si>
  <si>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</si>
  <si>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</si>
  <si>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</si>
  <si>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</si>
  <si>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</si>
  <si>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</si>
  <si>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</si>
  <si>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</si>
  <si>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</si>
  <si>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</si>
  <si>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</si>
  <si>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</si>
  <si>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</si>
  <si>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</si>
  <si>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</si>
  <si>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</si>
  <si>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</si>
  <si>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</si>
  <si>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</si>
  <si>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</si>
  <si>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</si>
  <si>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</si>
  <si>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</si>
  <si>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</si>
  <si>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</si>
  <si>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</si>
  <si>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</si>
  <si>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</si>
  <si>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</si>
  <si>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</si>
  <si>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</si>
  <si>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</si>
  <si>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</si>
  <si>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</si>
  <si>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</si>
  <si>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</si>
  <si>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</si>
  <si>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</si>
  <si>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</si>
  <si>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</si>
  <si>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</si>
  <si>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</si>
  <si>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</si>
  <si>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</si>
  <si>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</si>
  <si>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</si>
  <si>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</si>
  <si>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</si>
  <si>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</si>
  <si>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</si>
  <si>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</si>
  <si>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</si>
  <si>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</si>
  <si>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</si>
  <si>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</si>
  <si>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</si>
  <si>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</si>
  <si>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</si>
  <si>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</si>
  <si>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</si>
  <si>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</si>
  <si>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</si>
  <si>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</si>
  <si>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</si>
  <si>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</si>
  <si>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</si>
  <si>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</si>
  <si>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</si>
  <si>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</si>
  <si>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</si>
  <si>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</si>
  <si>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</si>
  <si>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</si>
  <si>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</si>
  <si>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</si>
  <si>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</si>
  <si>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</si>
  <si>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</si>
  <si>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</si>
  <si>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</si>
  <si>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</si>
  <si>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</si>
  <si>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</si>
  <si>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</si>
  <si>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</si>
  <si>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</si>
  <si>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</si>
  <si>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</si>
  <si>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</si>
  <si>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</si>
  <si>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</si>
  <si>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</si>
  <si>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</si>
  <si>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</si>
  <si>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</si>
  <si>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</si>
  <si>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</si>
  <si>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</si>
  <si>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</si>
  <si>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</si>
  <si>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</si>
  <si>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</si>
  <si>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</si>
  <si>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</si>
  <si>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</si>
  <si>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</si>
  <si>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</si>
  <si>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</si>
  <si>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</si>
  <si>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</si>
  <si>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</si>
  <si>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</si>
  <si>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</si>
  <si>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</si>
  <si>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</si>
  <si>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</si>
  <si>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</si>
  <si>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</si>
  <si>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</si>
  <si>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</si>
  <si>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</si>
  <si>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</si>
  <si>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</si>
  <si>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</si>
  <si>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</si>
  <si>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</si>
  <si>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</si>
  <si>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</si>
  <si>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</si>
  <si>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</si>
  <si>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</si>
  <si>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</si>
  <si>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</si>
  <si>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</si>
  <si>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</si>
  <si>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</si>
  <si>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</si>
  <si>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</si>
  <si>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</si>
  <si>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</si>
  <si>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</si>
  <si>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</si>
  <si>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</si>
  <si>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</si>
  <si>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</si>
  <si>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</si>
  <si>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</si>
  <si>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</si>
  <si>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</si>
  <si>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</si>
  <si>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</si>
  <si>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</si>
  <si>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</si>
  <si>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</si>
  <si>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</si>
  <si>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</si>
  <si>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</si>
  <si>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</si>
  <si>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</si>
  <si>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</si>
  <si>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</si>
  <si>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</si>
  <si>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</si>
  <si>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</si>
  <si>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</si>
  <si>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</si>
  <si>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</si>
  <si>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</si>
  <si>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</si>
  <si>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</si>
  <si>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</si>
  <si>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</si>
  <si>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</si>
  <si>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</si>
  <si>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</si>
  <si>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</si>
  <si>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</si>
  <si>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</si>
  <si>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</si>
  <si>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</si>
  <si>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</si>
  <si>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</si>
  <si>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</si>
  <si>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</si>
  <si>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</si>
  <si>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</si>
  <si>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</si>
  <si>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</si>
  <si>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</si>
  <si>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</si>
  <si>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</si>
  <si>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</si>
  <si>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</si>
  <si>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</si>
  <si>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</si>
  <si>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</si>
  <si>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</si>
  <si>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</si>
  <si>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</si>
  <si>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</si>
  <si>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</si>
  <si>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</si>
  <si>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</si>
  <si>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</si>
  <si>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</si>
  <si>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</si>
  <si>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</si>
  <si>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</si>
  <si>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</si>
  <si>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</si>
  <si>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</si>
  <si>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</si>
  <si>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</si>
  <si>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</si>
  <si>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</si>
  <si>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</si>
  <si>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</si>
  <si>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</si>
  <si>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</si>
  <si>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</si>
  <si>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</si>
  <si>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</si>
  <si>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</si>
  <si>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</si>
  <si>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</si>
  <si>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</si>
  <si>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</si>
  <si>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</si>
  <si>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</si>
  <si>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</si>
  <si>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</si>
  <si>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</si>
  <si>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</si>
  <si>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</si>
  <si>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</si>
  <si>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</si>
  <si>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</si>
  <si>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</si>
  <si>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</si>
  <si>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</si>
  <si>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</si>
  <si>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</si>
  <si>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</si>
  <si>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</si>
  <si>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</si>
  <si>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</si>
  <si>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</si>
  <si>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</si>
  <si>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</si>
  <si>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</si>
  <si>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</si>
  <si>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</si>
  <si>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</si>
  <si>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</si>
  <si>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</si>
  <si>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</si>
  <si>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</si>
  <si>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</si>
  <si>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</si>
  <si>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</si>
  <si>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</si>
  <si>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</si>
  <si>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</si>
  <si>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</si>
  <si>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</si>
  <si>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</si>
  <si>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</si>
  <si>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</si>
  <si>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</si>
  <si>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</si>
  <si>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</si>
  <si>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</si>
  <si>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</si>
  <si>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</si>
  <si>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</si>
  <si>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</si>
  <si>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</si>
  <si>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</si>
  <si>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</si>
  <si>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</si>
  <si>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</si>
  <si>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</si>
  <si>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</si>
  <si>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</si>
  <si>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</si>
  <si>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</si>
  <si>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</si>
  <si>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</si>
  <si>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</si>
  <si>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</si>
  <si>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</si>
  <si>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</si>
  <si>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</si>
  <si>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</si>
  <si>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</si>
  <si>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</si>
  <si>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</si>
  <si>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</si>
  <si>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</si>
  <si>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</si>
  <si>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</si>
  <si>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</si>
  <si>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</si>
  <si>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</si>
  <si>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</si>
  <si>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</si>
  <si>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</si>
  <si>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</si>
  <si>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</si>
  <si>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</si>
  <si>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</si>
  <si>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</si>
  <si>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</si>
  <si>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</si>
  <si>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</si>
  <si>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</si>
  <si>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</si>
  <si>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</si>
  <si>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</si>
  <si>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</si>
  <si>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</si>
  <si>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</si>
  <si>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</si>
  <si>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</si>
  <si>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</si>
  <si>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</si>
  <si>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</si>
  <si>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</si>
  <si>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</si>
  <si>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</si>
  <si>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</si>
  <si>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</si>
  <si>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</si>
  <si>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</si>
  <si>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</si>
  <si>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</si>
  <si>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</si>
  <si>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</si>
  <si>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</si>
  <si>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</si>
  <si>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</si>
  <si>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</si>
  <si>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</si>
  <si>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</si>
  <si>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</si>
  <si>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</si>
  <si>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</si>
  <si>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</si>
  <si>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</si>
  <si>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</si>
  <si>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</si>
  <si>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</si>
  <si>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</si>
  <si>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</si>
  <si>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</si>
  <si>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</si>
  <si>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</si>
  <si>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</si>
  <si>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</si>
  <si>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</si>
  <si>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</si>
  <si>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</si>
  <si>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</si>
  <si>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</si>
  <si>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</si>
  <si>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</si>
  <si>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</si>
  <si>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</si>
  <si>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</si>
  <si>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</si>
  <si>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</si>
  <si>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</si>
  <si>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</si>
  <si>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</si>
  <si>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</si>
  <si>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</si>
  <si>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</si>
  <si>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</si>
  <si>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</si>
  <si>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</si>
  <si>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</si>
  <si>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</si>
  <si>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</si>
  <si>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</si>
  <si>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</si>
  <si>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</si>
  <si>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</si>
  <si>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</si>
  <si>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</si>
  <si>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</si>
  <si>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</si>
  <si>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</si>
  <si>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</si>
  <si>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</si>
  <si>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</si>
  <si>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</si>
  <si>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</si>
  <si>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</si>
  <si>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</si>
  <si>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</si>
  <si>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</si>
  <si>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</si>
  <si>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</si>
  <si>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</si>
  <si>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</si>
  <si>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</si>
  <si>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</si>
  <si>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</si>
  <si>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</si>
  <si>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</si>
  <si>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</si>
  <si>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</si>
  <si>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</si>
  <si>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</si>
  <si>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</si>
  <si>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</si>
  <si>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</si>
  <si>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</si>
  <si>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</si>
  <si>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</si>
  <si>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</si>
  <si>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</si>
  <si>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</si>
  <si>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</si>
  <si>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</si>
  <si>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</si>
  <si>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</si>
  <si>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</si>
  <si>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</si>
  <si>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</si>
  <si>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</si>
  <si>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</si>
  <si>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</si>
  <si>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</si>
  <si>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</si>
  <si>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</si>
  <si>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</si>
  <si>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</si>
  <si>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</si>
  <si>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</si>
  <si>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</si>
  <si>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</si>
  <si>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</si>
  <si>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</si>
  <si>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</si>
  <si>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</si>
  <si>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</si>
  <si>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</si>
  <si>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</si>
  <si>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</si>
  <si>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</si>
  <si>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</si>
  <si>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</si>
  <si>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</si>
  <si>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</si>
  <si>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</si>
  <si>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</si>
  <si>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</si>
  <si>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</si>
  <si>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</si>
  <si>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</si>
  <si>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</si>
  <si>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</si>
  <si>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</si>
  <si>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</si>
  <si>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</si>
  <si>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</si>
  <si>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</si>
  <si>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</si>
  <si>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</si>
  <si>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</si>
  <si>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</si>
  <si>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</si>
  <si>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</si>
  <si>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</si>
  <si>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</si>
  <si>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</si>
  <si>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</si>
  <si>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</si>
  <si>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</si>
  <si>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</si>
  <si>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</si>
  <si>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</si>
  <si>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</si>
  <si>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</si>
  <si>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</si>
  <si>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</si>
  <si>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</si>
  <si>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</si>
  <si>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</si>
  <si>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</si>
  <si>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</si>
  <si>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</si>
  <si>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</si>
  <si>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</si>
  <si>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</si>
  <si>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</si>
  <si>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</si>
  <si>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</si>
  <si>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</si>
  <si>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</si>
  <si>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</si>
  <si>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</si>
  <si>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</si>
  <si>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</si>
  <si>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</si>
  <si>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</si>
  <si>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</si>
  <si>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</si>
  <si>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</si>
  <si>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</si>
  <si>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</si>
  <si>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</si>
  <si>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</si>
  <si>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</si>
  <si>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</si>
  <si>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</si>
  <si>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</si>
  <si>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</si>
  <si>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</si>
  <si>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</si>
  <si>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</si>
  <si>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</si>
  <si>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</si>
  <si>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</si>
  <si>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</si>
  <si>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</si>
  <si>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</si>
  <si>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</si>
  <si>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</si>
  <si>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</si>
  <si>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</si>
  <si>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</si>
  <si>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</si>
  <si>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</si>
  <si>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</si>
  <si>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</si>
  <si>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</si>
  <si>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</si>
  <si>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</si>
  <si>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</si>
  <si>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</si>
  <si>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</si>
  <si>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</si>
  <si>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</si>
  <si>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</si>
  <si>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</si>
  <si>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</si>
  <si>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</si>
  <si>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</si>
  <si>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</si>
  <si>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</si>
  <si>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</si>
  <si>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</si>
  <si>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</si>
  <si>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</si>
  <si>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</si>
  <si>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</si>
  <si>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</si>
  <si>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</si>
  <si>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</si>
  <si>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</si>
  <si>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</si>
  <si>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</si>
  <si>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</si>
  <si>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</si>
  <si>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</si>
  <si>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</si>
  <si>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</si>
  <si>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</si>
  <si>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</si>
  <si>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</si>
  <si>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</si>
  <si>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</si>
  <si>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</si>
  <si>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</si>
  <si>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</si>
  <si>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</si>
  <si>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</si>
  <si>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</si>
  <si>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</si>
  <si>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</si>
  <si>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</si>
  <si>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</si>
  <si>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</si>
  <si>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</si>
  <si>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</si>
  <si>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</si>
  <si>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</si>
  <si>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</si>
  <si>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</si>
  <si>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</si>
  <si>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</si>
  <si>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</si>
  <si>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</si>
  <si>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</si>
  <si>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</si>
  <si>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</si>
  <si>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</si>
  <si>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</si>
  <si>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</si>
  <si>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</si>
  <si>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</si>
  <si>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</si>
  <si>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</si>
  <si>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</si>
  <si>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</si>
  <si>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</si>
  <si>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</si>
  <si>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TODAY - MOSTLY SUNNY WITH A WARM BREEZE.</t>
  </si>
  <si>
    <t xml:space="preserve">  TONIGHT - MAINLY CLEAR AND COOL.</t>
  </si>
  <si>
    <t xml:space="preserve">  INTERVALS OF CLOUDS AND SUN.</t>
  </si>
  <si>
    <t xml:space="preserve">  SOME SUNSHINE WITH A CHANCE OF A THUNDERSTORM IN THE AFTERNOON.</t>
  </si>
  <si>
    <t xml:space="preserve">  PARTLY SUNNY.</t>
  </si>
  <si>
    <t>revised 04/29/01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</si>
</sst>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DB4B5D7-B010-D4B5-7707-6D135D136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9A4D5E4-4482-2EC2-C215-5172AADE43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5D41DD0-77D9-5E51-3B43-6483262D2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9B37C4D-35F3-0A6B-2F20-68884EA5D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F92E453-AC68-C56D-A83A-424E9DEB0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0C7ABFC-3291-9BC3-C3AE-0CA17CE80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C0104520-A65D-B2D9-3F8D-D293BC691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0B30649-6751-90DF-E054-BAD84A3E9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7D96154-C0E8-D10D-8EE1-D57A0231F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560EA73-61AD-6CE5-9B51-983BAC43A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A127EF0-9300-0D36-F4F8-F205B9A62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355AC82-3971-BC53-D976-F3DAB1A85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FE36DE5-B272-9DE2-4C61-054FF3952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5CBE6BC-3898-1FB6-4C0B-34C11B87C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DB96912-49BD-131D-9861-3B1A58EBC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ADBBC52-50CF-41A6-697E-3F0E4DF63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515D8898-3F33-61AA-AA2E-459494103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DCD4DBE-8408-3FC0-B916-BF1148897B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83EAFFD3-9D89-E44B-1D1E-44F9609BF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8BBA739-D192-C684-EFC7-B2A711647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7AA2456D-B64F-4289-FA1D-2F3CB53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80778B2-2B1F-E7B3-08F6-7B05F167D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6856D0C9-5EF6-287B-9B1D-E9038B4F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337F377-BBBD-2466-9E15-7E718B726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135C6EE-B2F8-78BE-8823-481BB6142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7615232-FA62-9185-D9E0-29CB5F7B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C88EC0AD-33A0-DDDB-A14F-3499051E4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97035D1-9D8A-2C9E-F054-5081ED96A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65639A1F-C678-122A-86B4-DE8C2E13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F080A1BA-614C-4BF5-B7DC-B749AE765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2581269-2976-D9E6-E2E4-2B4EB6A0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161C698E-6F55-BD30-619D-AF59D2E1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821781F2-3A87-6053-9910-4DF21B02F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ED72EA0-EE79-3774-A0F6-E5B3574AB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4D7D593E-AE12-2464-FF37-7E121CD53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F53DA77-B4CA-F4DF-1530-DA097881F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8F646782-7946-3FC3-2CFA-1C5EC8F1C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82C7644-DE78-70DD-F103-1908A0B96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B94E2A55-0AF8-5937-F7AD-C5AAE127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8792CB39-D328-8E70-ABEA-0E89982C0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49E591B-B475-ABE0-574F-9255340D4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38E7E67-B307-5415-60EF-1A20ED6E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8C6F17C-7EA4-6E08-6FAB-D913F4D75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736EB436-C33C-2DA4-ED56-C8A92FB18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791" name="Day_1">
          <a:extLst>
            <a:ext uri="{FF2B5EF4-FFF2-40B4-BE49-F238E27FC236}">
              <a16:creationId xmlns:a16="http://schemas.microsoft.com/office/drawing/2014/main" id="{A7DB0DF8-D4E1-A0E8-7D1D-125DAF8BA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792" name="Day_2">
          <a:extLst>
            <a:ext uri="{FF2B5EF4-FFF2-40B4-BE49-F238E27FC236}">
              <a16:creationId xmlns:a16="http://schemas.microsoft.com/office/drawing/2014/main" id="{628C808E-C859-0416-DCC2-3AB08181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793" name="Day_3">
          <a:extLst>
            <a:ext uri="{FF2B5EF4-FFF2-40B4-BE49-F238E27FC236}">
              <a16:creationId xmlns:a16="http://schemas.microsoft.com/office/drawing/2014/main" id="{FA1E2B38-08C5-A64C-62FB-2839DA4AF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794" name="Day_4">
          <a:extLst>
            <a:ext uri="{FF2B5EF4-FFF2-40B4-BE49-F238E27FC236}">
              <a16:creationId xmlns:a16="http://schemas.microsoft.com/office/drawing/2014/main" id="{B63513D8-247A-4A99-A53D-A9B60971F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795" name="Day_5">
          <a:extLst>
            <a:ext uri="{FF2B5EF4-FFF2-40B4-BE49-F238E27FC236}">
              <a16:creationId xmlns:a16="http://schemas.microsoft.com/office/drawing/2014/main" id="{D6AE2947-9923-AC4E-75DB-C1941429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796" name="Day_6">
          <a:extLst>
            <a:ext uri="{FF2B5EF4-FFF2-40B4-BE49-F238E27FC236}">
              <a16:creationId xmlns:a16="http://schemas.microsoft.com/office/drawing/2014/main" id="{1F397E7B-6691-60B8-F9CD-96586EE82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C388195-A8A3-2C32-0ACE-B7C3A2A6DAFB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DDDDB22-96FA-ED1B-A036-413018BC6D3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905A11E7-80F2-5DC6-B809-60246344429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AE511D7A-4B7D-ED46-E61B-1116646D619C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DF8C4C7A-F602-C60C-92B2-697EFFBE4D04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F6D283E7-DB7E-E209-89E3-B8B85869A92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257A517-0263-6C44-996D-4A9A333D205E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F60E14C-F378-B9F1-036E-33CBA420ACF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61F2354-2081-9F83-AF48-FAED1D33CC7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F7848F4-7A63-D212-965B-9B59DC2FDB6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768F3F61-714D-F6CA-25F7-1CCDD4A515A5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E9355C6-D3FA-2989-0E37-EBD07EF40E99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84322BF5-047A-9CF4-63A7-EE3AA48BB42E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E3982DA6-C031-8E5F-F21E-C28439C548B6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948AAB44-B687-C5AB-314D-317453AE1BBE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7A8CC31-CC27-F960-FD7F-CF7DE33478A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A27346EE-C14C-DAD0-ABE0-64BAE2DBD3C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43E13EB2-D462-C16B-7713-3E6D32DCF82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CAC536BF-FD4F-B2C2-D54B-73998CAA21BA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48735F9-963E-EBEB-1C78-03F4FC6B1BF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A486F59-E290-BB66-31E1-67BF343AE6C1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3824E65C-16EA-3CBD-DEBE-2AE1BF719C4C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AD090D27-6229-8A65-77D4-C9577318A51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72F9D8B4-AFCF-5421-3E7E-F9C4E972C498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18E517C2-3A1F-0C4B-BCD0-78061A91455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1C6590B-61BA-D427-6A06-C5D9B714B499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A2A5CDB-52EF-B4CE-DAC7-B82690230FF0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F13E840E-EB6C-9C07-730F-B4522A08398F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711C9D64-18B1-8D8B-3AAB-D1A7EB644DA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889C2D50-2BAC-6C34-FD70-1C5695297C89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8CB26EA1-89AF-89F4-AD3D-F95B8FC21AF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7BFF04CF-9BC4-2861-3554-3D0A8B20BD9F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B6F6926-D9F3-61ED-8C59-9A6A2A5D3FF3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838F15A-6C80-8C61-35E4-3B9312C1CB7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2F0DC45-37F6-8629-354C-46DAAA8D429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7AC252BC-FC4D-8951-7A2A-3AB5FE2E8E2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3D5FC782-42EB-9251-D2C0-F9A1F115A3B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5A2A43A-01FA-8981-264D-E9BC568005D0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C74B2DA-2ABF-933C-716C-76B94501D35B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64541B6-198A-AF0D-D76D-75664DD7CC16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2D9F0A07-7380-D29A-CC96-C5BF3D7514D5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0A6D4CC2-829F-A95E-B263-578169460F2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81EAEA0A-9BBE-D1BB-229E-E6933F3E999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9701E165-A037-D1B6-D59E-451884CD0DD3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D8879C20-BFF4-EF69-B7CD-7AE8AF0E4E16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344BBEBE-2733-4F8D-95FD-F4420F469A3F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C9AF4B07-C62C-572E-BF06-DC17386BB6A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A44D597C-3DCB-6C17-AE15-6D54383BAB7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9D500D5E-4B34-551C-1CAA-4B2FFD0EA42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F076557-16BF-6C03-5E90-82F132233A0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9D03494B-0E39-7FD7-4B91-1BEF236EEB24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8D46F920-6ABD-F1F6-0256-E13B1402CDFB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4775F484-DEA8-D6ED-0F02-957DC0F3E60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DAB47B1C-E002-4627-C4BF-E376DB56C1CC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1E2BBDB8-1B6E-5A8C-2943-D809DEAC0A35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B3865137-190E-189F-47BB-3181DB0A9AF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8313BE1-DC99-53CB-0E99-86C455EB25E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F7A0406D-3531-9B6D-C6F5-57F31BBC03B1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0F25A9E3-8797-BC12-60AC-890FB5D231B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1C5C9EBF-72F3-1BE7-37AE-A3AE4C64A01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9ED2686-801C-9C8B-47BA-1D1C426F89C5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B5185056-B95C-0001-7ED2-AFE79DF992A2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920A65E-457B-7856-4D81-E9702947A87A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559AA0F6-C5F1-149A-FA46-2D0B5FB5DECB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6D2294C-FB98-DED4-F288-E25989CEDB7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04CFCE40-BC91-DB3E-AD10-60D30C22AF1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A3AB4D03-EFF5-E9BB-A13A-A18D320E130E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78B07DC1-F648-9563-6E89-F81BB1BA27B2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A55A4516-2DCC-56DD-089A-C0A7BD15AA0E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E4E2D84E-D486-1B65-748F-E4C185108CA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0F4FB48-9E48-4609-208B-3100010BAA11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17DA98E-EE16-BC6D-FAE3-822D85D1E68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12ED2AC9-9BE3-1694-3F43-FD4F38DA6DA0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CA95719-2C41-E55A-9E02-33AF27097558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B5A3FD4-5C7D-51FE-D072-80208708AF49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B225E4A3-8B7D-F203-9D14-46C63F33BAA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5B64BB2-E30E-583E-EACD-025C64ECA02C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CEFEC99C-762F-2F8C-B144-C44B4135B965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260CDC8F-04E8-2CC9-078B-8F3339A067E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387B547-0349-399A-8B9E-FEAED5A0558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848058F8-E53B-D552-966F-FB6B7C0EECE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6E3D361B-ECEB-0C91-EA6D-A7A5A16DFD56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7808B174-97F0-2ACC-CBD5-FB12D3DD4D48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A9C44EF6-BCDD-03BD-2C11-781A2C879B01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2613FC7E-7ABD-3EC2-C55F-A7B07A481FC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5C56FF45-3829-6992-73F5-34147C003FC5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5E48476-CD87-B571-2BCA-CB90EBCD58C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01E622BE-3531-F7B5-0F5E-115E790F2466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B0CD342-2727-C148-C513-9746203A46A5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BB889290-6A4F-5286-1B1D-6B41AC12CD8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6D9D672-D178-4362-2340-C9AA2A281248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E53BFC39-4879-6D84-BE3B-7C15188AF21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89A795D-F0AB-2850-AD5C-F458D810026A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61CC77F2-894D-12D5-1DF7-5C86878A935E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E0924AB2-15A0-0B0B-9C11-9CA081CDD05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3194A33-4232-E702-6665-1240E573105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5A756A6C-69BB-07B9-EB96-A5DFEEE1BCD1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78A77006-8F72-3477-8501-8C33F82CE91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DE2E8F4-E667-D650-61BD-93FC9BD4CAFD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5496552B-8E13-6CD6-77E2-D548EDB9C069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35DC569A-A0FE-90CE-4B5B-C7A388D1BC26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D753A6BE-78FC-200B-9B56-379892ED5AC0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7F460416-B2EA-00FA-A191-D3F1E0E58B4A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3510FB2-D805-C6D3-6E81-679CE50B2DB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085DFF7A-4764-EC1F-210C-8438B413E839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87D9A682-4D9B-2E37-A1C1-C933CA69A4E9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52A6DD8E-06EA-CD9C-1BFA-C69FCA17BE81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F723DFC5-F04A-51B3-44F1-385FA1ED58D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FFEF90BF-785E-EDC9-220F-F306FAA0B3B1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CF71B04-6694-2D55-2771-8AE40B656BA8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550990AC-DDDE-1B43-4882-A3E3D58E7FCD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26052305-241C-1E41-5BA1-82D1F0E0547A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8DE91B39-02D5-6788-9243-2F76D324295B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3293620-EA34-A35B-7ADA-D8EA3DDE40B8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342B92A-25CA-8220-5195-EDE710C86E7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7FFE2EFD-D8DC-C49C-C2D8-AB5FCBA6934A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F4CC1FB8-E658-EC08-8493-4A130D5AF59F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8A3D4B0B-CD9A-C19B-294C-D375D533CB79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4AA17BAE-172D-E7B3-59FA-F4FA1FB4366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78F32D3-AD4E-3CD5-C351-40F343BAB34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6582CE62-0491-91A6-72AF-EEB51D484C42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69754C5E-E4F9-A53D-CE8B-0A6B5DB7847C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663B9727-3875-3BF1-FB4B-1DFEEA64E7F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30FA2F44-9D58-4B59-19C5-1BF193274E8C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800921E-8F8E-A0F6-69C1-AE97F930D87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6C83871C-B593-0F8E-DD5B-6D92E20E497A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0B607AFF-EFE6-9F1F-04CC-7F195EB9C084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57E1E9DE-5E0F-6269-C1D9-9763765F4C8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D7E13091-EC74-56E1-300F-B3287FE53451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6CDE7BE0-A34D-4E8C-FE82-AC5010055E5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FRI</v>
      </c>
      <c r="I1" s="880">
        <f>D4</f>
        <v>37008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37008</v>
      </c>
      <c r="E4" s="847">
        <f>Weather_Input!A6</f>
        <v>37009</v>
      </c>
      <c r="F4" s="847">
        <f>Weather_Input!A7</f>
        <v>37010</v>
      </c>
      <c r="G4" s="847">
        <f>Weather_Input!A8</f>
        <v>37011</v>
      </c>
      <c r="H4" s="847">
        <f>Weather_Input!A9</f>
        <v>37012</v>
      </c>
      <c r="I4" s="848">
        <f>Weather_Input!A10</f>
        <v>37013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62/42/52</v>
      </c>
      <c r="E5" s="881" t="str">
        <f>TEXT(Weather_Input!B6,"0")&amp;"/"&amp;TEXT(Weather_Input!C6,"0") &amp; "/" &amp; TEXT((Weather_Input!B6+Weather_Input!C6)/2,"0")</f>
        <v>67/48/58</v>
      </c>
      <c r="F5" s="881" t="str">
        <f>TEXT(Weather_Input!B7,"0")&amp;"/"&amp;TEXT(Weather_Input!C7,"0") &amp; "/" &amp; TEXT((Weather_Input!B7+Weather_Input!C7)/2,"0")</f>
        <v>78/56/67</v>
      </c>
      <c r="G5" s="881" t="str">
        <f>TEXT(Weather_Input!B8,"0")&amp;"/"&amp;TEXT(Weather_Input!C8,"0") &amp; "/" &amp; TEXT((Weather_Input!B8+Weather_Input!C8)/2,"0")</f>
        <v>82/58/70</v>
      </c>
      <c r="H5" s="881" t="str">
        <f>TEXT(Weather_Input!B9,"0")&amp;"/"&amp;TEXT(Weather_Input!C9,"0") &amp; "/" &amp; TEXT((Weather_Input!B9+Weather_Input!C9)/2,"0")</f>
        <v>84/64/74</v>
      </c>
      <c r="I5" s="882" t="str">
        <f>TEXT(Weather_Input!B10,"0")&amp;"/"&amp;TEXT(Weather_Input!C10,"0") &amp; "/" &amp; TEXT((Weather_Input!B10+Weather_Input!C10)/2,"0")</f>
        <v>84/64/74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62</v>
      </c>
      <c r="E6" s="850">
        <f ca="1">VLOOKUP(E4,NSG_Sendouts,CELL("Col",NSG_Deliveries!C6),FALSE)/1000</f>
        <v>53</v>
      </c>
      <c r="F6" s="850">
        <f ca="1">VLOOKUP(F4,NSG_Sendouts,CELL("Col",NSG_Deliveries!C7),FALSE)/1000</f>
        <v>44</v>
      </c>
      <c r="G6" s="850">
        <f ca="1">VLOOKUP(G4,NSG_Sendouts,CELL("Col",NSG_Deliveries!C8),FALSE)/1000</f>
        <v>46</v>
      </c>
      <c r="H6" s="850">
        <f ca="1">VLOOKUP(H4,NSG_Sendouts,CELL("Col",NSG_Deliveries!C9),FALSE)/1000</f>
        <v>42</v>
      </c>
      <c r="I6" s="855">
        <f ca="1">VLOOKUP(I4,NSG_Sendouts,CELL("Col",NSG_Deliveries!C10),FALSE)/1000</f>
        <v>42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82</v>
      </c>
      <c r="E19" s="859">
        <f t="shared" ca="1" si="1"/>
        <v>73</v>
      </c>
      <c r="F19" s="859">
        <f t="shared" ca="1" si="1"/>
        <v>64</v>
      </c>
      <c r="G19" s="859">
        <f t="shared" ca="1" si="1"/>
        <v>66</v>
      </c>
      <c r="H19" s="859">
        <f t="shared" ca="1" si="1"/>
        <v>62</v>
      </c>
      <c r="I19" s="860">
        <f t="shared" ca="1" si="1"/>
        <v>62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6.0439999999999996</v>
      </c>
      <c r="E25" s="850">
        <f>NSG_Supplies!F8/1000</f>
        <v>3.25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52.905000000000001</v>
      </c>
      <c r="E32" s="850">
        <f>NSG_Supplies!R8/1000</f>
        <v>49.755000000000003</v>
      </c>
      <c r="F32" s="850">
        <f>NSG_Supplies!R9/1000</f>
        <v>49.755000000000003</v>
      </c>
      <c r="G32" s="850">
        <f>NSG_Supplies!R10/1000</f>
        <v>49.755000000000003</v>
      </c>
      <c r="H32" s="850">
        <f>NSG_Supplies!R11/1000</f>
        <v>49.755000000000003</v>
      </c>
      <c r="I32" s="851">
        <f>NSG_Supplies!R12/1000</f>
        <v>49.755000000000003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78.948999999999998</v>
      </c>
      <c r="E37" s="890">
        <f t="shared" si="2"/>
        <v>73.004999999999995</v>
      </c>
      <c r="F37" s="890">
        <f t="shared" si="2"/>
        <v>69.754999999999995</v>
      </c>
      <c r="G37" s="890">
        <f t="shared" si="2"/>
        <v>69.754999999999995</v>
      </c>
      <c r="H37" s="890">
        <f t="shared" si="2"/>
        <v>69.754999999999995</v>
      </c>
      <c r="I37" s="891">
        <f t="shared" si="2"/>
        <v>69.754999999999995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4.9999999999954525E-3</v>
      </c>
      <c r="F38" s="894">
        <f t="shared" ca="1" si="3"/>
        <v>5.7549999999999955</v>
      </c>
      <c r="G38" s="894">
        <f t="shared" ca="1" si="3"/>
        <v>3.7549999999999955</v>
      </c>
      <c r="H38" s="894">
        <f t="shared" ca="1" si="3"/>
        <v>7.7549999999999955</v>
      </c>
      <c r="I38" s="895">
        <f t="shared" ca="1" si="3"/>
        <v>7.7549999999999955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3.0510000000000019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27.905000000000001</v>
      </c>
      <c r="E40" s="1173">
        <f>NSG_Supplies!S8/1000</f>
        <v>24.754999999999999</v>
      </c>
      <c r="F40" s="1173">
        <f>NSG_Supplies!S9/1000</f>
        <v>24.754999999999999</v>
      </c>
      <c r="G40" s="1173">
        <f>NSG_Supplies!S10/1000</f>
        <v>24.754999999999999</v>
      </c>
      <c r="H40" s="1173">
        <f>NSG_Supplies!S11/1000</f>
        <v>24.754999999999999</v>
      </c>
      <c r="I40" s="1174">
        <f>NSG_Supplies!S12/1000</f>
        <v>24.754999999999999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9.1</v>
      </c>
      <c r="E42" s="901">
        <f>Weather_Input!D6</f>
        <v>10</v>
      </c>
      <c r="F42" s="901">
        <f>Weather_Input!D7</f>
        <v>15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37008</v>
      </c>
      <c r="G1" s="770" t="str">
        <f>CHOOSE(WEEKDAY(F1),"SUN","MON","TUE","WED","THU","FRI","SAT")</f>
        <v>FRI</v>
      </c>
      <c r="H1" s="592" t="s">
        <v>258</v>
      </c>
      <c r="I1" s="593"/>
    </row>
    <row r="2" spans="1:9" ht="15.75">
      <c r="A2" s="258" t="s">
        <v>11</v>
      </c>
      <c r="B2" s="609" t="s">
        <v>696</v>
      </c>
      <c r="C2" s="962"/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62</v>
      </c>
      <c r="C4" s="964">
        <f>Weather_Input!C5</f>
        <v>42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635</v>
      </c>
      <c r="B5" s="965"/>
      <c r="C5" s="966">
        <f>PGL_Requirements!H7/1000</f>
        <v>21.32</v>
      </c>
      <c r="D5" s="620"/>
      <c r="E5" s="302"/>
      <c r="F5" s="620"/>
      <c r="G5" s="607"/>
      <c r="H5" s="302"/>
      <c r="I5" s="296"/>
    </row>
    <row r="6" spans="1:9" ht="15.75">
      <c r="A6" s="262" t="s">
        <v>424</v>
      </c>
      <c r="B6" s="1163" t="s">
        <v>11</v>
      </c>
      <c r="C6" s="967">
        <f>PGL_Deliveries!C5/1000</f>
        <v>320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152.62899999999999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-3.3306690738754696E-15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-156.161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255.321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13.519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10.499000000000001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705</v>
      </c>
      <c r="B19" s="617" t="s">
        <v>11</v>
      </c>
      <c r="C19" s="511">
        <f>SUM(C9:C17)-C18</f>
        <v>275.80700000000002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44.192999999999984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432</v>
      </c>
      <c r="B24" s="973" t="s">
        <v>11</v>
      </c>
      <c r="C24" s="974">
        <f>SUM(B54+B56+B57)</f>
        <v>2.3361000000000001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433</v>
      </c>
      <c r="B25" s="978" t="s">
        <v>11</v>
      </c>
      <c r="C25" s="979">
        <f>SUM(C22:C24)</f>
        <v>46.529099999999985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57.781999999999996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-112.578</v>
      </c>
      <c r="D29" s="986" t="s">
        <v>11</v>
      </c>
      <c r="E29" s="985">
        <f>-PGL_Supplies!AC7/1000</f>
        <v>-112.578</v>
      </c>
      <c r="F29" s="307"/>
      <c r="G29" s="985">
        <f>-PGL_Supplies!AC7/1000</f>
        <v>-112.578</v>
      </c>
      <c r="H29" s="514"/>
      <c r="I29" s="987">
        <f>-PGL_Supplies!AC7/1000</f>
        <v>-112.578</v>
      </c>
      <c r="L29" s="1102"/>
    </row>
    <row r="30" spans="1:12" ht="16.5" thickBot="1">
      <c r="A30" s="326" t="s">
        <v>11</v>
      </c>
      <c r="B30" s="487" t="s">
        <v>11</v>
      </c>
      <c r="C30" s="1186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152.62899999999999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5" thickBot="1">
      <c r="A34" s="559" t="s">
        <v>448</v>
      </c>
      <c r="B34" s="1124">
        <f>+B33+B32-B31</f>
        <v>152.62899999999999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1.1599999999999999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75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5" thickBot="1">
      <c r="A41" s="559" t="s">
        <v>448</v>
      </c>
      <c r="B41" s="566">
        <f>B40+B37-B36-B38+B39</f>
        <v>-3.3306690738754696E-15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75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155.74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5" thickBot="1">
      <c r="A52" s="425" t="s">
        <v>455</v>
      </c>
      <c r="B52" s="324">
        <f>PGL_Supplies!H7/1000</f>
        <v>0.20899999999999999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0.63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748</v>
      </c>
      <c r="B54" s="324">
        <f>PGL_Requirements!Q7/1000</f>
        <v>2.3361000000000001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8" t="s">
        <v>457</v>
      </c>
      <c r="B55" s="519">
        <f>-B49+B50+B52+B56+B57-B53-B51</f>
        <v>-156.161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4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261.98099999999999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PGL_Requirements!H7/1000*0.5</f>
        <v>10.66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255.321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700</v>
      </c>
      <c r="G62" s="594"/>
      <c r="H62" s="1087" t="s">
        <v>11</v>
      </c>
      <c r="I62" s="1085">
        <f>H57-I59-I61</f>
        <v>251.321</v>
      </c>
    </row>
    <row r="63" spans="1:9" ht="16.5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I59</f>
        <v>10.66</v>
      </c>
    </row>
    <row r="64" spans="1:9" ht="15.75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5" t="s">
        <v>787</v>
      </c>
      <c r="G64" s="434"/>
      <c r="H64" s="1116"/>
      <c r="I64" s="1182">
        <f>PGL_Requirements!H7/1000</f>
        <v>21.32</v>
      </c>
    </row>
    <row r="65" spans="1:9" ht="15.75">
      <c r="A65" s="370" t="s">
        <v>739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261.98099999999999</v>
      </c>
    </row>
    <row r="66" spans="1:9" ht="16.5" thickBot="1">
      <c r="A66" s="1188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5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5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7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FRI</v>
      </c>
      <c r="G1" s="1082">
        <f>Weather_Input!A5</f>
        <v>37008</v>
      </c>
      <c r="H1" s="589" t="s">
        <v>258</v>
      </c>
      <c r="I1" s="593"/>
    </row>
    <row r="2" spans="1:9" ht="20.25">
      <c r="A2" s="642" t="s">
        <v>11</v>
      </c>
      <c r="B2" s="793" t="s">
        <v>561</v>
      </c>
      <c r="C2" s="953"/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0.25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62</v>
      </c>
      <c r="C4" s="758">
        <f>Weather_Input!C5</f>
        <v>42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62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62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4" thickBot="1">
      <c r="A19" s="703" t="s">
        <v>433</v>
      </c>
      <c r="B19" s="704"/>
      <c r="C19" s="705">
        <f>C7+C12</f>
        <v>62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442</v>
      </c>
      <c r="B25" s="714"/>
      <c r="C25" s="711">
        <f>-NSG_Supplies!F7/1000</f>
        <v>-6.0439999999999996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-52.905000000000001</v>
      </c>
      <c r="D26" s="718"/>
      <c r="E26" s="711">
        <f>-NSG_Supplies!R7/1000</f>
        <v>-52.905000000000001</v>
      </c>
      <c r="F26" s="718"/>
      <c r="G26" s="711">
        <f>-NSG_Supplies!R7/1000</f>
        <v>-52.905000000000001</v>
      </c>
      <c r="H26" s="717"/>
      <c r="I26" s="776">
        <f>-NSG_Supplies!R7/1000</f>
        <v>-52.905000000000001</v>
      </c>
    </row>
    <row r="27" spans="1:9" ht="20.25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25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25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25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62</v>
      </c>
      <c r="C5" s="266">
        <f>Weather_Input!C5</f>
        <v>42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320</v>
      </c>
      <c r="C8" s="274">
        <f>NSG_Deliveries!C5/1000</f>
        <v>62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225.76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13.519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-3.1110000000000184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0.20899999999999999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10.499000000000001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-246.87599999999998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73.124000000000024</v>
      </c>
      <c r="C20" s="295">
        <f>C8+C18+C19</f>
        <v>62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2.3361000000000001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75.460100000000025</v>
      </c>
      <c r="C23" s="301">
        <f>C20</f>
        <v>62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-112.578</v>
      </c>
      <c r="C32" s="315">
        <f>-NSG_Supplies!R7/1000</f>
        <v>-52.905000000000001</v>
      </c>
      <c r="D32" s="315">
        <f>B32</f>
        <v>-112.578</v>
      </c>
      <c r="E32" s="315">
        <f>C32</f>
        <v>-52.905000000000001</v>
      </c>
      <c r="F32" s="315">
        <f>B32</f>
        <v>-112.578</v>
      </c>
      <c r="G32" s="315">
        <f>C32</f>
        <v>-52.905000000000001</v>
      </c>
      <c r="H32" s="320">
        <f>B32</f>
        <v>-112.578</v>
      </c>
      <c r="I32" s="321">
        <f>C32</f>
        <v>-52.905000000000001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-27.905000000000001</v>
      </c>
      <c r="D33" s="315">
        <f>B33</f>
        <v>0</v>
      </c>
      <c r="E33" s="315">
        <f>C33</f>
        <v>-27.905000000000001</v>
      </c>
      <c r="F33" s="315">
        <f>B33</f>
        <v>0</v>
      </c>
      <c r="G33" s="315">
        <f>C33</f>
        <v>-27.905000000000001</v>
      </c>
      <c r="H33" s="320">
        <f>B33</f>
        <v>0</v>
      </c>
      <c r="I33" s="321">
        <f>C33</f>
        <v>-27.905000000000001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57.781999999999996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-6.0439999999999996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155.74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0.20899999999999999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2.3361000000000001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2.3361000000000001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0.20899999999999999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225.76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225.76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152.62899999999999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155.74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-3.1110000000000184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37008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57.781999999999996</v>
      </c>
      <c r="D97" s="602"/>
      <c r="E97" s="614">
        <f>+C97</f>
        <v>57.781999999999996</v>
      </c>
      <c r="F97" s="602"/>
      <c r="G97" s="614">
        <f>+C97</f>
        <v>57.781999999999996</v>
      </c>
      <c r="H97" s="602"/>
      <c r="I97" s="285">
        <f>+C97</f>
        <v>57.781999999999996</v>
      </c>
    </row>
    <row r="98" spans="1:9" ht="15">
      <c r="A98" s="493" t="s">
        <v>60</v>
      </c>
      <c r="B98" s="282" t="s">
        <v>11</v>
      </c>
      <c r="C98" s="623">
        <f>B149</f>
        <v>0.20899999999999999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225.76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152.62899999999999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10.499000000000001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1.1599999999999999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-27.905000000000001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57.781999999999996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1.1599999999999999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5" thickBot="1">
      <c r="A133" s="559" t="s">
        <v>448</v>
      </c>
      <c r="B133" s="566">
        <f>B126+B127+B130+B131+B132-B125-B128-B129</f>
        <v>57.781999999999996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75" thickBot="1">
      <c r="A140" s="425" t="s">
        <v>394</v>
      </c>
      <c r="B140" s="324">
        <f>PGL_Supplies!V7/1000</f>
        <v>225.76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5" thickBot="1">
      <c r="A141" s="559" t="s">
        <v>448</v>
      </c>
      <c r="B141" s="561">
        <f>-B135+B136+B137-B138+B139+B140</f>
        <v>225.76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155.74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75" thickBot="1">
      <c r="A146" s="425" t="s">
        <v>455</v>
      </c>
      <c r="B146" s="324">
        <f>PGL_Supplies!H7/1000</f>
        <v>0.20899999999999999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2.3361000000000001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457</v>
      </c>
      <c r="B149" s="519">
        <f>B144+B146</f>
        <v>0.20899999999999999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394</v>
      </c>
      <c r="B160" s="611">
        <f>PGL_Supplies!Y7/1000</f>
        <v>152.62899999999999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5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5" thickBot="1">
      <c r="A162" s="399" t="s">
        <v>457</v>
      </c>
      <c r="B162" s="612">
        <f>B154+B156+B158+B159+B160-B153-B155-B157-B161</f>
        <v>152.62899999999999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37010.461601620373</v>
      </c>
      <c r="F22" s="164" t="s">
        <v>272</v>
      </c>
      <c r="G22" s="191">
        <f ca="1">NOW()</f>
        <v>37010.461601620373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37010.461601620373</v>
      </c>
      <c r="F22" s="164" t="s">
        <v>272</v>
      </c>
      <c r="G22" s="191">
        <f ca="1">NOW()</f>
        <v>37010.461601620373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37008</v>
      </c>
      <c r="C5" s="15"/>
      <c r="D5" s="22" t="s">
        <v>290</v>
      </c>
      <c r="E5" s="23">
        <f>Weather_Input!B5</f>
        <v>62</v>
      </c>
      <c r="F5" s="24" t="s">
        <v>291</v>
      </c>
      <c r="G5" s="25">
        <f>Weather_Input!H5</f>
        <v>13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42</v>
      </c>
      <c r="F6" s="24" t="s">
        <v>293</v>
      </c>
      <c r="G6" s="25">
        <f>Weather_Input!F5</f>
        <v>358</v>
      </c>
      <c r="H6" s="26" t="s">
        <v>294</v>
      </c>
      <c r="I6" s="27">
        <f ca="1">G6-(VLOOKUP(B5,DD_Normal_Data,CELL("Col",C7),FALSE))</f>
        <v>-109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52.3</v>
      </c>
      <c r="F7" s="24" t="s">
        <v>296</v>
      </c>
      <c r="G7" s="25">
        <f>Weather_Input!G5</f>
        <v>6391</v>
      </c>
      <c r="H7" s="26" t="s">
        <v>296</v>
      </c>
      <c r="I7" s="123">
        <f ca="1">G7-(VLOOKUP(B5,DD_Normal_Data,CELL("Col",D4),FALSE))</f>
        <v>276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MOSTLY SUNNY WITH A WARM BREEZE.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MAINLY CLEAR AND COOL.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37009</v>
      </c>
      <c r="C10" s="15"/>
      <c r="D10" s="153" t="s">
        <v>290</v>
      </c>
      <c r="E10" s="23">
        <f>Weather_Input!B6</f>
        <v>67</v>
      </c>
      <c r="F10" s="24" t="s">
        <v>291</v>
      </c>
      <c r="G10" s="25">
        <f>IF(E12&lt;65,65-(Weather_Input!B6+Weather_Input!C6)/2,0)</f>
        <v>7.5</v>
      </c>
      <c r="H10" s="26" t="s">
        <v>292</v>
      </c>
      <c r="I10" s="27">
        <f ca="1">G10-(VLOOKUP(B10,DD_Normal_Data,CELL("Col",B11),FALSE))</f>
        <v>-4.5</v>
      </c>
    </row>
    <row r="11" spans="1:109" ht="15">
      <c r="A11" s="18"/>
      <c r="B11" s="21"/>
      <c r="C11" s="15"/>
      <c r="D11" s="22" t="s">
        <v>176</v>
      </c>
      <c r="E11" s="23">
        <f>Weather_Input!C6</f>
        <v>48</v>
      </c>
      <c r="F11" s="24" t="s">
        <v>293</v>
      </c>
      <c r="G11" s="25">
        <f>IF(DAY(B10)=1,G10,G6+G10)</f>
        <v>365.5</v>
      </c>
      <c r="H11" s="30" t="s">
        <v>294</v>
      </c>
      <c r="I11" s="27">
        <f ca="1">G11-(VLOOKUP(B10,DD_Normal_Data,CELL("Col",C12),FALSE))</f>
        <v>-113.5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57.5</v>
      </c>
      <c r="F12" s="24" t="s">
        <v>296</v>
      </c>
      <c r="G12" s="25">
        <f>IF(AND(DAY(B10)=1,MONTH(B10)=8),G10,G7+G10)</f>
        <v>6398.5</v>
      </c>
      <c r="H12" s="26" t="s">
        <v>296</v>
      </c>
      <c r="I12" s="27">
        <f ca="1">G12-(VLOOKUP(B10,DD_Normal_Data,CELL("Col",D9),FALSE))</f>
        <v>271.5</v>
      </c>
    </row>
    <row r="13" spans="1:109" ht="15">
      <c r="A13" s="18"/>
      <c r="B13" s="21"/>
      <c r="C13" s="15"/>
      <c r="D13" s="32" t="str">
        <f>IF(Weather_Input!I6=""," ",Weather_Input!I6)</f>
        <v xml:space="preserve">  INTERVALS OF CLOUDS AND SUN.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37010</v>
      </c>
      <c r="C15" s="15"/>
      <c r="D15" s="22" t="s">
        <v>290</v>
      </c>
      <c r="E15" s="23">
        <f>Weather_Input!B7</f>
        <v>78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-12</v>
      </c>
    </row>
    <row r="16" spans="1:109" ht="15">
      <c r="A16" s="18"/>
      <c r="B16" s="20"/>
      <c r="C16" s="15"/>
      <c r="D16" s="22" t="s">
        <v>176</v>
      </c>
      <c r="E16" s="23">
        <f>Weather_Input!C7</f>
        <v>56</v>
      </c>
      <c r="F16" s="24" t="s">
        <v>293</v>
      </c>
      <c r="G16" s="25">
        <f>IF(DAY(B15)=1,G15,G11+G15)</f>
        <v>365.5</v>
      </c>
      <c r="H16" s="30" t="s">
        <v>294</v>
      </c>
      <c r="I16" s="27">
        <f ca="1">G16-(VLOOKUP(B15,DD_Normal_Data,CELL("Col",C17),FALSE))</f>
        <v>-125.5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67</v>
      </c>
      <c r="F17" s="24" t="s">
        <v>296</v>
      </c>
      <c r="G17" s="25">
        <f>IF(AND(DAY(B15)=1,MONTH(B15)=8),G15,G12+G15)</f>
        <v>6398.5</v>
      </c>
      <c r="H17" s="26" t="s">
        <v>296</v>
      </c>
      <c r="I17" s="27">
        <f ca="1">G17-(VLOOKUP(B15,DD_Normal_Data,CELL("Col",D14),FALSE))</f>
        <v>259.5</v>
      </c>
    </row>
    <row r="18" spans="1:109" ht="15">
      <c r="A18" s="18"/>
      <c r="B18" s="20"/>
      <c r="C18" s="15"/>
      <c r="D18" s="32" t="str">
        <f>IF(Weather_Input!I7=""," ",Weather_Input!I7)</f>
        <v xml:space="preserve">  SEVERAL HOURS OF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37011</v>
      </c>
      <c r="C20" s="15"/>
      <c r="D20" s="22" t="s">
        <v>290</v>
      </c>
      <c r="E20" s="23">
        <f>Weather_Input!B8</f>
        <v>82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-12</v>
      </c>
    </row>
    <row r="21" spans="1:109" ht="15">
      <c r="A21" s="18"/>
      <c r="B21" s="21"/>
      <c r="C21" s="15"/>
      <c r="D21" s="22" t="s">
        <v>176</v>
      </c>
      <c r="E21" s="23">
        <f>Weather_Input!C8</f>
        <v>58</v>
      </c>
      <c r="F21" s="24" t="s">
        <v>293</v>
      </c>
      <c r="G21" s="25">
        <f>IF(DAY(B20)=1,G20,G16+G20)</f>
        <v>365.5</v>
      </c>
      <c r="H21" s="30" t="s">
        <v>294</v>
      </c>
      <c r="I21" s="27">
        <f ca="1">G21-(VLOOKUP(B20,DD_Normal_Data,CELL("Col",C22),FALSE))</f>
        <v>-137.5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70</v>
      </c>
      <c r="F22" s="24" t="s">
        <v>296</v>
      </c>
      <c r="G22" s="25">
        <f>IF(AND(DAY(B20)=1,MONTH(B20)=8),G20,G17+G20)</f>
        <v>6398.5</v>
      </c>
      <c r="H22" s="26" t="s">
        <v>296</v>
      </c>
      <c r="I22" s="27">
        <f ca="1">G22-(VLOOKUP(B20,DD_Normal_Data,CELL("Col",D19),FALSE))</f>
        <v>247.5</v>
      </c>
    </row>
    <row r="23" spans="1:109" ht="15">
      <c r="A23" s="18"/>
      <c r="B23" s="21"/>
      <c r="C23" s="15"/>
      <c r="D23" s="32" t="str">
        <f>IF(Weather_Input!I8=""," ",Weather_Input!I8)</f>
        <v xml:space="preserve">  SOME SUNSHINE WITH A CHANCE OF A THUNDERSTORM IN THE AFTERNOON.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37012</v>
      </c>
      <c r="C25" s="15"/>
      <c r="D25" s="22" t="s">
        <v>290</v>
      </c>
      <c r="E25" s="23">
        <f>Weather_Input!B9</f>
        <v>84</v>
      </c>
      <c r="F25" s="24" t="s">
        <v>291</v>
      </c>
      <c r="G25" s="25">
        <f>IF(E27&lt;65,65-(Weather_Input!B9+Weather_Input!C9)/2,0)</f>
        <v>0</v>
      </c>
      <c r="H25" s="26" t="s">
        <v>292</v>
      </c>
      <c r="I25" s="27">
        <f ca="1">G25-(VLOOKUP(B25,DD_Normal_Data,CELL("Col",B26),FALSE))</f>
        <v>-11</v>
      </c>
    </row>
    <row r="26" spans="1:109" ht="15">
      <c r="A26" s="18"/>
      <c r="B26" s="21"/>
      <c r="C26" s="15"/>
      <c r="D26" s="22" t="s">
        <v>176</v>
      </c>
      <c r="E26" s="23">
        <f>Weather_Input!C9</f>
        <v>64</v>
      </c>
      <c r="F26" s="24" t="s">
        <v>293</v>
      </c>
      <c r="G26" s="25">
        <f>IF(DAY(B25)=1,G25,G21+G25)</f>
        <v>0</v>
      </c>
      <c r="H26" s="30" t="s">
        <v>294</v>
      </c>
      <c r="I26" s="27">
        <f ca="1">G26-(VLOOKUP(B25,DD_Normal_Data,CELL("Col",C27),FALSE))</f>
        <v>-11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74</v>
      </c>
      <c r="F27" s="24" t="s">
        <v>296</v>
      </c>
      <c r="G27" s="25">
        <f>IF(AND(DAY(B25)=1,MONTH(B25)=8),G25,G22+G25)</f>
        <v>6398.5</v>
      </c>
      <c r="H27" s="26" t="s">
        <v>296</v>
      </c>
      <c r="I27" s="27">
        <f ca="1">G27-(VLOOKUP(B25,DD_Normal_Data,CELL("Col",D24),FALSE))</f>
        <v>236.5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37013</v>
      </c>
      <c r="C30" s="15"/>
      <c r="D30" s="22" t="s">
        <v>290</v>
      </c>
      <c r="E30" s="23">
        <f>Weather_Input!B10</f>
        <v>84</v>
      </c>
      <c r="F30" s="24" t="s">
        <v>291</v>
      </c>
      <c r="G30" s="25">
        <f>IF(E32&lt;65,65-(Weather_Input!B10+Weather_Input!C10)/2,0)</f>
        <v>0</v>
      </c>
      <c r="H30" s="26" t="s">
        <v>292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64</v>
      </c>
      <c r="F31" s="24" t="s">
        <v>293</v>
      </c>
      <c r="G31" s="25">
        <f>IF(DAY(B30)=1,G30,G26+G30)</f>
        <v>0</v>
      </c>
      <c r="H31" s="30" t="s">
        <v>294</v>
      </c>
      <c r="I31" s="27">
        <f ca="1">G31-(VLOOKUP(B30,DD_Normal_Data,CELL("Col",C32),FALSE))</f>
        <v>-22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74</v>
      </c>
      <c r="F32" s="24" t="s">
        <v>296</v>
      </c>
      <c r="G32" s="25">
        <f>IF(AND(DAY(B30)=1,MONTH(B30)=8),G30,G27+G30)</f>
        <v>6398.5</v>
      </c>
      <c r="H32" s="26" t="s">
        <v>296</v>
      </c>
      <c r="I32" s="27">
        <f ca="1">G32-(VLOOKUP(B30,DD_Normal_Data,CELL("Col",D29),FALSE))</f>
        <v>225.5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37008</v>
      </c>
      <c r="C36" s="91">
        <f>B10</f>
        <v>37009</v>
      </c>
      <c r="D36" s="91">
        <f>B15</f>
        <v>37010</v>
      </c>
      <c r="E36" s="91">
        <f xml:space="preserve">       B20</f>
        <v>37011</v>
      </c>
      <c r="F36" s="91">
        <f>B25</f>
        <v>37012</v>
      </c>
      <c r="G36" s="91">
        <f>B30</f>
        <v>37013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320</v>
      </c>
      <c r="C37" s="41">
        <f ca="1">(VLOOKUP(C36,PGL_Sendouts,(CELL("COL",PGL_Deliveries!C7))))/1000</f>
        <v>270</v>
      </c>
      <c r="D37" s="41">
        <f ca="1">(VLOOKUP(D36,PGL_Sendouts,(CELL("COL",PGL_Deliveries!C8))))/1000</f>
        <v>235</v>
      </c>
      <c r="E37" s="41">
        <f ca="1">(VLOOKUP(E36,PGL_Sendouts,(CELL("COL",PGL_Deliveries!C9))))/1000</f>
        <v>250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301</v>
      </c>
      <c r="B38" s="41">
        <f>PGL_6_Day_Report!D30</f>
        <v>588.30809999999997</v>
      </c>
      <c r="C38" s="41">
        <f>PGL_6_Day_Report!E30</f>
        <v>589.54</v>
      </c>
      <c r="D38" s="41">
        <f>PGL_6_Day_Report!F30</f>
        <v>525.67849999999999</v>
      </c>
      <c r="E38" s="41">
        <f>PGL_6_Day_Report!G30</f>
        <v>553.67950000000008</v>
      </c>
      <c r="F38" s="41">
        <f>PGL_6_Day_Report!H30</f>
        <v>453.24499999999995</v>
      </c>
      <c r="G38" s="41">
        <f>PGL_6_Day_Report!I30</f>
        <v>443.04999999999995</v>
      </c>
      <c r="H38" s="14"/>
      <c r="I38" s="15"/>
    </row>
    <row r="39" spans="1:9" ht="15">
      <c r="A39" s="42" t="s">
        <v>109</v>
      </c>
      <c r="B39" s="41">
        <f>SUM(PGL_Supplies!Z7:AE7)/1000</f>
        <v>415.71899999999999</v>
      </c>
      <c r="C39" s="41">
        <f>SUM(PGL_Supplies!Z8:AE8)/1000</f>
        <v>419.15199999999999</v>
      </c>
      <c r="D39" s="41">
        <f>SUM(PGL_Supplies!Z9:AE9)/1000</f>
        <v>419.15199999999999</v>
      </c>
      <c r="E39" s="41">
        <f>SUM(PGL_Supplies!Z10:AE10)/1000</f>
        <v>419.15199999999999</v>
      </c>
      <c r="F39" s="41">
        <f>SUM(PGL_Supplies!Z11:AE11)/1000</f>
        <v>414.53199999999998</v>
      </c>
      <c r="G39" s="41">
        <f>SUM(PGL_Supplies!Z12:AE12)/1000</f>
        <v>414.53199999999998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40.630000000000003</v>
      </c>
      <c r="C41" s="41">
        <f>SUM(PGL_Requirements!R7:U7)/1000</f>
        <v>40.630000000000003</v>
      </c>
      <c r="D41" s="41">
        <f>SUM(PGL_Requirements!R7:U7)/1000</f>
        <v>40.630000000000003</v>
      </c>
      <c r="E41" s="41">
        <f>SUM(PGL_Requirements!R7:U7)/1000</f>
        <v>40.630000000000003</v>
      </c>
      <c r="F41" s="41">
        <f>SUM(PGL_Requirements!R7:U7)/1000</f>
        <v>40.630000000000003</v>
      </c>
      <c r="G41" s="41">
        <f>SUM(PGL_Requirements!R7:U7)/1000</f>
        <v>40.630000000000003</v>
      </c>
      <c r="H41" s="14"/>
      <c r="I41" s="15"/>
    </row>
    <row r="42" spans="1:9" ht="15">
      <c r="A42" s="15" t="s">
        <v>132</v>
      </c>
      <c r="B42" s="41">
        <f>PGL_Supplies!V7/1000</f>
        <v>225.76</v>
      </c>
      <c r="C42" s="41">
        <f>PGL_Supplies!V8/1000</f>
        <v>220.76</v>
      </c>
      <c r="D42" s="41">
        <f>PGL_Supplies!V9/1000</f>
        <v>220.76</v>
      </c>
      <c r="E42" s="41">
        <f>PGL_Supplies!V10/1000</f>
        <v>220.76</v>
      </c>
      <c r="F42" s="41">
        <f>PGL_Supplies!V11/1000</f>
        <v>220.76</v>
      </c>
      <c r="G42" s="41">
        <f>PGL_Supplies!V12/1000</f>
        <v>220.76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37008</v>
      </c>
      <c r="C44" s="91">
        <f t="shared" si="0"/>
        <v>37009</v>
      </c>
      <c r="D44" s="91">
        <f t="shared" si="0"/>
        <v>37010</v>
      </c>
      <c r="E44" s="91">
        <f t="shared" si="0"/>
        <v>37011</v>
      </c>
      <c r="F44" s="91">
        <f t="shared" si="0"/>
        <v>37012</v>
      </c>
      <c r="G44" s="91">
        <f t="shared" si="0"/>
        <v>37013</v>
      </c>
      <c r="H44" s="14"/>
      <c r="I44" s="15"/>
    </row>
    <row r="45" spans="1:9" ht="15">
      <c r="A45" s="15" t="s">
        <v>56</v>
      </c>
      <c r="B45" s="41">
        <f ca="1">NSG_6_Day_Report!D6</f>
        <v>62</v>
      </c>
      <c r="C45" s="41">
        <f ca="1">NSG_6_Day_Report!E6</f>
        <v>53</v>
      </c>
      <c r="D45" s="41">
        <f ca="1">NSG_6_Day_Report!F6</f>
        <v>44</v>
      </c>
      <c r="E45" s="41">
        <f ca="1">NSG_6_Day_Report!G6</f>
        <v>46</v>
      </c>
      <c r="F45" s="41">
        <f ca="1">NSG_6_Day_Report!H6</f>
        <v>42</v>
      </c>
      <c r="G45" s="41">
        <f ca="1">NSG_6_Day_Report!I6</f>
        <v>42</v>
      </c>
      <c r="H45" s="14"/>
      <c r="I45" s="15"/>
    </row>
    <row r="46" spans="1:9" ht="15">
      <c r="A46" s="42" t="s">
        <v>301</v>
      </c>
      <c r="B46" s="41">
        <f ca="1">NSG_6_Day_Report!D19</f>
        <v>82</v>
      </c>
      <c r="C46" s="41">
        <f ca="1">NSG_6_Day_Report!E19</f>
        <v>73</v>
      </c>
      <c r="D46" s="41">
        <f ca="1">NSG_6_Day_Report!F19</f>
        <v>64</v>
      </c>
      <c r="E46" s="41">
        <f ca="1">NSG_6_Day_Report!G19</f>
        <v>66</v>
      </c>
      <c r="F46" s="41">
        <f ca="1">NSG_6_Day_Report!H19</f>
        <v>62</v>
      </c>
      <c r="G46" s="41">
        <f ca="1">NSG_6_Day_Report!I19</f>
        <v>62</v>
      </c>
      <c r="H46" s="14"/>
      <c r="I46" s="15"/>
    </row>
    <row r="47" spans="1:9" ht="15">
      <c r="A47" s="42" t="s">
        <v>109</v>
      </c>
      <c r="B47" s="41">
        <f>SUM(NSG_Supplies!P7:R7)/1000</f>
        <v>72.905000000000001</v>
      </c>
      <c r="C47" s="41">
        <f>SUM(NSG_Supplies!P8:R8)/1000</f>
        <v>69.754999999999995</v>
      </c>
      <c r="D47" s="41">
        <f>SUM(NSG_Supplies!P9:R9)/1000</f>
        <v>69.754999999999995</v>
      </c>
      <c r="E47" s="41">
        <f>SUM(NSG_Supplies!P10:R10)/1000</f>
        <v>69.754999999999995</v>
      </c>
      <c r="F47" s="41">
        <f>SUM(NSG_Supplies!P11:R11)/1000</f>
        <v>69.754999999999995</v>
      </c>
      <c r="G47" s="41">
        <f>SUM(NSG_Supplies!P12:R12)/1000</f>
        <v>69.754999999999995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27.905000000000001</v>
      </c>
      <c r="C50" s="41">
        <f>NSG_Supplies!S8/1000</f>
        <v>24.754999999999999</v>
      </c>
      <c r="D50" s="41">
        <f>NSG_Supplies!S9/1000</f>
        <v>24.754999999999999</v>
      </c>
      <c r="E50" s="41">
        <f>NSG_Supplies!S10/1000</f>
        <v>24.754999999999999</v>
      </c>
      <c r="F50" s="41">
        <f>NSG_Supplies!S11/1000</f>
        <v>24.754999999999999</v>
      </c>
      <c r="G50" s="41">
        <f>NSG_Supplies!S12/1000</f>
        <v>24.754999999999999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37008</v>
      </c>
      <c r="C52" s="91">
        <f t="shared" si="1"/>
        <v>37009</v>
      </c>
      <c r="D52" s="91">
        <f t="shared" si="1"/>
        <v>37010</v>
      </c>
      <c r="E52" s="91">
        <f t="shared" si="1"/>
        <v>37011</v>
      </c>
      <c r="F52" s="91">
        <f t="shared" si="1"/>
        <v>37012</v>
      </c>
      <c r="G52" s="91">
        <f t="shared" si="1"/>
        <v>37013</v>
      </c>
      <c r="H52" s="14"/>
      <c r="I52" s="15"/>
    </row>
    <row r="53" spans="1:9" ht="15">
      <c r="A53" s="94" t="s">
        <v>305</v>
      </c>
      <c r="B53" s="41">
        <f>PGL_Requirements!P7/1000</f>
        <v>155.74</v>
      </c>
      <c r="C53" s="41">
        <f>PGL_Requirements!P8/1000</f>
        <v>187</v>
      </c>
      <c r="D53" s="41">
        <f>PGL_Requirements!P9/1000</f>
        <v>240</v>
      </c>
      <c r="E53" s="41">
        <f>PGL_Requirements!P10/1000</f>
        <v>240</v>
      </c>
      <c r="F53" s="41">
        <f>PGL_Requirements!P11/1000</f>
        <v>160</v>
      </c>
      <c r="G53" s="41">
        <f>PGL_Requirements!P12/1000</f>
        <v>160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311</v>
      </c>
    </row>
    <row r="4" spans="1:8">
      <c r="A4" s="99"/>
      <c r="B4" s="1141" t="str">
        <f>Six_Day_Summary!A10</f>
        <v>Saturday</v>
      </c>
      <c r="C4" s="1142" t="str">
        <f>Six_Day_Summary!A15</f>
        <v>Sunday</v>
      </c>
      <c r="D4" s="1142" t="str">
        <f>Six_Day_Summary!A20</f>
        <v>Monday</v>
      </c>
      <c r="E4" s="1142" t="str">
        <f>Six_Day_Summary!A25</f>
        <v>Tuesday</v>
      </c>
      <c r="F4" s="1143" t="str">
        <f>Six_Day_Summary!A30</f>
        <v>Wednesday</v>
      </c>
      <c r="G4" s="100"/>
    </row>
    <row r="5" spans="1:8">
      <c r="A5" s="103" t="s">
        <v>312</v>
      </c>
      <c r="B5" s="1144">
        <f>Weather_Input!A6</f>
        <v>37009</v>
      </c>
      <c r="C5" s="1145">
        <f>Weather_Input!A7</f>
        <v>37010</v>
      </c>
      <c r="D5" s="1145">
        <f>Weather_Input!A8</f>
        <v>37011</v>
      </c>
      <c r="E5" s="1145">
        <f>Weather_Input!A9</f>
        <v>37012</v>
      </c>
      <c r="F5" s="1146">
        <f>Weather_Input!A10</f>
        <v>37013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77.47999999999999</v>
      </c>
      <c r="C6" s="1147">
        <f>PGL_Supplies!AC9/1000+PGL_Supplies!L9/1000-PGL_Requirements!O9/1000+C15-PGL_Requirements!T9/1000</f>
        <v>131.75</v>
      </c>
      <c r="D6" s="1147">
        <f>PGL_Supplies!AC10/1000+PGL_Supplies!L10/1000-PGL_Requirements!O10/1000+D15-PGL_Requirements!T10/1000</f>
        <v>131.75</v>
      </c>
      <c r="E6" s="1147">
        <f>PGL_Supplies!AC11/1000+PGL_Supplies!L11/1000-PGL_Requirements!O11/1000+E15-PGL_Requirements!T11/1000</f>
        <v>131.75</v>
      </c>
      <c r="F6" s="1148">
        <f>PGL_Supplies!AC12/1000+PGL_Supplies!L12/1000-PGL_Requirements!O12/1000+F15-PGL_Requirements!T12/1000</f>
        <v>131.75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Saturday</v>
      </c>
      <c r="C21" s="1157" t="str">
        <f t="shared" si="0"/>
        <v>Sunday</v>
      </c>
      <c r="D21" s="1157" t="str">
        <f t="shared" si="0"/>
        <v>Monday</v>
      </c>
      <c r="E21" s="1157" t="str">
        <f t="shared" si="0"/>
        <v>Tuesday</v>
      </c>
      <c r="F21" s="1158" t="str">
        <f t="shared" si="0"/>
        <v>Wednesday</v>
      </c>
      <c r="G21" s="100"/>
    </row>
    <row r="22" spans="1:7">
      <c r="A22" s="107" t="s">
        <v>312</v>
      </c>
      <c r="B22" s="1159">
        <f t="shared" si="0"/>
        <v>37009</v>
      </c>
      <c r="C22" s="1159">
        <f t="shared" si="0"/>
        <v>37010</v>
      </c>
      <c r="D22" s="1159">
        <f t="shared" si="0"/>
        <v>37011</v>
      </c>
      <c r="E22" s="1159">
        <f t="shared" si="0"/>
        <v>37012</v>
      </c>
      <c r="F22" s="1160">
        <f t="shared" si="0"/>
        <v>37013</v>
      </c>
      <c r="G22" s="100"/>
    </row>
    <row r="23" spans="1:7">
      <c r="A23" s="100" t="s">
        <v>313</v>
      </c>
      <c r="B23" s="1153">
        <f>NSG_Supplies!R8/1000+NSG_Supplies!F8/1000-NSG_Requirements!H8/1000</f>
        <v>53.005000000000003</v>
      </c>
      <c r="C23" s="1153">
        <f>NSG_Supplies!R9/1000+NSG_Supplies!F9/1000-NSG_Requirements!H9/1000</f>
        <v>49.755000000000003</v>
      </c>
      <c r="D23" s="1153">
        <f>NSG_Supplies!R10/1000+NSG_Supplies!F10/1000-NSG_Requirements!H10/1000</f>
        <v>49.755000000000003</v>
      </c>
      <c r="E23" s="1153">
        <f>NSG_Supplies!R12/1000+NSG_Supplies!F11/1000-NSG_Requirements!H11/1000</f>
        <v>49.755000000000003</v>
      </c>
      <c r="F23" s="1148">
        <f>NSG_Supplies!R12/1000+NSG_Supplies!F12/1000-NSG_Requirements!H12/1000</f>
        <v>49.755000000000003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382</v>
      </c>
      <c r="C1" s="909">
        <f>Weather_Input!A6</f>
        <v>37009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187</v>
      </c>
      <c r="I4" s="176">
        <f>AVERAGE(H4/1.025)</f>
        <v>182.43902439024393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7.791666666666667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242.78200000000001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159.39099999999999</v>
      </c>
      <c r="D11" s="789"/>
      <c r="E11" s="1130"/>
      <c r="F11" s="435" t="s">
        <v>379</v>
      </c>
      <c r="G11" s="447">
        <f>G8+G10</f>
        <v>242.78200000000001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159.39099999999999</v>
      </c>
      <c r="D14" s="438"/>
      <c r="E14" s="440">
        <f>AVERAGE(C14/24)</f>
        <v>6.6412916666666666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40</v>
      </c>
      <c r="D15" s="60"/>
      <c r="E15" s="161"/>
      <c r="F15" s="782" t="s">
        <v>564</v>
      </c>
      <c r="G15" s="447">
        <f>SUM(G11)-G16</f>
        <v>222.392</v>
      </c>
      <c r="H15" s="438" t="s">
        <v>11</v>
      </c>
      <c r="I15" s="440">
        <f>AVERAGE(G15/24)</f>
        <v>9.2663333333333338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40</v>
      </c>
      <c r="E16" s="161"/>
      <c r="F16" s="782" t="s">
        <v>575</v>
      </c>
      <c r="G16" s="448">
        <f>PGL_Requirements!H8/1000</f>
        <v>20.39</v>
      </c>
      <c r="H16" s="448" t="s">
        <v>11</v>
      </c>
      <c r="I16" s="440">
        <f>AVERAGE(G16/24)</f>
        <v>0.84958333333333336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4.62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4.62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4.62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37009</v>
      </c>
      <c r="I1" s="932"/>
      <c r="J1" s="934"/>
      <c r="K1" s="934"/>
    </row>
    <row r="2" spans="1:22" ht="16.5" customHeight="1">
      <c r="A2" s="952" t="s">
        <v>687</v>
      </c>
      <c r="C2" s="1046">
        <v>316</v>
      </c>
      <c r="F2" s="1047">
        <v>315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53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5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5.000000000002558E-3</v>
      </c>
      <c r="N11" s="935"/>
      <c r="O11" s="960"/>
      <c r="U11" s="934"/>
      <c r="V11" s="948"/>
    </row>
    <row r="12" spans="1:22" ht="14.45" customHeight="1">
      <c r="A12" s="932" t="s">
        <v>753</v>
      </c>
      <c r="H12" s="954"/>
      <c r="U12" s="934"/>
      <c r="V12" s="954"/>
    </row>
    <row r="13" spans="1:22" ht="14.45" customHeight="1">
      <c r="A13" s="1049">
        <f>PGL_Supplies!Y8/1000</f>
        <v>159.39099999999999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53.005000000000003</v>
      </c>
      <c r="N19" s="1057"/>
    </row>
    <row r="20" spans="1:17" ht="17.25" customHeight="1">
      <c r="A20" s="954">
        <f>Billy_Sheet!G15</f>
        <v>222.392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580</v>
      </c>
      <c r="K26" s="1059">
        <f>PGL_Deliveries!C6/1000</f>
        <v>270</v>
      </c>
      <c r="L26" s="932" t="s">
        <v>691</v>
      </c>
      <c r="M26" s="954">
        <f>NSG_Deliveries!C6/1000</f>
        <v>53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185.39300000000003</v>
      </c>
      <c r="L28" s="935" t="s">
        <v>745</v>
      </c>
      <c r="M28" s="960">
        <f>SUM(J2+K17+K19+H11+H9-M26)</f>
        <v>20.004999999999995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37008</v>
      </c>
      <c r="G29" s="954">
        <f>PGL_Requirements!H7/1000</f>
        <v>21.32</v>
      </c>
      <c r="H29" s="933"/>
      <c r="J29" s="935" t="s">
        <v>695</v>
      </c>
      <c r="K29" s="954">
        <f>PGL_Supplies!AC8/1000+PGL_Supplies!L8/1000-PGL_Requirements!O8/1000</f>
        <v>77.47999999999999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37009</v>
      </c>
      <c r="G30" s="954">
        <f>PGL_Requirements!H8/1000</f>
        <v>20.39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-7.1269999999999527</v>
      </c>
    </row>
    <row r="32" spans="1:17">
      <c r="A32" s="954">
        <f>PGL_Supplies!H8/1000</f>
        <v>1</v>
      </c>
      <c r="G32" s="954">
        <f>PGL_Requirements!P8/1000</f>
        <v>187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392.78300000000002</v>
      </c>
      <c r="B40" s="948"/>
      <c r="C40" s="947"/>
      <c r="D40" s="948"/>
      <c r="E40" s="948"/>
      <c r="F40" s="1062"/>
      <c r="G40" s="1062">
        <f>SUM(G30:G35)</f>
        <v>207.39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185.39300000000003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672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674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37008</v>
      </c>
      <c r="B5" s="11">
        <v>62</v>
      </c>
      <c r="C5" s="49">
        <v>42</v>
      </c>
      <c r="D5" s="49">
        <v>9.1</v>
      </c>
      <c r="E5" s="11">
        <v>52.3</v>
      </c>
      <c r="F5" s="11">
        <v>358</v>
      </c>
      <c r="G5" s="11">
        <v>6391</v>
      </c>
      <c r="H5" s="11">
        <v>13</v>
      </c>
      <c r="I5" s="911" t="s">
        <v>794</v>
      </c>
      <c r="J5" s="911" t="s">
        <v>795</v>
      </c>
      <c r="K5" s="11">
        <v>3</v>
      </c>
      <c r="L5" s="11">
        <v>1</v>
      </c>
      <c r="N5" s="15" t="str">
        <f>I5&amp;" "&amp;I5</f>
        <v xml:space="preserve">  TODAY - MOSTLY SUNNY WITH A WARM BREEZE.   TODAY - MOSTLY SUNNY WITH A WARM BREEZE.</v>
      </c>
      <c r="AE5" s="15">
        <v>1</v>
      </c>
      <c r="AH5" s="15" t="s">
        <v>34</v>
      </c>
    </row>
    <row r="6" spans="1:34" ht="16.5" customHeight="1">
      <c r="A6" s="88">
        <f>A5+1</f>
        <v>37009</v>
      </c>
      <c r="B6" s="11">
        <v>67</v>
      </c>
      <c r="C6" s="49">
        <v>48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11</v>
      </c>
      <c r="K6" s="11">
        <v>1</v>
      </c>
      <c r="L6" s="11" t="s">
        <v>633</v>
      </c>
      <c r="N6" s="15" t="str">
        <f>I6&amp;" "&amp;J6</f>
        <v xml:space="preserve">  INTERVALS OF CLOUDS AND SUN.  </v>
      </c>
      <c r="AE6" s="15">
        <v>1</v>
      </c>
      <c r="AH6" s="15" t="s">
        <v>35</v>
      </c>
    </row>
    <row r="7" spans="1:34" ht="16.5" customHeight="1">
      <c r="A7" s="88">
        <f>A6+1</f>
        <v>37010</v>
      </c>
      <c r="B7" s="11">
        <v>78</v>
      </c>
      <c r="C7" s="49">
        <v>56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793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SEVERAL HOURS OF SUNSHINE.  </v>
      </c>
    </row>
    <row r="8" spans="1:34" ht="16.5" customHeight="1">
      <c r="A8" s="88">
        <f>A7+1</f>
        <v>37011</v>
      </c>
      <c r="B8" s="11">
        <v>82</v>
      </c>
      <c r="C8" s="49">
        <v>58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797</v>
      </c>
      <c r="J8" s="911" t="s">
        <v>11</v>
      </c>
      <c r="K8" s="11">
        <v>3</v>
      </c>
      <c r="L8" s="11"/>
      <c r="N8" s="15" t="str">
        <f>I8&amp;" "&amp;J8</f>
        <v xml:space="preserve">  SOME SUNSHINE WITH A CHANCE OF A THUNDERSTORM IN THE AFTERNOON.  </v>
      </c>
    </row>
    <row r="9" spans="1:34" ht="16.5" customHeight="1">
      <c r="A9" s="88">
        <f>A8+1</f>
        <v>37012</v>
      </c>
      <c r="B9" s="11">
        <v>84</v>
      </c>
      <c r="C9" s="49">
        <v>64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798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37013</v>
      </c>
      <c r="B10" s="11">
        <v>84</v>
      </c>
      <c r="C10" s="49">
        <v>64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798</v>
      </c>
      <c r="J10" s="911" t="s">
        <v>11</v>
      </c>
      <c r="K10" s="11">
        <v>3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 t="s">
        <v>799</v>
      </c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330.21600000000001</v>
      </c>
      <c r="C2" s="60"/>
      <c r="D2" s="121" t="s">
        <v>325</v>
      </c>
      <c r="E2" s="426">
        <f>Weather_Input!A5</f>
        <v>37008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96.165000000000006</v>
      </c>
      <c r="C5" s="64"/>
      <c r="D5" s="59" t="s">
        <v>582</v>
      </c>
      <c r="E5" s="154">
        <f>PGL_Deliveries!O5/1000</f>
        <v>7.9000000000000001E-2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181.59700000000001</v>
      </c>
      <c r="C6" s="169"/>
      <c r="D6" s="59" t="s">
        <v>583</v>
      </c>
      <c r="E6" s="154">
        <f>PGL_Deliveries!P5/1000</f>
        <v>0.86599999999999999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277.762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104.633</v>
      </c>
      <c r="C8" s="631"/>
      <c r="D8" s="117" t="s">
        <v>585</v>
      </c>
      <c r="E8" s="154">
        <f>PGL_Deliveries!N5/1000</f>
        <v>0.151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0.20200000000000001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4.2779999999999996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13.519</v>
      </c>
      <c r="C11" s="64"/>
      <c r="D11" s="117" t="s">
        <v>587</v>
      </c>
      <c r="E11" s="154">
        <f>PGL_Deliveries!R5/1000</f>
        <v>2.6880000000000002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1.6220000000000001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251.89099999999996</v>
      </c>
      <c r="C13" s="64"/>
      <c r="D13" s="117" t="s">
        <v>219</v>
      </c>
      <c r="E13" s="154">
        <f>PGL_Deliveries!F5/1000</f>
        <v>36.340000000000003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1.94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-102.78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0.27700000000000002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10.499000000000001</v>
      </c>
      <c r="C17" s="169" t="s">
        <v>11</v>
      </c>
      <c r="D17" s="1162" t="s">
        <v>222</v>
      </c>
      <c r="E17" s="210">
        <f>PGL_Deliveries!M5/1000</f>
        <v>4.0110000000000001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5">
        <f>SUM(B8:B17)-C16</f>
        <v>277.76199999999994</v>
      </c>
      <c r="C18" s="169"/>
      <c r="D18" s="179" t="s">
        <v>592</v>
      </c>
      <c r="E18" s="178">
        <f>SUM(E5:E17)</f>
        <v>52.454000000000001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152.62899999999999</v>
      </c>
      <c r="C19" s="631"/>
      <c r="D19" s="117" t="s">
        <v>320</v>
      </c>
      <c r="E19" s="154">
        <f>PGL_Deliveries!AI5/1000</f>
        <v>6.0000000000000001E-3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</v>
      </c>
      <c r="C20" s="64"/>
      <c r="D20" s="117" t="s">
        <v>189</v>
      </c>
      <c r="E20" s="154">
        <f>PGL_Deliveries!AW5/1000+B41</f>
        <v>2.3361000000000001</v>
      </c>
      <c r="F20" s="171"/>
      <c r="H20"/>
      <c r="I20"/>
      <c r="J20"/>
      <c r="K20"/>
      <c r="L20"/>
      <c r="M20"/>
    </row>
    <row r="21" spans="1:13" ht="16.5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54.796100000000003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152.62899999999999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57.781999999999996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-PGL_Supplies!M7/1000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112.578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155.74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0.20899999999999999</v>
      </c>
      <c r="C40" s="64"/>
      <c r="D40" s="212" t="s">
        <v>224</v>
      </c>
      <c r="E40" s="211">
        <f>SUM(E22:E37)-SUM(F23:F39)-E33</f>
        <v>54.796000000000006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53.381</v>
      </c>
      <c r="C42" s="64"/>
      <c r="D42" s="251" t="s">
        <v>529</v>
      </c>
      <c r="E42" s="808">
        <f>PGL_Supplies!AB7/1000</f>
        <v>261.98099999999999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2.3361000000000001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750</v>
      </c>
      <c r="B44" s="210" t="s">
        <v>11</v>
      </c>
      <c r="C44" s="226">
        <f>PGL_Requirements!R7/1000</f>
        <v>0.63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62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42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>
        <f>Weather_Input!E5</f>
        <v>52.3</v>
      </c>
      <c r="C47" s="162"/>
      <c r="D47" s="779" t="s">
        <v>629</v>
      </c>
      <c r="E47" s="68"/>
      <c r="F47" s="809">
        <f>PGL_Deliveries!BE5/1000</f>
        <v>19.733000000000001</v>
      </c>
    </row>
    <row r="48" spans="1:13" ht="15">
      <c r="A48" s="172" t="s">
        <v>623</v>
      </c>
      <c r="B48" s="227">
        <f>Weather_Input!D5</f>
        <v>9.1</v>
      </c>
      <c r="C48" s="162"/>
      <c r="D48" s="251" t="s">
        <v>245</v>
      </c>
      <c r="E48" s="154">
        <f>PGL_Deliveries!AI5/1000</f>
        <v>6.0000000000000001E-3</v>
      </c>
      <c r="F48" s="161"/>
    </row>
    <row r="49" spans="1:6" ht="15">
      <c r="A49" s="172" t="s">
        <v>624</v>
      </c>
      <c r="B49" s="154">
        <f>PGL_Deliveries!AM5/1000</f>
        <v>1.02</v>
      </c>
      <c r="C49" s="162"/>
      <c r="D49" s="60" t="s">
        <v>791</v>
      </c>
      <c r="E49" s="154">
        <f>PGL_Deliveries!AJ5/1000</f>
        <v>8.3209999999999997</v>
      </c>
      <c r="F49" s="161"/>
    </row>
    <row r="50" spans="1:6" ht="15.75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5.1980000000000004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I12" sqref="I12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58.948999999999998</v>
      </c>
      <c r="C3" s="120"/>
      <c r="D3" s="230" t="s">
        <v>325</v>
      </c>
      <c r="E3" s="429">
        <f>Weather_Input!A5</f>
        <v>37008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58.948999999999998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58.948999999999998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52.905000000000001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6.0439999999999996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58.948999999999998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37008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137405</v>
      </c>
      <c r="O6" s="204">
        <v>0</v>
      </c>
      <c r="P6" s="204">
        <v>44609434</v>
      </c>
      <c r="Q6" s="204">
        <v>15045098</v>
      </c>
      <c r="R6" s="204">
        <v>29564336</v>
      </c>
      <c r="S6" s="204">
        <v>0</v>
      </c>
    </row>
    <row r="7" spans="1:19">
      <c r="A7" s="4">
        <f>B1</f>
        <v>37008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152629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44762063</v>
      </c>
      <c r="Q7">
        <f>IF(O7&gt;0,Q6+O7,Q6)</f>
        <v>15045098</v>
      </c>
      <c r="R7">
        <f>IF(P7&gt;Q7,P7-Q7,0)</f>
        <v>29716965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R1" zoomScale="75" workbookViewId="0">
      <selection activeCell="AA6" sqref="AA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37008</v>
      </c>
      <c r="B5" s="1">
        <f>(Weather_Input!B5+Weather_Input!C5)/2</f>
        <v>52</v>
      </c>
      <c r="C5" s="912">
        <v>320000</v>
      </c>
      <c r="D5" s="913">
        <v>96165</v>
      </c>
      <c r="E5" s="913">
        <v>0</v>
      </c>
      <c r="F5" s="913">
        <v>36340</v>
      </c>
      <c r="G5" s="913">
        <v>1622</v>
      </c>
      <c r="H5" s="913">
        <v>1940</v>
      </c>
      <c r="I5" s="913">
        <v>181597</v>
      </c>
      <c r="J5" s="913">
        <v>0</v>
      </c>
      <c r="K5" s="913">
        <v>0</v>
      </c>
      <c r="L5" s="913">
        <v>277</v>
      </c>
      <c r="M5" s="913">
        <v>4011</v>
      </c>
      <c r="N5" s="913">
        <v>151</v>
      </c>
      <c r="O5" s="913">
        <v>79</v>
      </c>
      <c r="P5" s="913">
        <v>866</v>
      </c>
      <c r="Q5" s="913">
        <v>202</v>
      </c>
      <c r="R5" s="913">
        <v>2688</v>
      </c>
      <c r="S5" s="918">
        <v>4278</v>
      </c>
      <c r="T5" s="1161">
        <v>0</v>
      </c>
      <c r="U5" s="912">
        <f>SUM(D5:S5)-T5</f>
        <v>330216</v>
      </c>
      <c r="V5" s="912">
        <v>104633</v>
      </c>
      <c r="W5" s="11">
        <v>0</v>
      </c>
      <c r="X5" s="11">
        <v>0</v>
      </c>
      <c r="Y5" s="11">
        <v>0</v>
      </c>
      <c r="Z5" s="11">
        <v>251891</v>
      </c>
      <c r="AA5" s="11">
        <v>19733</v>
      </c>
      <c r="AB5" s="11">
        <v>0</v>
      </c>
      <c r="AC5" s="11">
        <v>0</v>
      </c>
      <c r="AD5" s="11">
        <v>0</v>
      </c>
      <c r="AE5" s="11">
        <v>0</v>
      </c>
      <c r="AF5" s="11">
        <v>53381</v>
      </c>
      <c r="AG5" s="11">
        <v>0</v>
      </c>
      <c r="AH5" s="11">
        <v>0</v>
      </c>
      <c r="AI5" s="11">
        <v>6</v>
      </c>
      <c r="AJ5" s="11">
        <v>8321</v>
      </c>
      <c r="AK5" s="11">
        <v>5198</v>
      </c>
      <c r="AL5" s="11">
        <v>0</v>
      </c>
      <c r="AM5" s="1">
        <v>1020</v>
      </c>
      <c r="AN5" s="1"/>
      <c r="AO5" s="1">
        <v>0</v>
      </c>
      <c r="AP5" s="1">
        <v>10499</v>
      </c>
      <c r="AQ5" s="1">
        <v>0</v>
      </c>
      <c r="AR5" s="1">
        <v>0</v>
      </c>
      <c r="AS5" s="1">
        <v>0</v>
      </c>
      <c r="AT5" s="1">
        <v>209</v>
      </c>
      <c r="AU5" s="1">
        <v>155740</v>
      </c>
      <c r="AV5" s="1">
        <v>630</v>
      </c>
      <c r="AW5" s="627">
        <f>AU5*0.015</f>
        <v>2336.1</v>
      </c>
      <c r="AX5" s="1">
        <v>0</v>
      </c>
      <c r="AY5" s="1"/>
      <c r="AZ5" s="1">
        <v>1622</v>
      </c>
      <c r="BA5" s="1">
        <v>1565</v>
      </c>
      <c r="BB5" s="1">
        <v>0</v>
      </c>
      <c r="BC5" s="1">
        <v>0</v>
      </c>
      <c r="BD5" s="1"/>
      <c r="BE5" s="1">
        <v>19733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37009</v>
      </c>
      <c r="B6" s="931">
        <f>(Weather_Input!B6+Weather_Input!C6)/2</f>
        <v>57.5</v>
      </c>
      <c r="C6" s="912">
        <v>270000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37010</v>
      </c>
      <c r="B7" s="931">
        <f>(Weather_Input!B7+Weather_Input!C7)/2</f>
        <v>67</v>
      </c>
      <c r="C7" s="912">
        <v>235000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37011</v>
      </c>
      <c r="B8" s="931">
        <f>(Weather_Input!B8+Weather_Input!C8)/2</f>
        <v>70</v>
      </c>
      <c r="C8" s="912">
        <v>250000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37012</v>
      </c>
      <c r="B9" s="931">
        <f>(Weather_Input!B9+Weather_Input!C9)/2</f>
        <v>74</v>
      </c>
      <c r="C9" s="912">
        <v>240000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37013</v>
      </c>
      <c r="B10" s="931">
        <f>(Weather_Input!B10+Weather_Input!C10)/2</f>
        <v>74</v>
      </c>
      <c r="C10" s="912">
        <v>240000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37008</v>
      </c>
      <c r="B5" s="1">
        <f>(Weather_Input!B5+Weather_Input!C5)/2</f>
        <v>52</v>
      </c>
      <c r="C5" s="912">
        <v>62000</v>
      </c>
      <c r="D5" s="912">
        <v>0</v>
      </c>
      <c r="E5" s="912">
        <v>58949</v>
      </c>
      <c r="F5" s="912">
        <v>0</v>
      </c>
      <c r="G5" s="912">
        <v>0</v>
      </c>
      <c r="H5" s="920">
        <f>SUM(D5:G5)</f>
        <v>58949</v>
      </c>
      <c r="I5" s="1">
        <v>1009</v>
      </c>
      <c r="J5" s="1" t="s">
        <v>11</v>
      </c>
      <c r="K5" s="1">
        <v>0</v>
      </c>
      <c r="L5" s="1">
        <v>6044</v>
      </c>
      <c r="M5" s="1">
        <v>20000</v>
      </c>
      <c r="N5" s="1">
        <v>0</v>
      </c>
    </row>
    <row r="6" spans="1:14">
      <c r="A6" s="12">
        <f>A5+1</f>
        <v>37009</v>
      </c>
      <c r="B6" s="931">
        <f>(Weather_Input!B6+Weather_Input!C6)/2</f>
        <v>57.5</v>
      </c>
      <c r="C6" s="912">
        <v>53000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37010</v>
      </c>
      <c r="B7" s="931">
        <f>(Weather_Input!B7+Weather_Input!C7)/2</f>
        <v>67</v>
      </c>
      <c r="C7" s="912">
        <v>44000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37011</v>
      </c>
      <c r="B8" s="931">
        <f>(Weather_Input!B8+Weather_Input!C8)/2</f>
        <v>70</v>
      </c>
      <c r="C8" s="912">
        <v>46000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37012</v>
      </c>
      <c r="B9" s="931">
        <f>(Weather_Input!B9+Weather_Input!C9)/2</f>
        <v>74</v>
      </c>
      <c r="C9" s="912">
        <v>42000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37013</v>
      </c>
      <c r="B10" s="931">
        <f>(Weather_Input!B10+Weather_Input!C10)/2</f>
        <v>74</v>
      </c>
      <c r="C10" s="912">
        <v>42000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F1" zoomScale="75" workbookViewId="0">
      <selection activeCell="O7" sqref="O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3">
        <f>Weather_Input!A5</f>
        <v>37008</v>
      </c>
      <c r="B7" s="921">
        <v>0</v>
      </c>
      <c r="C7" s="922">
        <v>1160</v>
      </c>
      <c r="D7" s="625">
        <v>0</v>
      </c>
      <c r="E7" s="625">
        <v>0</v>
      </c>
      <c r="F7" s="921">
        <v>0</v>
      </c>
      <c r="G7" s="921">
        <v>0</v>
      </c>
      <c r="H7" s="923">
        <v>21320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57782</v>
      </c>
      <c r="P7" s="625">
        <v>155740</v>
      </c>
      <c r="Q7" s="627">
        <f t="shared" ref="Q7:Q12" si="0">P7*0.015</f>
        <v>2336.1</v>
      </c>
      <c r="R7" s="625">
        <v>630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37008</v>
      </c>
    </row>
    <row r="8" spans="1:89" s="1" customFormat="1" ht="12.75">
      <c r="A8" s="833">
        <f>A7+1</f>
        <v>37009</v>
      </c>
      <c r="B8" s="921">
        <v>0</v>
      </c>
      <c r="C8" s="922">
        <v>0</v>
      </c>
      <c r="D8" s="625">
        <v>4620</v>
      </c>
      <c r="E8" s="625">
        <v>0</v>
      </c>
      <c r="F8" s="921">
        <v>0</v>
      </c>
      <c r="G8" s="921">
        <v>20000</v>
      </c>
      <c r="H8" s="923">
        <v>20390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54270</v>
      </c>
      <c r="P8" s="625">
        <v>187000</v>
      </c>
      <c r="Q8" s="627">
        <f t="shared" si="0"/>
        <v>2805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37009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37010</v>
      </c>
      <c r="B9" s="921">
        <v>0</v>
      </c>
      <c r="C9" s="922">
        <v>0</v>
      </c>
      <c r="D9" s="625">
        <v>4620</v>
      </c>
      <c r="E9" s="625">
        <v>0</v>
      </c>
      <c r="F9" s="921">
        <v>0</v>
      </c>
      <c r="G9" s="921">
        <v>0</v>
      </c>
      <c r="H9" s="923">
        <v>3617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240000</v>
      </c>
      <c r="Q9" s="627">
        <f t="shared" si="0"/>
        <v>3600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37010</v>
      </c>
      <c r="AN9" s="624"/>
    </row>
    <row r="10" spans="1:89" s="1" customFormat="1" ht="12.75">
      <c r="A10" s="833">
        <f>A9+1</f>
        <v>37011</v>
      </c>
      <c r="B10" s="921">
        <v>0</v>
      </c>
      <c r="C10" s="922">
        <v>0</v>
      </c>
      <c r="D10" s="625">
        <v>4620</v>
      </c>
      <c r="E10" s="625">
        <v>0</v>
      </c>
      <c r="F10" s="921">
        <v>0</v>
      </c>
      <c r="G10" s="921">
        <v>0</v>
      </c>
      <c r="H10" s="923">
        <v>29619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240000</v>
      </c>
      <c r="Q10" s="627">
        <f t="shared" si="0"/>
        <v>3600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37011</v>
      </c>
    </row>
    <row r="11" spans="1:89" s="1" customFormat="1" ht="12.75">
      <c r="A11" s="833">
        <f>A10+1</f>
        <v>37012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20390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160000</v>
      </c>
      <c r="Q11" s="627">
        <f t="shared" si="0"/>
        <v>2400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37012</v>
      </c>
    </row>
    <row r="12" spans="1:89" s="1" customFormat="1" ht="12.75">
      <c r="A12" s="833">
        <f>A11+1</f>
        <v>37013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37008</v>
      </c>
      <c r="B7" s="627">
        <v>10499</v>
      </c>
      <c r="C7" s="628">
        <v>0</v>
      </c>
      <c r="D7" s="627">
        <v>0</v>
      </c>
      <c r="E7" s="627">
        <v>4000</v>
      </c>
      <c r="F7" s="627">
        <v>0</v>
      </c>
      <c r="G7" s="921">
        <v>0</v>
      </c>
      <c r="H7" s="625">
        <v>209</v>
      </c>
      <c r="I7" s="625">
        <v>13519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225760</v>
      </c>
      <c r="W7" s="626">
        <v>0</v>
      </c>
      <c r="X7" s="624">
        <v>0</v>
      </c>
      <c r="Y7" s="924">
        <v>152629</v>
      </c>
      <c r="Z7" s="626">
        <v>41160</v>
      </c>
      <c r="AA7" s="1">
        <v>0</v>
      </c>
      <c r="AB7" s="624">
        <v>261981</v>
      </c>
      <c r="AC7" s="624">
        <v>112578</v>
      </c>
      <c r="AD7" s="624">
        <v>0</v>
      </c>
      <c r="AE7" s="924">
        <v>0</v>
      </c>
      <c r="AF7" s="51">
        <f>Weather_Input!A5</f>
        <v>37008</v>
      </c>
      <c r="AI7" s="624"/>
      <c r="AJ7" s="624"/>
      <c r="AK7" s="624"/>
    </row>
    <row r="8" spans="1:37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220760</v>
      </c>
      <c r="W8" s="626">
        <v>0</v>
      </c>
      <c r="X8" s="624">
        <v>0</v>
      </c>
      <c r="Y8" s="924">
        <v>159391</v>
      </c>
      <c r="Z8" s="626">
        <v>40000</v>
      </c>
      <c r="AA8" s="1">
        <v>4620</v>
      </c>
      <c r="AB8" s="624">
        <v>242782</v>
      </c>
      <c r="AC8" s="624">
        <v>131750</v>
      </c>
      <c r="AD8" s="624">
        <v>0</v>
      </c>
      <c r="AE8" s="924">
        <v>0</v>
      </c>
      <c r="AF8" s="833">
        <f>AF7+1</f>
        <v>37009</v>
      </c>
      <c r="AI8" s="624"/>
      <c r="AJ8" s="624"/>
      <c r="AK8" s="624"/>
    </row>
    <row r="9" spans="1:37" s="624" customFormat="1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220760</v>
      </c>
      <c r="W9" s="626">
        <v>0</v>
      </c>
      <c r="X9" s="624">
        <v>0</v>
      </c>
      <c r="Y9" s="924">
        <v>159391</v>
      </c>
      <c r="Z9" s="626">
        <v>40000</v>
      </c>
      <c r="AA9" s="1">
        <v>4620</v>
      </c>
      <c r="AB9" s="624">
        <v>242782</v>
      </c>
      <c r="AC9" s="624">
        <v>131750</v>
      </c>
      <c r="AD9" s="624">
        <v>0</v>
      </c>
      <c r="AE9" s="924">
        <v>0</v>
      </c>
      <c r="AF9" s="833">
        <f>AF8+1</f>
        <v>37010</v>
      </c>
    </row>
    <row r="10" spans="1:37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220760</v>
      </c>
      <c r="W10" s="626">
        <v>0</v>
      </c>
      <c r="X10" s="624">
        <v>0</v>
      </c>
      <c r="Y10" s="924">
        <v>159391</v>
      </c>
      <c r="Z10" s="626">
        <v>40000</v>
      </c>
      <c r="AA10" s="1">
        <v>4620</v>
      </c>
      <c r="AB10" s="624">
        <v>242782</v>
      </c>
      <c r="AC10" s="624">
        <v>131750</v>
      </c>
      <c r="AD10" s="624">
        <v>0</v>
      </c>
      <c r="AE10" s="924">
        <v>0</v>
      </c>
      <c r="AF10" s="833">
        <f>AF9+1</f>
        <v>37011</v>
      </c>
      <c r="AI10" s="624"/>
      <c r="AJ10" s="624"/>
      <c r="AK10" s="624"/>
    </row>
    <row r="11" spans="1:37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220760</v>
      </c>
      <c r="W11" s="626">
        <v>0</v>
      </c>
      <c r="X11" s="624">
        <v>0</v>
      </c>
      <c r="Y11" s="924">
        <v>159391</v>
      </c>
      <c r="Z11" s="626">
        <v>40000</v>
      </c>
      <c r="AA11" s="1">
        <v>0</v>
      </c>
      <c r="AB11" s="624">
        <v>242782</v>
      </c>
      <c r="AC11" s="624">
        <v>131750</v>
      </c>
      <c r="AD11" s="624">
        <v>0</v>
      </c>
      <c r="AE11" s="924">
        <v>0</v>
      </c>
      <c r="AF11" s="833">
        <f>AF10+1</f>
        <v>37012</v>
      </c>
    </row>
    <row r="12" spans="1:37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220760</v>
      </c>
      <c r="W12" s="626">
        <v>0</v>
      </c>
      <c r="X12" s="624">
        <v>0</v>
      </c>
      <c r="Y12" s="924">
        <v>159391</v>
      </c>
      <c r="Z12" s="626">
        <v>40000</v>
      </c>
      <c r="AA12" s="1">
        <v>0</v>
      </c>
      <c r="AB12" s="624">
        <v>242782</v>
      </c>
      <c r="AC12" s="624">
        <v>131750</v>
      </c>
      <c r="AD12" s="624">
        <v>0</v>
      </c>
      <c r="AE12" s="924">
        <v>0</v>
      </c>
      <c r="AF12" s="833">
        <f>AF11+1</f>
        <v>37013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4">
        <f>Weather_Input!A5</f>
        <v>37008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37008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37009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37009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37010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37010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37011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37011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37012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37012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37013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37013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37008</v>
      </c>
      <c r="B7" s="627">
        <v>0</v>
      </c>
      <c r="C7" s="628">
        <v>0</v>
      </c>
      <c r="D7" s="627">
        <v>0</v>
      </c>
      <c r="E7" s="627">
        <v>0</v>
      </c>
      <c r="F7" s="627">
        <v>6044</v>
      </c>
      <c r="G7" s="627">
        <f>(R7+S7+C7+PGL_Requirements!Y7+PGL_Requirements!Z7-NSG_Requirements!C7)*0.05</f>
        <v>4040.5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52905</v>
      </c>
      <c r="S7" s="627">
        <v>27905</v>
      </c>
      <c r="T7" s="627">
        <v>0</v>
      </c>
      <c r="U7" s="627">
        <v>0</v>
      </c>
      <c r="V7" s="833">
        <f>Weather_Input!A5</f>
        <v>37008</v>
      </c>
      <c r="W7" s="624"/>
      <c r="X7" s="624"/>
    </row>
    <row r="8" spans="1:24">
      <c r="A8" s="833">
        <f>A7+1</f>
        <v>37009</v>
      </c>
      <c r="B8" s="627">
        <v>0</v>
      </c>
      <c r="C8" s="628">
        <v>0</v>
      </c>
      <c r="D8" s="627">
        <v>0</v>
      </c>
      <c r="E8" s="627">
        <v>0</v>
      </c>
      <c r="F8" s="627">
        <v>3250</v>
      </c>
      <c r="G8" s="627">
        <f>(R8+S8+C8+PGL_Requirements!Y8+PGL_Requirements!Z8-NSG_Requirements!C8)*0.05</f>
        <v>3725.5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49755</v>
      </c>
      <c r="S8" s="627">
        <v>24755</v>
      </c>
      <c r="T8" s="627">
        <v>0</v>
      </c>
      <c r="U8" s="627">
        <v>0</v>
      </c>
      <c r="V8" s="833">
        <f>V7+1</f>
        <v>37009</v>
      </c>
      <c r="W8" s="624"/>
      <c r="X8" s="624"/>
    </row>
    <row r="9" spans="1:24">
      <c r="A9" s="833">
        <f>A8+1</f>
        <v>37010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3725.5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49755</v>
      </c>
      <c r="S9" s="627">
        <v>24755</v>
      </c>
      <c r="T9" s="627">
        <v>0</v>
      </c>
      <c r="U9" s="627">
        <v>0</v>
      </c>
      <c r="V9" s="833">
        <f>V8+1</f>
        <v>37010</v>
      </c>
      <c r="W9" s="624"/>
      <c r="X9" s="624"/>
    </row>
    <row r="10" spans="1:24">
      <c r="A10" s="833">
        <f>A9+1</f>
        <v>37011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3725.5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49755</v>
      </c>
      <c r="S10" s="627">
        <v>24755</v>
      </c>
      <c r="T10" s="627">
        <v>0</v>
      </c>
      <c r="U10" s="627">
        <v>0</v>
      </c>
      <c r="V10" s="833">
        <f>V9+1</f>
        <v>37011</v>
      </c>
      <c r="W10" s="624"/>
      <c r="X10" s="624"/>
    </row>
    <row r="11" spans="1:24">
      <c r="A11" s="833">
        <f>A10+1</f>
        <v>37012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3725.5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49755</v>
      </c>
      <c r="S11" s="627">
        <v>24755</v>
      </c>
      <c r="T11" s="627">
        <v>0</v>
      </c>
      <c r="U11" s="627">
        <v>0</v>
      </c>
      <c r="V11" s="833">
        <f>V10+1</f>
        <v>37012</v>
      </c>
      <c r="W11" s="624"/>
      <c r="X11" s="624"/>
    </row>
    <row r="12" spans="1:24">
      <c r="A12" s="833">
        <f>A11+1</f>
        <v>37013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3725.5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49755</v>
      </c>
      <c r="S12" s="627">
        <v>24755</v>
      </c>
      <c r="T12" s="627">
        <v>0</v>
      </c>
      <c r="U12" s="627">
        <v>0</v>
      </c>
      <c r="V12" s="833">
        <f>V11+1</f>
        <v>37013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/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FRI</v>
      </c>
      <c r="I1" s="838">
        <f>D4</f>
        <v>37008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</row>
    <row r="4" spans="1:256" ht="15.75" thickBot="1">
      <c r="A4" s="845"/>
      <c r="B4" s="846"/>
      <c r="C4" s="846"/>
      <c r="D4" s="466">
        <f>Weather_Input!A5</f>
        <v>37008</v>
      </c>
      <c r="E4" s="466">
        <f>Weather_Input!A6</f>
        <v>37009</v>
      </c>
      <c r="F4" s="466">
        <f>Weather_Input!A7</f>
        <v>37010</v>
      </c>
      <c r="G4" s="466">
        <f>Weather_Input!A8</f>
        <v>37011</v>
      </c>
      <c r="H4" s="466">
        <f>Weather_Input!A9</f>
        <v>37012</v>
      </c>
      <c r="I4" s="467">
        <f>Weather_Input!A10</f>
        <v>37013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62/42/52</v>
      </c>
      <c r="E5" s="468" t="str">
        <f>TEXT(Weather_Input!B6,"0")&amp;"/"&amp;TEXT(Weather_Input!C6,"0") &amp; "/" &amp; TEXT((Weather_Input!B6+Weather_Input!C6)/2,"0")</f>
        <v>67/48/58</v>
      </c>
      <c r="F5" s="468" t="str">
        <f>TEXT(Weather_Input!B7,"0")&amp;"/"&amp;TEXT(Weather_Input!C7,"0") &amp; "/" &amp; TEXT((Weather_Input!B7+Weather_Input!C7)/2,"0")</f>
        <v>78/56/67</v>
      </c>
      <c r="G5" s="468" t="str">
        <f>TEXT(Weather_Input!B8,"0")&amp;"/"&amp;TEXT(Weather_Input!C8,"0") &amp; "/" &amp; TEXT((Weather_Input!B8+Weather_Input!C8)/2,"0")</f>
        <v>82/58/70</v>
      </c>
      <c r="H5" s="468" t="str">
        <f>TEXT(Weather_Input!B9,"0")&amp;"/"&amp;TEXT(Weather_Input!C9,"0") &amp; "/" &amp; TEXT((Weather_Input!B9+Weather_Input!C9)/2,"0")</f>
        <v>84/64/74</v>
      </c>
      <c r="I5" s="469" t="str">
        <f>TEXT(Weather_Input!B10,"0")&amp;"/"&amp;TEXT(Weather_Input!C10,"0") &amp; "/" &amp; TEXT((Weather_Input!B10+Weather_Input!C10)/2,"0")</f>
        <v>84/64/74</v>
      </c>
    </row>
    <row r="6" spans="1:256" ht="15.75">
      <c r="A6" s="852" t="s">
        <v>139</v>
      </c>
      <c r="B6" s="840"/>
      <c r="C6" s="840"/>
      <c r="D6" s="468">
        <f>PGL_Deliveries!C5/1000</f>
        <v>320</v>
      </c>
      <c r="E6" s="468">
        <f>PGL_Deliveries!C6/1000</f>
        <v>270</v>
      </c>
      <c r="F6" s="468">
        <f>PGL_Deliveries!C7/1000</f>
        <v>235</v>
      </c>
      <c r="G6" s="468">
        <f>PGL_Deliveries!C8/1000</f>
        <v>250</v>
      </c>
      <c r="H6" s="468">
        <f>PGL_Deliveries!C9/1000</f>
        <v>240</v>
      </c>
      <c r="I6" s="469">
        <f>PGL_Deliveries!C10/1000</f>
        <v>240</v>
      </c>
    </row>
    <row r="7" spans="1:256" ht="15.75">
      <c r="A7" s="852" t="s">
        <v>574</v>
      </c>
      <c r="B7" s="840" t="s">
        <v>421</v>
      </c>
      <c r="C7" s="840"/>
      <c r="D7" s="468">
        <f>PGL_Requirements!H7/1000*0.5</f>
        <v>10.66</v>
      </c>
      <c r="E7" s="468">
        <f>PGL_Requirements!H8/1000*0.5</f>
        <v>10.195</v>
      </c>
      <c r="F7" s="468">
        <f>PGL_Requirements!H9/1000*0.5</f>
        <v>1.8085</v>
      </c>
      <c r="G7" s="468">
        <f>PGL_Requirements!H10/1000*0.5</f>
        <v>14.8095</v>
      </c>
      <c r="H7" s="468">
        <f>PGL_Requirements!H11/1000*0.5</f>
        <v>10.195</v>
      </c>
      <c r="I7" s="469">
        <f>PGL_Requirements!H12/1000*0.5</f>
        <v>0</v>
      </c>
    </row>
    <row r="8" spans="1:256" ht="15.75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155.74</v>
      </c>
      <c r="E13" s="468">
        <f>PGL_Requirements!P8/1000</f>
        <v>187</v>
      </c>
      <c r="F13" s="468">
        <f>PGL_Requirements!P9/1000</f>
        <v>240</v>
      </c>
      <c r="G13" s="468">
        <f>PGL_Requirements!P10/1000</f>
        <v>240</v>
      </c>
      <c r="H13" s="468">
        <f>PGL_Requirements!P11/1000</f>
        <v>160</v>
      </c>
      <c r="I13" s="469">
        <f>PGL_Requirements!P12/1000</f>
        <v>160</v>
      </c>
    </row>
    <row r="14" spans="1:256" ht="15.75">
      <c r="A14" s="849"/>
      <c r="B14" s="840"/>
      <c r="C14" s="840" t="s">
        <v>101</v>
      </c>
      <c r="D14" s="468">
        <f>PGL_Requirements!Q7/1000</f>
        <v>2.3361000000000001</v>
      </c>
      <c r="E14" s="468">
        <f>PGL_Requirements!Q8/1000</f>
        <v>2.8050000000000002</v>
      </c>
      <c r="F14" s="468">
        <f>PGL_Requirements!Q9/1000</f>
        <v>3.6</v>
      </c>
      <c r="G14" s="468">
        <f>PGL_Requirements!Q10/1000</f>
        <v>3.6</v>
      </c>
      <c r="H14" s="468">
        <f>PGL_Requirements!Q11/1000</f>
        <v>2.4</v>
      </c>
      <c r="I14" s="469">
        <f>PGL_Requirements!Q12/1000</f>
        <v>2.4</v>
      </c>
    </row>
    <row r="15" spans="1:256" ht="15.75">
      <c r="A15" s="849"/>
      <c r="C15" s="840" t="s">
        <v>746</v>
      </c>
      <c r="D15" s="468">
        <f>PGL_Requirements!R7/1000</f>
        <v>0.63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 ht="15.75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57.781999999999996</v>
      </c>
      <c r="E19" s="468">
        <f>PGL_Requirements!O8/1000</f>
        <v>54.27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1.1599999999999999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4.62</v>
      </c>
      <c r="F27" s="468">
        <f>PGL_Requirements!D9/1000</f>
        <v>4.62</v>
      </c>
      <c r="G27" s="468">
        <f>PGL_Requirements!D10/1000</f>
        <v>4.62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588.30809999999997</v>
      </c>
      <c r="E30" s="472">
        <f t="shared" si="1"/>
        <v>589.54</v>
      </c>
      <c r="F30" s="472">
        <f t="shared" si="1"/>
        <v>525.67849999999999</v>
      </c>
      <c r="G30" s="472">
        <f t="shared" si="1"/>
        <v>553.67950000000008</v>
      </c>
      <c r="H30" s="472">
        <f t="shared" si="1"/>
        <v>453.24499999999995</v>
      </c>
      <c r="I30" s="1175">
        <f t="shared" si="1"/>
        <v>443.04999999999995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0.20899999999999999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774</v>
      </c>
      <c r="B47" s="840" t="s">
        <v>752</v>
      </c>
      <c r="C47" s="840"/>
      <c r="D47" s="468">
        <f>PGL_Supplies!Y7/1000</f>
        <v>152.62899999999999</v>
      </c>
      <c r="E47" s="468">
        <f>PGL_Supplies!Y8/1000</f>
        <v>159.39099999999999</v>
      </c>
      <c r="F47" s="468">
        <f>PGL_Supplies!Y9/1000</f>
        <v>159.39099999999999</v>
      </c>
      <c r="G47" s="468">
        <f>PGL_Supplies!Y10/1000</f>
        <v>159.39099999999999</v>
      </c>
      <c r="H47" s="468">
        <f>PGL_Supplies!Y11/1000</f>
        <v>159.39099999999999</v>
      </c>
      <c r="I47" s="469">
        <f>PGL_Supplies!Y12/1000</f>
        <v>159.39099999999999</v>
      </c>
    </row>
    <row r="48" spans="1:9" ht="15.75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40</v>
      </c>
      <c r="F48" s="468">
        <f>PGL_Supplies!Z9/1000</f>
        <v>40</v>
      </c>
      <c r="G48" s="468">
        <f>PGL_Supplies!Z10/1000</f>
        <v>40</v>
      </c>
      <c r="H48" s="468">
        <f>PGL_Supplies!Z11/1000</f>
        <v>40</v>
      </c>
      <c r="I48" s="469">
        <f>PGL_Supplies!Z12/1000</f>
        <v>40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4.62</v>
      </c>
      <c r="F49" s="468">
        <f>PGL_Supplies!AA9/1000</f>
        <v>4.62</v>
      </c>
      <c r="G49" s="468">
        <f>PGL_Supplies!AA10/1000</f>
        <v>4.62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421</v>
      </c>
      <c r="C50" s="853"/>
      <c r="D50" s="468">
        <f>PGL_Supplies!AB7/1000</f>
        <v>261.98099999999999</v>
      </c>
      <c r="E50" s="468">
        <f>PGL_Supplies!AB8/1000</f>
        <v>242.78200000000001</v>
      </c>
      <c r="F50" s="468">
        <f>PGL_Supplies!AB9/1000</f>
        <v>242.78200000000001</v>
      </c>
      <c r="G50" s="468">
        <f>PGL_Supplies!AB10/1000</f>
        <v>242.78200000000001</v>
      </c>
      <c r="H50" s="468">
        <f>PGL_Supplies!AB11/1000</f>
        <v>242.78200000000001</v>
      </c>
      <c r="I50" s="469">
        <f>PGL_Supplies!AB12/1000</f>
        <v>242.78200000000001</v>
      </c>
    </row>
    <row r="51" spans="1:10" ht="15.75">
      <c r="A51" s="852"/>
      <c r="B51" s="840" t="s">
        <v>141</v>
      </c>
      <c r="C51" s="840"/>
      <c r="D51" s="468">
        <f>PGL_Supplies!AC7/1000</f>
        <v>112.578</v>
      </c>
      <c r="E51" s="468">
        <f>PGL_Supplies!AC8/1000</f>
        <v>131.75</v>
      </c>
      <c r="F51" s="468">
        <f>PGL_Supplies!AC9/1000</f>
        <v>131.75</v>
      </c>
      <c r="G51" s="468">
        <f>PGL_Supplies!AC10/1000</f>
        <v>131.75</v>
      </c>
      <c r="H51" s="468">
        <f>PGL_Supplies!AC11/1000</f>
        <v>131.75</v>
      </c>
      <c r="I51" s="469">
        <f>PGL_Supplies!AC12/1000</f>
        <v>131.75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13.519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792</v>
      </c>
      <c r="B55" s="840"/>
      <c r="C55" s="840"/>
      <c r="D55" s="468">
        <f>PGL_Supplies!B7/1000</f>
        <v>10.499000000000001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763</v>
      </c>
      <c r="B56" s="840" t="s">
        <v>752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421</v>
      </c>
      <c r="C59" s="840"/>
      <c r="D59" s="468">
        <f>PGL_Supplies!E7/1000</f>
        <v>4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596.57500000000005</v>
      </c>
      <c r="E61" s="478">
        <f t="shared" si="2"/>
        <v>589.54300000000001</v>
      </c>
      <c r="F61" s="478">
        <f t="shared" si="2"/>
        <v>589.54300000000001</v>
      </c>
      <c r="G61" s="478">
        <f t="shared" si="2"/>
        <v>589.54300000000001</v>
      </c>
      <c r="H61" s="478">
        <f t="shared" si="2"/>
        <v>584.923</v>
      </c>
      <c r="I61" s="1177">
        <f t="shared" si="2"/>
        <v>584.923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8.2669000000000779</v>
      </c>
      <c r="E62" s="479">
        <f t="shared" si="3"/>
        <v>3.0000000000427463E-3</v>
      </c>
      <c r="F62" s="479">
        <f t="shared" si="3"/>
        <v>63.864500000000021</v>
      </c>
      <c r="G62" s="479">
        <f t="shared" si="3"/>
        <v>35.863499999999931</v>
      </c>
      <c r="H62" s="479">
        <f t="shared" si="3"/>
        <v>131.67800000000005</v>
      </c>
      <c r="I62" s="1178">
        <f t="shared" si="3"/>
        <v>141.87300000000005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778</v>
      </c>
      <c r="B64" s="1167"/>
      <c r="C64" s="1167"/>
      <c r="D64" s="1168">
        <f>PGL_Supplies!V7/1000</f>
        <v>225.76</v>
      </c>
      <c r="E64" s="1168">
        <f>PGL_Supplies!V8/1000</f>
        <v>220.76</v>
      </c>
      <c r="F64" s="1168">
        <f>PGL_Supplies!V9/1000</f>
        <v>220.76</v>
      </c>
      <c r="G64" s="1168">
        <f>PGL_Supplies!V10/1000</f>
        <v>220.76</v>
      </c>
      <c r="H64" s="1168">
        <f>PGL_Supplies!V11/1000</f>
        <v>220.76</v>
      </c>
      <c r="I64" s="1169">
        <f>PGL_Supplies!V12/1000</f>
        <v>220.76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2001-04-29T16:04:42Z</cp:lastPrinted>
  <dcterms:created xsi:type="dcterms:W3CDTF">1997-07-16T16:14:22Z</dcterms:created>
  <dcterms:modified xsi:type="dcterms:W3CDTF">2023-09-10T17:07:25Z</dcterms:modified>
</cp:coreProperties>
</file>