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7ADF88F-4EA1-419E-BDDC-9D09DCAA6CC4}" xr6:coauthVersionLast="47" xr6:coauthVersionMax="47" xr10:uidLastSave="{00000000-0000-0000-0000-000000000000}"/>
  <bookViews>
    <workbookView xWindow="-120" yWindow="-120" windowWidth="38640" windowHeight="15720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Imbalances">Imbalances!$B$7:$S$7</definedName>
    <definedName name="NSG_Sendout_Input">NSG_Deliveries!$C$6:$C$10</definedName>
    <definedName name="NSG_Sendouts">NSG_Deliveries!$A$5:$G$11</definedName>
    <definedName name="Old_Imbalance">Imbalances!$B$6:$S$6</definedName>
    <definedName name="PGL_Nom_Input">PGL_Requirements!$K$8:$AE$12</definedName>
    <definedName name="PGL_Noms">PGL_Requirements!$A$7:$Z$12</definedName>
    <definedName name="PGL_Sendout_Input">PGL_Deliveries!$C$6:$C$10</definedName>
    <definedName name="PGL_Sendouts">PGL_Deliveries!$A$5:$S$10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NSG_Supplies!$A$3:$S$12</definedName>
    <definedName name="_xlnm.Print_Area" localSheetId="4">PGL_Requirements!$I$3:$AJ$12</definedName>
    <definedName name="_xlnm.Print_Area" localSheetId="5">PGL_Supplies!$T$3:$AF$12</definedName>
    <definedName name="_xlnm.Print_Area" localSheetId="1">Weather_Input!$A$2:$H$5</definedName>
    <definedName name="Print_Area_MI">NSG_6_Day_Report!$A$1:$A$38</definedName>
    <definedName name="Six_day_NSG_PRANGE">NSG_6_Day_Report!$A$1:$I$42</definedName>
    <definedName name="Six_Day_PGL_PRANGE">PGL_6_Day_Report!$A$1:$I$64</definedName>
    <definedName name="Six_Day_SUM_PRANGE">Six_Day_Summary!$A$1:$I$60</definedName>
    <definedName name="Weather_Input">Weather_Input!$B$6:$K$10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NSG_6_Day_Report!$A$1:$I$35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NSG_Supplies!$A$3:$S$12</definedName>
    <definedName name="Z_66C35B70_1DF5_11D4_B46C_0004ACEC7D4A_.wvu.PrintArea" localSheetId="4" hidden="1">PGL_Requirements!$I$3:$AJ$12</definedName>
    <definedName name="Z_66C35B70_1DF5_11D4_B46C_0004ACEC7D4A_.wvu.PrintArea" localSheetId="5" hidden="1">PGL_Supplies!$T$3:$AF$12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C12" i="18"/>
  <c r="G12" i="18"/>
  <c r="D13" i="18"/>
  <c r="H13" i="18"/>
  <c r="C14" i="18"/>
  <c r="E14" i="18"/>
  <c r="I14" i="18"/>
  <c r="C15" i="18"/>
  <c r="G15" i="18"/>
  <c r="I15" i="18"/>
  <c r="C16" i="18"/>
  <c r="D16" i="18"/>
  <c r="G16" i="18"/>
  <c r="I16" i="18"/>
  <c r="C17" i="18"/>
  <c r="I17" i="18"/>
  <c r="C18" i="18"/>
  <c r="D19" i="18"/>
  <c r="H19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L9" i="34"/>
  <c r="A11" i="34"/>
  <c r="H11" i="34"/>
  <c r="L11" i="34"/>
  <c r="A13" i="34"/>
  <c r="K17" i="34"/>
  <c r="K19" i="34"/>
  <c r="A20" i="34"/>
  <c r="A23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2" i="10"/>
  <c r="E12" i="10"/>
  <c r="F12" i="10"/>
  <c r="G12" i="10"/>
  <c r="H12" i="10"/>
  <c r="I12" i="10"/>
  <c r="D13" i="10"/>
  <c r="E13" i="10"/>
  <c r="F13" i="10"/>
  <c r="G13" i="10"/>
  <c r="H13" i="10"/>
  <c r="I13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5" i="10"/>
  <c r="E25" i="10"/>
  <c r="F25" i="10"/>
  <c r="G25" i="10"/>
  <c r="H25" i="10"/>
  <c r="I25" i="10"/>
  <c r="D26" i="10"/>
  <c r="E26" i="10"/>
  <c r="F26" i="10"/>
  <c r="G26" i="10"/>
  <c r="H26" i="10"/>
  <c r="I26" i="10"/>
  <c r="D27" i="10"/>
  <c r="E27" i="10"/>
  <c r="F27" i="10"/>
  <c r="G27" i="10"/>
  <c r="H27" i="10"/>
  <c r="I27" i="10"/>
  <c r="D28" i="10"/>
  <c r="E28" i="10"/>
  <c r="F28" i="10"/>
  <c r="G28" i="10"/>
  <c r="H28" i="10"/>
  <c r="I28" i="10"/>
  <c r="D29" i="10"/>
  <c r="E29" i="10"/>
  <c r="F29" i="10"/>
  <c r="G29" i="10"/>
  <c r="H29" i="10"/>
  <c r="I29" i="10"/>
  <c r="D31" i="10"/>
  <c r="E31" i="10"/>
  <c r="F31" i="10"/>
  <c r="G31" i="10"/>
  <c r="H31" i="10"/>
  <c r="I31" i="10"/>
  <c r="D32" i="10"/>
  <c r="E32" i="10"/>
  <c r="F32" i="10"/>
  <c r="G32" i="10"/>
  <c r="H32" i="10"/>
  <c r="I32" i="10"/>
  <c r="D33" i="10"/>
  <c r="E33" i="10"/>
  <c r="F33" i="10"/>
  <c r="G33" i="10"/>
  <c r="H33" i="10"/>
  <c r="I33" i="10"/>
  <c r="D34" i="10"/>
  <c r="E34" i="10"/>
  <c r="F34" i="10"/>
  <c r="G34" i="10"/>
  <c r="H34" i="10"/>
  <c r="I34" i="10"/>
  <c r="D35" i="10"/>
  <c r="E35" i="10"/>
  <c r="F35" i="10"/>
  <c r="G35" i="10"/>
  <c r="H35" i="10"/>
  <c r="I35" i="10"/>
  <c r="D36" i="10"/>
  <c r="E36" i="10"/>
  <c r="F36" i="10"/>
  <c r="G36" i="10"/>
  <c r="H36" i="10"/>
  <c r="I36" i="10"/>
  <c r="D37" i="10"/>
  <c r="E37" i="10"/>
  <c r="F37" i="10"/>
  <c r="G37" i="10"/>
  <c r="H37" i="10"/>
  <c r="I37" i="10"/>
  <c r="D38" i="10"/>
  <c r="E38" i="10"/>
  <c r="F38" i="10"/>
  <c r="G38" i="10"/>
  <c r="H38" i="10"/>
  <c r="I38" i="10"/>
  <c r="D39" i="10"/>
  <c r="E39" i="10"/>
  <c r="F39" i="10"/>
  <c r="G39" i="10"/>
  <c r="H39" i="10"/>
  <c r="I39" i="10"/>
  <c r="D40" i="10"/>
  <c r="E40" i="10"/>
  <c r="F40" i="10"/>
  <c r="G40" i="10"/>
  <c r="H40" i="10"/>
  <c r="I40" i="10"/>
  <c r="D42" i="10"/>
  <c r="E42" i="10"/>
  <c r="F42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B19" i="21"/>
  <c r="F19" i="21"/>
  <c r="B20" i="21"/>
  <c r="F20" i="21"/>
  <c r="B21" i="21"/>
  <c r="E21" i="21"/>
  <c r="C22" i="21"/>
  <c r="E22" i="21"/>
  <c r="C23" i="21"/>
  <c r="E23" i="21"/>
  <c r="B24" i="21"/>
  <c r="E24" i="21"/>
  <c r="C25" i="21"/>
  <c r="E25" i="21"/>
  <c r="B26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E23" i="12"/>
  <c r="G23" i="12"/>
  <c r="I23" i="12"/>
  <c r="C24" i="12"/>
  <c r="C25" i="12"/>
  <c r="C26" i="12"/>
  <c r="E26" i="12"/>
  <c r="G26" i="12"/>
  <c r="I26" i="12"/>
  <c r="C28" i="12"/>
  <c r="E28" i="12"/>
  <c r="G28" i="12"/>
  <c r="I28" i="12"/>
  <c r="B30" i="12"/>
  <c r="B31" i="12"/>
  <c r="B32" i="12"/>
  <c r="B33" i="12"/>
  <c r="B34" i="12"/>
  <c r="B35" i="12"/>
  <c r="B36" i="12"/>
  <c r="B37" i="12"/>
  <c r="B38" i="12"/>
  <c r="B41" i="12"/>
  <c r="B42" i="12"/>
  <c r="B45" i="12"/>
  <c r="B46" i="12"/>
  <c r="B48" i="12"/>
  <c r="B49" i="12"/>
  <c r="B50" i="12"/>
  <c r="B51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G7" i="8"/>
  <c r="V7" i="8"/>
  <c r="A8" i="8"/>
  <c r="G8" i="8"/>
  <c r="V8" i="8"/>
  <c r="A9" i="8"/>
  <c r="G9" i="8"/>
  <c r="V9" i="8"/>
  <c r="A10" i="8"/>
  <c r="G10" i="8"/>
  <c r="V10" i="8"/>
  <c r="A11" i="8"/>
  <c r="G11" i="8"/>
  <c r="V11" i="8"/>
  <c r="A12" i="8"/>
  <c r="G12" i="8"/>
  <c r="V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11" i="9"/>
  <c r="E11" i="9"/>
  <c r="F11" i="9"/>
  <c r="G11" i="9"/>
  <c r="H11" i="9"/>
  <c r="I11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6" i="9"/>
  <c r="E26" i="9"/>
  <c r="F26" i="9"/>
  <c r="G26" i="9"/>
  <c r="H26" i="9"/>
  <c r="I26" i="9"/>
  <c r="D27" i="9"/>
  <c r="E27" i="9"/>
  <c r="F27" i="9"/>
  <c r="G27" i="9"/>
  <c r="H27" i="9"/>
  <c r="I27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5" i="9"/>
  <c r="E45" i="9"/>
  <c r="F45" i="9"/>
  <c r="G45" i="9"/>
  <c r="H45" i="9"/>
  <c r="I45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D54" i="9"/>
  <c r="E54" i="9"/>
  <c r="F54" i="9"/>
  <c r="G54" i="9"/>
  <c r="H54" i="9"/>
  <c r="I54" i="9"/>
  <c r="D55" i="9"/>
  <c r="E55" i="9"/>
  <c r="F55" i="9"/>
  <c r="G55" i="9"/>
  <c r="H55" i="9"/>
  <c r="I55" i="9"/>
  <c r="D56" i="9"/>
  <c r="E56" i="9"/>
  <c r="F56" i="9"/>
  <c r="G56" i="9"/>
  <c r="H56" i="9"/>
  <c r="I56" i="9"/>
  <c r="D57" i="9"/>
  <c r="E57" i="9"/>
  <c r="F57" i="9"/>
  <c r="G57" i="9"/>
  <c r="H57" i="9"/>
  <c r="I57" i="9"/>
  <c r="D58" i="9"/>
  <c r="E58" i="9"/>
  <c r="F58" i="9"/>
  <c r="G58" i="9"/>
  <c r="H58" i="9"/>
  <c r="I58" i="9"/>
  <c r="D59" i="9"/>
  <c r="E59" i="9"/>
  <c r="F59" i="9"/>
  <c r="G59" i="9"/>
  <c r="H59" i="9"/>
  <c r="I59" i="9"/>
  <c r="D60" i="9"/>
  <c r="E60" i="9"/>
  <c r="F60" i="9"/>
  <c r="G60" i="9"/>
  <c r="H60" i="9"/>
  <c r="I60" i="9"/>
  <c r="D61" i="9"/>
  <c r="E61" i="9"/>
  <c r="F61" i="9"/>
  <c r="G61" i="9"/>
  <c r="H61" i="9"/>
  <c r="I61" i="9"/>
  <c r="D62" i="9"/>
  <c r="E62" i="9"/>
  <c r="F62" i="9"/>
  <c r="G62" i="9"/>
  <c r="H62" i="9"/>
  <c r="I62" i="9"/>
  <c r="D63" i="9"/>
  <c r="E63" i="9"/>
  <c r="F63" i="9"/>
  <c r="G63" i="9"/>
  <c r="H63" i="9"/>
  <c r="I63" i="9"/>
  <c r="D64" i="9"/>
  <c r="E64" i="9"/>
  <c r="F64" i="9"/>
  <c r="G64" i="9"/>
  <c r="H64" i="9"/>
  <c r="I64" i="9"/>
  <c r="A5" i="3"/>
  <c r="B5" i="3"/>
  <c r="U5" i="3"/>
  <c r="AW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E5" i="20"/>
  <c r="B6" i="20"/>
  <c r="E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C16" i="20"/>
  <c r="E16" i="20"/>
  <c r="B17" i="20"/>
  <c r="E17" i="20"/>
  <c r="B18" i="20"/>
  <c r="E18" i="20"/>
  <c r="B19" i="20"/>
  <c r="E19" i="20"/>
  <c r="B20" i="20"/>
  <c r="E20" i="20"/>
  <c r="C21" i="20"/>
  <c r="E21" i="20"/>
  <c r="B22" i="20"/>
  <c r="E22" i="20"/>
  <c r="B23" i="20"/>
  <c r="F23" i="20"/>
  <c r="C24" i="20"/>
  <c r="B25" i="20"/>
  <c r="F25" i="20"/>
  <c r="B27" i="20"/>
  <c r="F27" i="20"/>
  <c r="F28" i="20"/>
  <c r="C29" i="20"/>
  <c r="F29" i="20"/>
  <c r="B30" i="20"/>
  <c r="F30" i="20"/>
  <c r="B31" i="20"/>
  <c r="F31" i="20"/>
  <c r="E32" i="20"/>
  <c r="B33" i="20"/>
  <c r="E33" i="20"/>
  <c r="B34" i="20"/>
  <c r="E34" i="20"/>
  <c r="C35" i="20"/>
  <c r="C36" i="20"/>
  <c r="E36" i="20"/>
  <c r="C37" i="20"/>
  <c r="E37" i="20"/>
  <c r="B38" i="20"/>
  <c r="C39" i="20"/>
  <c r="B40" i="20"/>
  <c r="E40" i="20"/>
  <c r="B41" i="20"/>
  <c r="F41" i="20"/>
  <c r="B42" i="20"/>
  <c r="E42" i="20"/>
  <c r="B43" i="20"/>
  <c r="E43" i="20"/>
  <c r="C44" i="20"/>
  <c r="F44" i="20"/>
  <c r="B45" i="20"/>
  <c r="E45" i="20"/>
  <c r="B46" i="20"/>
  <c r="E46" i="20"/>
  <c r="B47" i="20"/>
  <c r="F47" i="20"/>
  <c r="B48" i="20"/>
  <c r="E48" i="20"/>
  <c r="B49" i="20"/>
  <c r="E49" i="20"/>
  <c r="E50" i="20"/>
  <c r="F1" i="11"/>
  <c r="G1" i="11"/>
  <c r="B4" i="11"/>
  <c r="C4" i="11"/>
  <c r="C5" i="11"/>
  <c r="C6" i="11"/>
  <c r="C7" i="11"/>
  <c r="C9" i="11"/>
  <c r="C10" i="11"/>
  <c r="C11" i="11"/>
  <c r="C12" i="11"/>
  <c r="C13" i="11"/>
  <c r="C14" i="11"/>
  <c r="C15" i="11"/>
  <c r="C16" i="11"/>
  <c r="C17" i="11"/>
  <c r="C18" i="11"/>
  <c r="C19" i="11"/>
  <c r="C21" i="11"/>
  <c r="C22" i="11"/>
  <c r="C24" i="11"/>
  <c r="C25" i="11"/>
  <c r="D25" i="11"/>
  <c r="C26" i="11"/>
  <c r="C27" i="11"/>
  <c r="C28" i="11"/>
  <c r="C29" i="11"/>
  <c r="E29" i="11"/>
  <c r="G29" i="11"/>
  <c r="I29" i="11"/>
  <c r="B31" i="11"/>
  <c r="B32" i="11"/>
  <c r="B33" i="11"/>
  <c r="B34" i="11"/>
  <c r="B36" i="11"/>
  <c r="B37" i="11"/>
  <c r="B38" i="11"/>
  <c r="B39" i="11"/>
  <c r="B40" i="11"/>
  <c r="B41" i="11"/>
  <c r="B43" i="11"/>
  <c r="B45" i="11"/>
  <c r="B46" i="11"/>
  <c r="B47" i="11"/>
  <c r="B49" i="11"/>
  <c r="B50" i="11"/>
  <c r="B51" i="11"/>
  <c r="B52" i="11"/>
  <c r="B53" i="11"/>
  <c r="I53" i="11"/>
  <c r="B54" i="11"/>
  <c r="B55" i="11"/>
  <c r="I55" i="11"/>
  <c r="H56" i="11"/>
  <c r="H57" i="11"/>
  <c r="H58" i="11"/>
  <c r="B59" i="11"/>
  <c r="I59" i="11"/>
  <c r="B60" i="11"/>
  <c r="I60" i="11"/>
  <c r="B61" i="11"/>
  <c r="B62" i="11"/>
  <c r="I62" i="11"/>
  <c r="B63" i="11"/>
  <c r="I63" i="11"/>
  <c r="I64" i="11"/>
  <c r="I65" i="11"/>
  <c r="A7" i="5"/>
  <c r="Q7" i="5"/>
  <c r="AJ7" i="5"/>
  <c r="A8" i="5"/>
  <c r="Q8" i="5"/>
  <c r="AJ8" i="5"/>
  <c r="A9" i="5"/>
  <c r="Q9" i="5"/>
  <c r="AJ9" i="5"/>
  <c r="A10" i="5"/>
  <c r="Q10" i="5"/>
  <c r="AJ10" i="5"/>
  <c r="A11" i="5"/>
  <c r="Q11" i="5"/>
  <c r="AJ11" i="5"/>
  <c r="A12" i="5"/>
  <c r="Q12" i="5"/>
  <c r="AJ12" i="5"/>
  <c r="A7" i="6"/>
  <c r="AF7" i="6"/>
  <c r="A8" i="6"/>
  <c r="AF8" i="6"/>
  <c r="A9" i="6"/>
  <c r="AF9" i="6"/>
  <c r="A10" i="6"/>
  <c r="AF10" i="6"/>
  <c r="A11" i="6"/>
  <c r="AF11" i="6"/>
  <c r="A12" i="6"/>
  <c r="AF12" i="6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C40" i="16"/>
  <c r="D40" i="16"/>
  <c r="E40" i="16"/>
  <c r="F40" i="16"/>
  <c r="G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</calcChain>
</file>

<file path=xl/sharedStrings.xml><?xml version="1.0" encoding="utf-8"?>
<sst xmlns="http://schemas.openxmlformats.org/spreadsheetml/2006/main" count="2119" uniqueCount="792">
  <si>
    <t>Peoples Gas 6-day nomination Report</t>
  </si>
  <si>
    <t>Oani</t>
  </si>
  <si>
    <t xml:space="preserve">      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</si>
  <si>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</si>
  <si>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</si>
  <si>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</si>
  <si>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</si>
  <si>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</si>
  <si>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</si>
  <si>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</si>
  <si>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>Somers Rd No-Notice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</si>
  <si>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</si>
  <si>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</si>
  <si>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</si>
  <si>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</si>
  <si>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</si>
  <si>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</si>
  <si>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</si>
  <si>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</si>
  <si>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</si>
  <si>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</si>
  <si>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</si>
  <si>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</si>
  <si>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</si>
  <si>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</si>
  <si>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</si>
  <si>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</si>
  <si>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</si>
  <si>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</si>
  <si>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</si>
  <si>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</si>
  <si>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</si>
  <si>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</si>
  <si>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</si>
  <si>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</si>
  <si>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</si>
  <si>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</si>
  <si>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</si>
  <si>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</si>
  <si>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</si>
  <si>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</si>
  <si>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</si>
  <si>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</si>
  <si>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</si>
  <si>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</si>
  <si>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</si>
  <si>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</si>
  <si>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</si>
  <si>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</si>
  <si>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</si>
  <si>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</si>
  <si>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</si>
  <si>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</si>
  <si>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</si>
  <si>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</si>
  <si>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</si>
  <si>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</si>
  <si>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Street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</si>
  <si>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</si>
  <si>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</si>
  <si>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</si>
  <si>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</si>
  <si>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</si>
  <si>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</si>
  <si>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</si>
  <si>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</si>
  <si>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</si>
  <si>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</si>
  <si>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</si>
  <si>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</si>
  <si>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</si>
  <si>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</si>
  <si>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</si>
  <si>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</si>
  <si>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</si>
  <si>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</si>
  <si>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</si>
  <si>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</si>
  <si>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</si>
  <si>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</si>
  <si>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</si>
  <si>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</si>
  <si>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</si>
  <si>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</si>
  <si>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</si>
  <si>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</si>
  <si>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</si>
  <si>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</si>
  <si>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Gas Owed By PGL</t>
  </si>
  <si>
    <t>Off-System Sales</t>
  </si>
  <si>
    <t>No-Notice</t>
  </si>
  <si>
    <t>PGL Displacements to NSG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</si>
  <si>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</si>
  <si>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</si>
  <si>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</si>
  <si>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</si>
  <si>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</si>
  <si>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</si>
  <si>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</si>
  <si>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</si>
  <si>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</si>
  <si>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</si>
  <si>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</si>
  <si>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</si>
  <si>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</si>
  <si>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Gas Owed to PGL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</si>
  <si>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</si>
  <si>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</si>
  <si>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</si>
  <si>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</si>
  <si>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</si>
  <si>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</si>
  <si>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</si>
  <si>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</si>
  <si>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</si>
  <si>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</si>
  <si>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</si>
  <si>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</si>
  <si>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</si>
  <si>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</si>
  <si>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</si>
  <si>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</si>
  <si>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</si>
  <si>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</si>
  <si>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</si>
  <si>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</si>
  <si>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</si>
  <si>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</si>
  <si>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</si>
  <si>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</si>
  <si>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</si>
  <si>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</si>
  <si>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</si>
  <si>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</si>
  <si>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</si>
  <si>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</si>
  <si>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</si>
  <si>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</si>
  <si>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</si>
  <si>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</si>
  <si>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Off-System Sales:</t>
  </si>
  <si>
    <t>NGPL:</t>
  </si>
  <si>
    <t>TGC:</t>
  </si>
  <si>
    <t>ANR:</t>
  </si>
  <si>
    <t>Injection:</t>
  </si>
  <si>
    <t>PGL:</t>
  </si>
  <si>
    <t>PGL Displacements to NSG:</t>
  </si>
  <si>
    <t>MGT:</t>
  </si>
  <si>
    <t>PGL(Manlove):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</si>
  <si>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</si>
  <si>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</si>
  <si>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</si>
  <si>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</si>
  <si>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</si>
  <si>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</si>
  <si>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NSG Displacement to PGL:</t>
  </si>
  <si>
    <t>NSG:</t>
  </si>
  <si>
    <t>to PGL (Manlove disp)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</si>
  <si>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</si>
  <si>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</si>
  <si>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</si>
  <si>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</si>
  <si>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</si>
  <si>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</si>
  <si>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</si>
  <si>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</si>
  <si>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</si>
  <si>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PGL Displacement to NSG:</t>
  </si>
  <si>
    <t>Flowing Supply:</t>
  </si>
  <si>
    <t>System Supply @ E.J.</t>
  </si>
  <si>
    <t>System Supply @ U.H.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</si>
  <si>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</si>
  <si>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</si>
  <si>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</si>
  <si>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</si>
  <si>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</si>
  <si>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</si>
  <si>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</si>
  <si>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</si>
  <si>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</si>
  <si>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</si>
  <si>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</si>
  <si>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</si>
  <si>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</si>
  <si>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</si>
  <si>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</si>
  <si>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</si>
  <si>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</si>
  <si>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</si>
  <si>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</si>
  <si>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</si>
  <si>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</si>
  <si>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</si>
  <si>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</si>
  <si>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</si>
  <si>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</si>
  <si>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</si>
  <si>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</si>
  <si>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</si>
  <si>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</si>
  <si>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</si>
  <si>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</si>
  <si>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</si>
  <si>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</si>
  <si>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</si>
  <si>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</si>
  <si>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</si>
  <si>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</si>
  <si>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</si>
  <si>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</si>
  <si>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</si>
  <si>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</si>
  <si>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</si>
  <si>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</si>
  <si>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</si>
  <si>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</si>
  <si>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</si>
  <si>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</si>
  <si>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</si>
  <si>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</si>
  <si>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</si>
  <si>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</si>
  <si>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</si>
  <si>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</si>
  <si>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</si>
  <si>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</si>
  <si>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</si>
  <si>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</si>
  <si>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</si>
  <si>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</si>
  <si>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</si>
  <si>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</si>
  <si>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</si>
  <si>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</si>
  <si>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</si>
  <si>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</si>
  <si>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</si>
  <si>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</si>
  <si>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</si>
  <si>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</si>
  <si>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</si>
  <si>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</si>
  <si>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</si>
  <si>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</si>
  <si>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</si>
  <si>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</si>
  <si>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</si>
  <si>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</si>
  <si>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</si>
  <si>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</si>
  <si>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</si>
  <si>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</si>
  <si>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</si>
  <si>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</si>
  <si>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</si>
  <si>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</si>
  <si>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</si>
  <si>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</si>
  <si>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</si>
  <si>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</si>
  <si>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</si>
  <si>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</si>
  <si>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</si>
  <si>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</si>
  <si>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</si>
  <si>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</si>
  <si>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</si>
  <si>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</si>
  <si>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</si>
  <si>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</si>
  <si>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</si>
  <si>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</si>
  <si>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</si>
  <si>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</si>
  <si>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</si>
  <si>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</si>
  <si>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</si>
  <si>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</si>
  <si>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</si>
  <si>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</si>
  <si>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</si>
  <si>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</si>
  <si>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</si>
  <si>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</si>
  <si>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</si>
  <si>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</si>
  <si>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</si>
  <si>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</si>
  <si>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</si>
  <si>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</si>
  <si>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</si>
  <si>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</si>
  <si>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</si>
  <si>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</si>
  <si>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</si>
  <si>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</si>
  <si>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</si>
  <si>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</si>
  <si>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</si>
  <si>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</si>
  <si>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</si>
  <si>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</si>
  <si>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</si>
  <si>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</si>
  <si>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</si>
  <si>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</si>
  <si>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</si>
  <si>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</si>
  <si>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</si>
  <si>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</si>
  <si>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</si>
  <si>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</si>
  <si>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</si>
  <si>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</si>
  <si>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</si>
  <si>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</si>
  <si>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</si>
  <si>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</si>
  <si>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</si>
  <si>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</si>
  <si>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</si>
  <si>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</si>
  <si>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</si>
  <si>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</si>
  <si>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</si>
  <si>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OFF-SYSTEM SALES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</si>
  <si>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</si>
  <si>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</si>
  <si>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</si>
  <si>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</si>
  <si>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</si>
  <si>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</si>
  <si>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</si>
  <si>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</si>
  <si>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</si>
  <si>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</si>
  <si>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</si>
  <si>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</si>
  <si>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</si>
  <si>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</si>
  <si>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</si>
  <si>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</si>
  <si>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</si>
  <si>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PGL TO NSG  NGPL-ANR</t>
  </si>
  <si>
    <t>ANR-50 INJECTION</t>
  </si>
  <si>
    <t>ANR-50 W\DRAWAL @ BUSSE  RD.</t>
  </si>
  <si>
    <t>BESS INJECTION</t>
  </si>
  <si>
    <t>ANR-50 PGL W/D @ BUSSE RD.</t>
  </si>
  <si>
    <t>BESS WITHDRAWAL</t>
  </si>
  <si>
    <t>ANR SYSTEM SUPPLY @ E. JOLIET</t>
  </si>
  <si>
    <t>NSS INJECTION</t>
  </si>
  <si>
    <t>PGL-NSG ANR-ANR DISPLACEMENT</t>
  </si>
  <si>
    <t>NSS WITHDRAWAL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</si>
  <si>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</si>
  <si>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</si>
  <si>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</si>
  <si>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</si>
  <si>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</si>
  <si>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</si>
  <si>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</si>
  <si>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</si>
  <si>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</si>
  <si>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</si>
  <si>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</si>
  <si>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</si>
  <si>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</si>
  <si>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</si>
  <si>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</si>
  <si>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</si>
  <si>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</si>
  <si>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</si>
  <si>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</si>
  <si>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NEW DAY NOMINATIONS/DELIVERIES</t>
  </si>
  <si>
    <t>ANR-50 W/D</t>
  </si>
  <si>
    <t>Payback ANR-PGL</t>
  </si>
  <si>
    <t>Payback PGL-ANR</t>
  </si>
  <si>
    <t>Payback MIDW-PGL</t>
  </si>
  <si>
    <t>Payback PGL-MIDW</t>
  </si>
  <si>
    <t>Total Nominations</t>
  </si>
  <si>
    <t>Payback TGC-PGL</t>
  </si>
  <si>
    <t>Payback PGL-TGC</t>
  </si>
  <si>
    <t>Gas Day: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</si>
  <si>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</si>
  <si>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</si>
  <si>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</si>
  <si>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</si>
  <si>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</si>
  <si>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</si>
  <si>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</si>
  <si>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</si>
  <si>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</si>
  <si>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</si>
  <si>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Busse Rd.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</si>
  <si>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</si>
  <si>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</si>
  <si>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</si>
  <si>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</si>
  <si>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</si>
  <si>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</si>
  <si>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73 RD &amp; CM / BUSSE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</si>
  <si>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</si>
  <si>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</si>
  <si>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</si>
  <si>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</si>
  <si>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</si>
  <si>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</si>
  <si>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</si>
  <si>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</si>
  <si>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</si>
  <si>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</si>
  <si>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</si>
  <si>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</si>
  <si>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</si>
  <si>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</si>
  <si>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</si>
  <si>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</si>
  <si>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</si>
  <si>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</si>
  <si>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</si>
  <si>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</si>
  <si>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</si>
  <si>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</si>
  <si>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</si>
  <si>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</si>
  <si>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</si>
  <si>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</si>
  <si>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</si>
  <si>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</si>
  <si>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</si>
  <si>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</si>
  <si>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</si>
  <si>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</si>
  <si>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</si>
  <si>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</si>
  <si>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</si>
  <si>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</si>
  <si>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</si>
  <si>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</si>
  <si>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</si>
  <si>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</si>
  <si>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</si>
  <si>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</si>
  <si>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</si>
  <si>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</si>
  <si>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</si>
  <si>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</si>
  <si>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</si>
  <si>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</si>
  <si>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</si>
  <si>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</si>
  <si>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</si>
  <si>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</si>
  <si>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</si>
  <si>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</si>
  <si>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</si>
  <si>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</si>
  <si>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</si>
  <si>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</si>
  <si>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</si>
  <si>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</si>
  <si>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</si>
  <si>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</si>
  <si>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</si>
  <si>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</si>
  <si>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</si>
  <si>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</si>
  <si>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</si>
  <si>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</si>
  <si>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</si>
  <si>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</si>
  <si>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</si>
  <si>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</si>
  <si>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</si>
  <si>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</si>
  <si>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</si>
  <si>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</si>
  <si>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</si>
  <si>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</si>
  <si>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</si>
  <si>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</si>
  <si>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</si>
  <si>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</si>
  <si>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</si>
  <si>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</si>
  <si>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</si>
  <si>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</si>
  <si>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</si>
  <si>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</si>
  <si>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</si>
  <si>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</si>
  <si>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</si>
  <si>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PGL TO NSG  PGL-NGPL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</si>
  <si>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</si>
  <si>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</si>
  <si>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</si>
  <si>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</si>
  <si>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</si>
  <si>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</si>
  <si>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</si>
  <si>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</si>
  <si>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</si>
  <si>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</si>
  <si>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</si>
  <si>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</si>
  <si>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</si>
  <si>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</si>
  <si>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</si>
  <si>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</si>
  <si>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</si>
  <si>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</si>
  <si>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</si>
  <si>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</si>
  <si>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</si>
  <si>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</si>
  <si>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</si>
  <si>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</si>
  <si>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</si>
  <si>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</si>
  <si>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System Supply NSG &amp; PGL</t>
  </si>
  <si>
    <t>TGL-30 @ Midwestern</t>
  </si>
  <si>
    <t>PGL TO NSG  NGPL-MGT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</si>
  <si>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</si>
  <si>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</si>
  <si>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</si>
  <si>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</si>
  <si>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</si>
  <si>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</si>
  <si>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</si>
  <si>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</si>
  <si>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</si>
  <si>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Payback NBDR-PGL</t>
  </si>
  <si>
    <t>Payback PGL-NBDR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</si>
  <si>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</si>
  <si>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</si>
  <si>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</si>
  <si>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</si>
  <si>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</si>
  <si>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 xml:space="preserve">OAKTON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</si>
  <si>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</si>
  <si>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</si>
  <si>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</si>
  <si>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</si>
  <si>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</si>
  <si>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</si>
  <si>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</si>
  <si>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</si>
  <si>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</si>
  <si>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 xml:space="preserve">Injection </t>
  </si>
  <si>
    <t>Oakton to NICOR</t>
  </si>
  <si>
    <t>Deliveries to NICOR</t>
  </si>
  <si>
    <t>Deliveries @ Man.North</t>
  </si>
  <si>
    <t>Deliveries @ Manlove</t>
  </si>
  <si>
    <t xml:space="preserve">Deliveries @ Busse </t>
  </si>
  <si>
    <t>Deliveries @ Midwest</t>
  </si>
  <si>
    <t>Deliveries @ E. Joliet</t>
  </si>
  <si>
    <t>via NBDR</t>
  </si>
  <si>
    <t>Morning Avg.</t>
  </si>
  <si>
    <t>Evening Avg.</t>
  </si>
  <si>
    <t xml:space="preserve">Nights Avg. </t>
  </si>
  <si>
    <t xml:space="preserve">Deliveries @ Man.South </t>
  </si>
  <si>
    <t>Deliveries to Manlove</t>
  </si>
  <si>
    <t>131st &amp; Bell Rd.</t>
  </si>
  <si>
    <t>ANR total delivery</t>
  </si>
  <si>
    <t>Manlove Lng/Injection (-)</t>
  </si>
  <si>
    <t>Midwestern total delivery</t>
  </si>
  <si>
    <t>Northern Border total del.</t>
  </si>
  <si>
    <t>Trunkline total delivery</t>
  </si>
  <si>
    <t>Linepack Out   (+)</t>
  </si>
  <si>
    <t>Linepack In      (-)</t>
  </si>
  <si>
    <t>Elwood Energy</t>
  </si>
  <si>
    <t>Deliveries @ Elwood Energy</t>
  </si>
  <si>
    <t>Man. North</t>
  </si>
  <si>
    <t>Man. South</t>
  </si>
  <si>
    <t>MCF</t>
  </si>
  <si>
    <t>DKT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</si>
  <si>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</si>
  <si>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</si>
  <si>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</si>
  <si>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</si>
  <si>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</si>
  <si>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</si>
  <si>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</si>
  <si>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</si>
  <si>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</si>
  <si>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</si>
  <si>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</si>
  <si>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</si>
  <si>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</si>
  <si>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</si>
  <si>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</si>
  <si>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</si>
  <si>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DSS (INJ)</t>
  </si>
  <si>
    <t>MW SYSTEM SUPPLY</t>
  </si>
  <si>
    <t>NSS (INJ)</t>
  </si>
  <si>
    <t>TGL-30 @ MIDWESTERN</t>
  </si>
  <si>
    <t>BESS (INJ)</t>
  </si>
  <si>
    <t>MW Off-System Sales</t>
  </si>
  <si>
    <t>MW DISPLACEMENT</t>
  </si>
  <si>
    <t>TL SYSTEM SUPPLY</t>
  </si>
  <si>
    <t>TEJAS/QNT</t>
  </si>
  <si>
    <t>ANR DISPLACEMENT</t>
  </si>
  <si>
    <t>NO-NOTICE  (INJ)</t>
  </si>
  <si>
    <t>NO-NOTICE  (W/D)</t>
  </si>
  <si>
    <t>TOTAL DELIVERIES</t>
  </si>
  <si>
    <t>DELIVERY TO LNG</t>
  </si>
  <si>
    <t>BESS (W/D)</t>
  </si>
  <si>
    <t>DELIVERY TO INJ.</t>
  </si>
  <si>
    <t>DSS (W/D)</t>
  </si>
  <si>
    <t>MANLOVE INJ. TOTAL</t>
  </si>
  <si>
    <t>NSS (W/D)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</si>
  <si>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</si>
  <si>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</si>
  <si>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</si>
  <si>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</si>
  <si>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</si>
  <si>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</si>
  <si>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</si>
  <si>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</si>
  <si>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</si>
  <si>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</si>
  <si>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* Transportation Gas - Estimated Nominations</t>
  </si>
  <si>
    <t>MOBIL RFG</t>
  </si>
  <si>
    <t>COPIES TO WEAR , GAS ACCOUNTING and GAS TRANSPORTATION (DI VALERIO)</t>
  </si>
  <si>
    <t>Elwood / NICOR</t>
  </si>
  <si>
    <t>Elwood Gas Usage</t>
  </si>
  <si>
    <t>Elwood/NICOR Nom</t>
  </si>
  <si>
    <t xml:space="preserve"> Elwood Energy</t>
  </si>
  <si>
    <t>Northern Borders</t>
  </si>
  <si>
    <t>S</t>
  </si>
  <si>
    <t xml:space="preserve">                   </t>
  </si>
  <si>
    <t xml:space="preserve">       Elwood Usage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</si>
  <si>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</si>
  <si>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</si>
  <si>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</si>
  <si>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</si>
  <si>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</si>
  <si>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Elwood nom</t>
  </si>
  <si>
    <t>Elwood burn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</si>
  <si>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</si>
  <si>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</si>
  <si>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</si>
  <si>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</si>
  <si>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</si>
  <si>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</si>
  <si>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</si>
  <si>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</si>
  <si>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</si>
  <si>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ANR SOMERS RD.</t>
  </si>
  <si>
    <t>No - Notice</t>
  </si>
  <si>
    <t>Deliveries to Somers Rd.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</si>
  <si>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</si>
  <si>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</si>
  <si>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</si>
  <si>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</si>
  <si>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</si>
  <si>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</si>
  <si>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</si>
  <si>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</si>
  <si>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</si>
  <si>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</si>
  <si>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</si>
  <si>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</si>
  <si>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</si>
  <si>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</si>
  <si>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</si>
  <si>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</si>
  <si>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</si>
  <si>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</si>
  <si>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</si>
  <si>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</si>
  <si>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</si>
  <si>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</si>
  <si>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</si>
  <si>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</si>
  <si>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</si>
  <si>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</si>
  <si>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</si>
  <si>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</si>
  <si>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</si>
  <si>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</si>
  <si>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</si>
  <si>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</si>
  <si>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</si>
  <si>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</si>
  <si>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</si>
  <si>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</si>
  <si>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</si>
  <si>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</si>
  <si>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</si>
  <si>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</si>
  <si>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</si>
  <si>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 xml:space="preserve">Morning Avg.       </t>
  </si>
  <si>
    <t>US/ACME</t>
  </si>
  <si>
    <t>TOTAL Northern Border</t>
  </si>
  <si>
    <t>Deliveries to Manhattan North</t>
  </si>
  <si>
    <t>Deliveries to Manhattan South</t>
  </si>
  <si>
    <t xml:space="preserve">            </t>
  </si>
  <si>
    <t>NO-NOTICE</t>
  </si>
  <si>
    <t>System Supply ANR</t>
  </si>
  <si>
    <t>Edison Misson Total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</si>
  <si>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</si>
  <si>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</si>
  <si>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</si>
  <si>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</si>
  <si>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</si>
  <si>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</si>
  <si>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</si>
  <si>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</si>
  <si>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</si>
  <si>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</si>
  <si>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</si>
  <si>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</si>
  <si>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</si>
  <si>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>ANR N0-Notice</t>
  </si>
  <si>
    <t xml:space="preserve">             Don't call suppliers till we get a nomination from NICOR.</t>
  </si>
  <si>
    <t xml:space="preserve">NOTE: If Elwood is to burn any gas make sure Northern Border knows it. </t>
  </si>
  <si>
    <t>ANR No-Notice Withdraw</t>
  </si>
  <si>
    <t>Lincoln Energy</t>
  </si>
  <si>
    <t>Deliveries @ Lincoln Energy</t>
  </si>
  <si>
    <t xml:space="preserve">    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</si>
  <si>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</si>
  <si>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</si>
  <si>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</si>
  <si>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</si>
  <si>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</si>
  <si>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</si>
  <si>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</si>
  <si>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</si>
  <si>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</si>
  <si>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</si>
  <si>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</si>
  <si>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</si>
  <si>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</si>
  <si>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Calumet Edison       (NGPL)</t>
  </si>
  <si>
    <t>Crawford Edison     (Daniel)</t>
  </si>
  <si>
    <t>Lincoln Energy     (SCADA)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</si>
  <si>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</si>
  <si>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</si>
  <si>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</si>
  <si>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</si>
  <si>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</si>
  <si>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</si>
  <si>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</si>
  <si>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</si>
  <si>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</si>
  <si>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</si>
  <si>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</si>
  <si>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</si>
  <si>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</si>
  <si>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 xml:space="preserve">73rd &amp; Crawford </t>
  </si>
  <si>
    <t>Payback PGL to Alliance</t>
  </si>
  <si>
    <t>Payback Alliance to PGL</t>
  </si>
  <si>
    <t>Elwood 100% (NBDR)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</si>
  <si>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</si>
  <si>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</si>
  <si>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</si>
  <si>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</si>
  <si>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</si>
  <si>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</si>
  <si>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</si>
  <si>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>ANR System Supply</t>
  </si>
  <si>
    <t>Midwestern System Supply</t>
  </si>
  <si>
    <t>Alliance Deliveries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</si>
  <si>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</si>
  <si>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</si>
  <si>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</si>
  <si>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</si>
  <si>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</si>
  <si>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</si>
  <si>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</si>
  <si>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Anr</t>
  </si>
  <si>
    <t>Payback NSG TO NICOR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</si>
  <si>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</si>
  <si>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</si>
  <si>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</si>
  <si>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</si>
  <si>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</si>
  <si>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</si>
  <si>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</si>
  <si>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</si>
  <si>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>Deliveries to Sharp Rd.</t>
  </si>
  <si>
    <t>Manlove Hourly Rate</t>
  </si>
  <si>
    <t>Del to Elwood NICOR 100%</t>
  </si>
  <si>
    <t>Unicom                  (SCADA)</t>
  </si>
  <si>
    <t>Fisk Edison             (Daniel)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</si>
  <si>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</si>
  <si>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UNION (CITGO) RFG</t>
  </si>
  <si>
    <t>Line Pack Out:</t>
  </si>
  <si>
    <t xml:space="preserve">  SEVERAL HOURS OF SUNSHINE.</t>
  </si>
  <si>
    <t xml:space="preserve">  INTERVALS OF CLOUDS AND SUN.</t>
  </si>
  <si>
    <t xml:space="preserve">  SOME SUNSHINE WITH A CHANCE OF A THUNDERSTORM IN THE AFTERNOON.</t>
  </si>
  <si>
    <t xml:space="preserve">  PARTLY SUNNY.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</si>
</sst>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b/>
      <u/>
      <sz val="12"/>
      <name val="Arial"/>
      <family val="2"/>
    </font>
    <font>
      <b/>
      <u/>
      <sz val="1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18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93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9" fontId="7" fillId="0" borderId="0" xfId="0" applyNumberFormat="1" applyFont="1" applyBorder="1" applyAlignment="1">
      <alignment horizontal="center"/>
    </xf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15" fillId="0" borderId="3" xfId="0" applyFont="1" applyBorder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17" fillId="0" borderId="0" xfId="0" applyFont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8" fillId="0" borderId="0" xfId="0" quotePrefix="1" applyNumberFormat="1" applyFont="1" applyAlignment="1">
      <alignment horizontal="left"/>
    </xf>
    <xf numFmtId="0" fontId="19" fillId="0" borderId="0" xfId="0" applyFont="1"/>
    <xf numFmtId="0" fontId="20" fillId="0" borderId="0" xfId="0" applyFont="1"/>
    <xf numFmtId="0" fontId="18" fillId="0" borderId="0" xfId="0" applyFont="1" applyProtection="1"/>
    <xf numFmtId="164" fontId="18" fillId="0" borderId="0" xfId="0" applyNumberFormat="1" applyFont="1"/>
    <xf numFmtId="164" fontId="20" fillId="0" borderId="0" xfId="0" applyNumberFormat="1" applyFont="1"/>
    <xf numFmtId="14" fontId="20" fillId="0" borderId="0" xfId="0" applyNumberFormat="1" applyFont="1" applyAlignment="1">
      <alignment horizontal="left"/>
    </xf>
    <xf numFmtId="164" fontId="20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20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0" fontId="16" fillId="0" borderId="26" xfId="0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8" fillId="0" borderId="9" xfId="0" applyFont="1" applyBorder="1"/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1" fillId="0" borderId="0" xfId="0" applyFont="1" applyAlignment="1">
      <alignment horizontal="left"/>
    </xf>
    <xf numFmtId="0" fontId="21" fillId="0" borderId="0" xfId="0" applyFont="1"/>
    <xf numFmtId="0" fontId="22" fillId="0" borderId="0" xfId="0" applyFont="1"/>
    <xf numFmtId="3" fontId="23" fillId="0" borderId="0" xfId="0" applyNumberFormat="1" applyFont="1"/>
    <xf numFmtId="178" fontId="0" fillId="0" borderId="0" xfId="0" applyNumberFormat="1" applyProtection="1"/>
    <xf numFmtId="0" fontId="24" fillId="0" borderId="29" xfId="0" applyFont="1" applyBorder="1" applyAlignment="1">
      <alignment horizontal="centerContinuous"/>
    </xf>
    <xf numFmtId="0" fontId="24" fillId="0" borderId="30" xfId="0" applyFont="1" applyBorder="1" applyAlignment="1">
      <alignment horizontal="centerContinuous"/>
    </xf>
    <xf numFmtId="0" fontId="25" fillId="0" borderId="31" xfId="0" applyFont="1" applyBorder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centerContinuous"/>
    </xf>
    <xf numFmtId="0" fontId="28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167" fontId="5" fillId="0" borderId="1" xfId="0" applyNumberFormat="1" applyFont="1" applyBorder="1"/>
    <xf numFmtId="0" fontId="1" fillId="0" borderId="36" xfId="0" quotePrefix="1" applyFont="1" applyBorder="1" applyAlignment="1">
      <alignment horizontal="center"/>
    </xf>
    <xf numFmtId="0" fontId="7" fillId="2" borderId="12" xfId="0" applyFont="1" applyFill="1" applyBorder="1"/>
    <xf numFmtId="0" fontId="7" fillId="2" borderId="5" xfId="0" applyFont="1" applyFill="1" applyBorder="1"/>
    <xf numFmtId="0" fontId="7" fillId="2" borderId="37" xfId="0" applyFont="1" applyFill="1" applyBorder="1"/>
    <xf numFmtId="0" fontId="12" fillId="0" borderId="0" xfId="0" applyFont="1" applyAlignment="1">
      <alignment horizontal="left"/>
    </xf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8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167" fontId="4" fillId="2" borderId="0" xfId="0" applyNumberFormat="1" applyFont="1" applyFill="1" applyBorder="1" applyProtection="1"/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9" xfId="0" applyBorder="1"/>
    <xf numFmtId="0" fontId="1" fillId="2" borderId="38" xfId="0" quotePrefix="1" applyFont="1" applyFill="1" applyBorder="1" applyAlignment="1">
      <alignment horizontal="left"/>
    </xf>
    <xf numFmtId="0" fontId="0" fillId="0" borderId="40" xfId="0" applyBorder="1"/>
    <xf numFmtId="167" fontId="1" fillId="2" borderId="39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40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1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30" fillId="0" borderId="42" xfId="0" applyFont="1" applyFill="1" applyBorder="1" applyAlignment="1"/>
    <xf numFmtId="0" fontId="29" fillId="0" borderId="42" xfId="0" applyFont="1" applyFill="1" applyBorder="1" applyAlignment="1"/>
    <xf numFmtId="164" fontId="29" fillId="0" borderId="42" xfId="0" applyNumberFormat="1" applyFont="1" applyFill="1" applyBorder="1" applyAlignment="1"/>
    <xf numFmtId="0" fontId="30" fillId="0" borderId="43" xfId="0" applyFont="1" applyFill="1" applyBorder="1" applyAlignment="1"/>
    <xf numFmtId="0" fontId="29" fillId="0" borderId="11" xfId="0" applyFont="1" applyFill="1" applyBorder="1" applyAlignment="1">
      <alignment horizontal="left"/>
    </xf>
    <xf numFmtId="0" fontId="30" fillId="0" borderId="0" xfId="0" applyFont="1" applyFill="1" applyBorder="1" applyAlignment="1"/>
    <xf numFmtId="0" fontId="30" fillId="0" borderId="13" xfId="0" applyFont="1" applyFill="1" applyBorder="1" applyAlignment="1"/>
    <xf numFmtId="0" fontId="30" fillId="0" borderId="0" xfId="0" quotePrefix="1" applyFont="1" applyFill="1" applyBorder="1" applyAlignment="1"/>
    <xf numFmtId="0" fontId="29" fillId="0" borderId="44" xfId="0" applyFont="1" applyFill="1" applyBorder="1" applyAlignment="1">
      <alignment horizontal="left"/>
    </xf>
    <xf numFmtId="0" fontId="30" fillId="0" borderId="2" xfId="0" quotePrefix="1" applyFont="1" applyFill="1" applyBorder="1" applyAlignment="1"/>
    <xf numFmtId="0" fontId="30" fillId="0" borderId="12" xfId="0" quotePrefix="1" applyFont="1" applyFill="1" applyBorder="1" applyAlignment="1"/>
    <xf numFmtId="0" fontId="29" fillId="0" borderId="44" xfId="0" quotePrefix="1" applyFont="1" applyFill="1" applyBorder="1" applyAlignment="1">
      <alignment horizontal="left"/>
    </xf>
    <xf numFmtId="0" fontId="30" fillId="0" borderId="2" xfId="0" applyFont="1" applyFill="1" applyBorder="1" applyAlignment="1"/>
    <xf numFmtId="0" fontId="30" fillId="0" borderId="12" xfId="0" applyFont="1" applyFill="1" applyBorder="1" applyAlignment="1"/>
    <xf numFmtId="0" fontId="30" fillId="0" borderId="39" xfId="0" applyFont="1" applyFill="1" applyBorder="1" applyAlignment="1"/>
    <xf numFmtId="0" fontId="30" fillId="0" borderId="6" xfId="0" applyFont="1" applyFill="1" applyBorder="1" applyAlignment="1"/>
    <xf numFmtId="0" fontId="30" fillId="0" borderId="40" xfId="0" applyFont="1" applyFill="1" applyBorder="1" applyAlignment="1"/>
    <xf numFmtId="0" fontId="30" fillId="0" borderId="5" xfId="0" applyFont="1" applyFill="1" applyBorder="1" applyAlignment="1"/>
    <xf numFmtId="0" fontId="29" fillId="0" borderId="45" xfId="0" quotePrefix="1" applyFont="1" applyFill="1" applyBorder="1" applyAlignment="1">
      <alignment horizontal="left"/>
    </xf>
    <xf numFmtId="166" fontId="30" fillId="0" borderId="42" xfId="0" applyNumberFormat="1" applyFont="1" applyFill="1" applyBorder="1" applyAlignment="1" applyProtection="1"/>
    <xf numFmtId="171" fontId="30" fillId="0" borderId="46" xfId="0" applyNumberFormat="1" applyFont="1" applyFill="1" applyBorder="1" applyAlignment="1"/>
    <xf numFmtId="0" fontId="30" fillId="0" borderId="46" xfId="0" applyFont="1" applyFill="1" applyBorder="1" applyAlignment="1"/>
    <xf numFmtId="0" fontId="30" fillId="0" borderId="47" xfId="0" applyFont="1" applyFill="1" applyBorder="1" applyAlignment="1"/>
    <xf numFmtId="0" fontId="29" fillId="5" borderId="48" xfId="0" quotePrefix="1" applyFont="1" applyFill="1" applyBorder="1" applyAlignment="1">
      <alignment horizontal="left"/>
    </xf>
    <xf numFmtId="0" fontId="29" fillId="5" borderId="49" xfId="0" quotePrefix="1" applyFont="1" applyFill="1" applyBorder="1" applyAlignment="1">
      <alignment horizontal="center"/>
    </xf>
    <xf numFmtId="0" fontId="29" fillId="5" borderId="49" xfId="0" quotePrefix="1" applyFont="1" applyFill="1" applyBorder="1" applyAlignment="1">
      <alignment horizontal="left"/>
    </xf>
    <xf numFmtId="0" fontId="29" fillId="5" borderId="50" xfId="0" quotePrefix="1" applyFont="1" applyFill="1" applyBorder="1" applyAlignment="1">
      <alignment horizontal="left"/>
    </xf>
    <xf numFmtId="0" fontId="29" fillId="0" borderId="51" xfId="0" quotePrefix="1" applyFont="1" applyFill="1" applyBorder="1" applyAlignment="1">
      <alignment horizontal="left"/>
    </xf>
    <xf numFmtId="166" fontId="30" fillId="0" borderId="4" xfId="0" applyNumberFormat="1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30" fillId="0" borderId="39" xfId="0" applyNumberFormat="1" applyFont="1" applyFill="1" applyBorder="1" applyAlignment="1"/>
    <xf numFmtId="167" fontId="30" fillId="0" borderId="12" xfId="0" applyNumberFormat="1" applyFont="1" applyFill="1" applyBorder="1" applyAlignment="1"/>
    <xf numFmtId="174" fontId="30" fillId="0" borderId="4" xfId="0" applyNumberFormat="1" applyFont="1" applyFill="1" applyBorder="1" applyAlignment="1"/>
    <xf numFmtId="0" fontId="30" fillId="0" borderId="52" xfId="0" applyFont="1" applyFill="1" applyBorder="1" applyAlignment="1"/>
    <xf numFmtId="0" fontId="29" fillId="0" borderId="53" xfId="0" quotePrefix="1" applyFont="1" applyFill="1" applyBorder="1" applyAlignment="1">
      <alignment horizontal="left"/>
    </xf>
    <xf numFmtId="166" fontId="30" fillId="0" borderId="54" xfId="0" applyNumberFormat="1" applyFont="1" applyFill="1" applyBorder="1" applyAlignment="1"/>
    <xf numFmtId="166" fontId="30" fillId="0" borderId="55" xfId="0" applyNumberFormat="1" applyFont="1" applyFill="1" applyBorder="1" applyAlignment="1"/>
    <xf numFmtId="0" fontId="30" fillId="0" borderId="56" xfId="0" applyFont="1" applyFill="1" applyBorder="1" applyAlignment="1"/>
    <xf numFmtId="0" fontId="30" fillId="0" borderId="11" xfId="0" quotePrefix="1" applyFont="1" applyFill="1" applyBorder="1" applyAlignment="1">
      <alignment horizontal="left"/>
    </xf>
    <xf numFmtId="166" fontId="30" fillId="0" borderId="57" xfId="0" applyNumberFormat="1" applyFont="1" applyFill="1" applyBorder="1" applyAlignment="1"/>
    <xf numFmtId="166" fontId="30" fillId="0" borderId="46" xfId="0" applyNumberFormat="1" applyFont="1" applyFill="1" applyBorder="1" applyAlignment="1"/>
    <xf numFmtId="171" fontId="30" fillId="0" borderId="39" xfId="0" applyNumberFormat="1" applyFont="1" applyFill="1" applyBorder="1" applyAlignment="1"/>
    <xf numFmtId="0" fontId="30" fillId="0" borderId="58" xfId="0" applyFont="1" applyFill="1" applyBorder="1" applyAlignment="1"/>
    <xf numFmtId="166" fontId="30" fillId="0" borderId="0" xfId="0" applyNumberFormat="1" applyFont="1" applyFill="1" applyBorder="1" applyAlignment="1"/>
    <xf numFmtId="166" fontId="30" fillId="0" borderId="5" xfId="0" applyNumberFormat="1" applyFont="1" applyFill="1" applyBorder="1" applyAlignment="1"/>
    <xf numFmtId="0" fontId="29" fillId="0" borderId="59" xfId="0" quotePrefix="1" applyFont="1" applyFill="1" applyBorder="1" applyAlignment="1">
      <alignment horizontal="left"/>
    </xf>
    <xf numFmtId="166" fontId="29" fillId="0" borderId="60" xfId="0" applyNumberFormat="1" applyFont="1" applyFill="1" applyBorder="1" applyAlignment="1"/>
    <xf numFmtId="166" fontId="29" fillId="0" borderId="61" xfId="0" applyNumberFormat="1" applyFont="1" applyFill="1" applyBorder="1" applyAlignment="1"/>
    <xf numFmtId="0" fontId="30" fillId="0" borderId="62" xfId="0" applyFont="1" applyFill="1" applyBorder="1" applyAlignment="1"/>
    <xf numFmtId="167" fontId="30" fillId="0" borderId="63" xfId="0" applyNumberFormat="1" applyFont="1" applyFill="1" applyBorder="1" applyAlignment="1"/>
    <xf numFmtId="167" fontId="30" fillId="0" borderId="58" xfId="0" applyNumberFormat="1" applyFont="1" applyFill="1" applyBorder="1" applyAlignment="1"/>
    <xf numFmtId="0" fontId="29" fillId="0" borderId="64" xfId="0" quotePrefix="1" applyFont="1" applyFill="1" applyBorder="1" applyAlignment="1">
      <alignment horizontal="left"/>
    </xf>
    <xf numFmtId="166" fontId="30" fillId="0" borderId="61" xfId="0" applyNumberFormat="1" applyFont="1" applyFill="1" applyBorder="1" applyAlignment="1"/>
    <xf numFmtId="166" fontId="30" fillId="0" borderId="60" xfId="0" applyNumberFormat="1" applyFont="1" applyFill="1" applyBorder="1" applyAlignment="1"/>
    <xf numFmtId="167" fontId="30" fillId="0" borderId="65" xfId="0" applyNumberFormat="1" applyFont="1" applyFill="1" applyBorder="1" applyAlignment="1"/>
    <xf numFmtId="0" fontId="31" fillId="0" borderId="11" xfId="0" quotePrefix="1" applyFont="1" applyBorder="1" applyAlignment="1">
      <alignment horizontal="left"/>
    </xf>
    <xf numFmtId="166" fontId="29" fillId="0" borderId="61" xfId="0" applyNumberFormat="1" applyFont="1" applyBorder="1"/>
    <xf numFmtId="167" fontId="29" fillId="0" borderId="2" xfId="0" applyNumberFormat="1" applyFont="1" applyBorder="1"/>
    <xf numFmtId="167" fontId="29" fillId="0" borderId="52" xfId="0" applyNumberFormat="1" applyFont="1" applyBorder="1"/>
    <xf numFmtId="0" fontId="32" fillId="0" borderId="61" xfId="0" applyFont="1" applyBorder="1"/>
    <xf numFmtId="0" fontId="33" fillId="0" borderId="11" xfId="0" quotePrefix="1" applyFont="1" applyBorder="1" applyAlignment="1">
      <alignment horizontal="left"/>
    </xf>
    <xf numFmtId="166" fontId="30" fillId="0" borderId="61" xfId="0" applyNumberFormat="1" applyFont="1" applyBorder="1"/>
    <xf numFmtId="0" fontId="33" fillId="0" borderId="11" xfId="0" quotePrefix="1" applyFont="1" applyBorder="1" applyAlignment="1">
      <alignment horizontal="center"/>
    </xf>
    <xf numFmtId="0" fontId="32" fillId="0" borderId="2" xfId="0" applyFont="1" applyBorder="1"/>
    <xf numFmtId="0" fontId="32" fillId="0" borderId="52" xfId="0" applyFont="1" applyBorder="1"/>
    <xf numFmtId="0" fontId="29" fillId="0" borderId="11" xfId="0" applyFont="1" applyBorder="1" applyAlignment="1">
      <alignment horizontal="left"/>
    </xf>
    <xf numFmtId="167" fontId="30" fillId="0" borderId="2" xfId="0" applyNumberFormat="1" applyFont="1" applyBorder="1"/>
    <xf numFmtId="167" fontId="30" fillId="0" borderId="52" xfId="0" applyNumberFormat="1" applyFont="1" applyBorder="1"/>
    <xf numFmtId="0" fontId="29" fillId="0" borderId="11" xfId="0" quotePrefix="1" applyFont="1" applyBorder="1" applyAlignment="1">
      <alignment horizontal="left"/>
    </xf>
    <xf numFmtId="166" fontId="34" fillId="0" borderId="61" xfId="0" applyNumberFormat="1" applyFont="1" applyBorder="1"/>
    <xf numFmtId="167" fontId="30" fillId="0" borderId="61" xfId="0" applyNumberFormat="1" applyFont="1" applyBorder="1"/>
    <xf numFmtId="0" fontId="29" fillId="0" borderId="66" xfId="0" quotePrefix="1" applyFont="1" applyBorder="1" applyAlignment="1">
      <alignment horizontal="left"/>
    </xf>
    <xf numFmtId="0" fontId="35" fillId="6" borderId="64" xfId="0" applyFont="1" applyFill="1" applyBorder="1" applyAlignment="1">
      <alignment horizontal="left"/>
    </xf>
    <xf numFmtId="0" fontId="31" fillId="6" borderId="67" xfId="0" applyFont="1" applyFill="1" applyBorder="1" applyAlignment="1">
      <alignment horizontal="centerContinuous"/>
    </xf>
    <xf numFmtId="0" fontId="36" fillId="6" borderId="67" xfId="0" applyFont="1" applyFill="1" applyBorder="1" applyAlignment="1">
      <alignment horizontal="centerContinuous"/>
    </xf>
    <xf numFmtId="0" fontId="29" fillId="6" borderId="67" xfId="0" applyFont="1" applyFill="1" applyBorder="1" applyAlignment="1">
      <alignment horizontal="centerContinuous"/>
    </xf>
    <xf numFmtId="0" fontId="36" fillId="6" borderId="62" xfId="0" applyFont="1" applyFill="1" applyBorder="1" applyAlignment="1">
      <alignment horizontal="centerContinuous"/>
    </xf>
    <xf numFmtId="0" fontId="36" fillId="6" borderId="68" xfId="0" applyFont="1" applyFill="1" applyBorder="1" applyAlignment="1">
      <alignment horizontal="centerContinuous"/>
    </xf>
    <xf numFmtId="0" fontId="30" fillId="0" borderId="11" xfId="0" quotePrefix="1" applyFont="1" applyBorder="1" applyAlignment="1">
      <alignment horizontal="left"/>
    </xf>
    <xf numFmtId="0" fontId="32" fillId="0" borderId="65" xfId="0" applyFont="1" applyBorder="1"/>
    <xf numFmtId="0" fontId="29" fillId="0" borderId="0" xfId="0" quotePrefix="1" applyFont="1" applyAlignment="1">
      <alignment horizontal="left"/>
    </xf>
    <xf numFmtId="0" fontId="32" fillId="0" borderId="42" xfId="0" applyFont="1" applyBorder="1"/>
    <xf numFmtId="0" fontId="32" fillId="5" borderId="13" xfId="0" applyFont="1" applyFill="1" applyBorder="1"/>
    <xf numFmtId="0" fontId="29" fillId="0" borderId="61" xfId="0" applyFont="1" applyBorder="1" applyAlignment="1">
      <alignment horizontal="left"/>
    </xf>
    <xf numFmtId="0" fontId="29" fillId="0" borderId="61" xfId="0" quotePrefix="1" applyFont="1" applyBorder="1" applyAlignment="1">
      <alignment horizontal="left"/>
    </xf>
    <xf numFmtId="174" fontId="30" fillId="0" borderId="39" xfId="0" applyNumberFormat="1" applyFont="1" applyBorder="1"/>
    <xf numFmtId="0" fontId="30" fillId="0" borderId="0" xfId="0" applyFont="1"/>
    <xf numFmtId="174" fontId="30" fillId="0" borderId="4" xfId="0" applyNumberFormat="1" applyFont="1" applyBorder="1"/>
    <xf numFmtId="0" fontId="29" fillId="0" borderId="61" xfId="0" applyFont="1" applyBorder="1"/>
    <xf numFmtId="174" fontId="30" fillId="0" borderId="69" xfId="0" applyNumberFormat="1" applyFont="1" applyBorder="1"/>
    <xf numFmtId="0" fontId="32" fillId="0" borderId="70" xfId="0" applyFont="1" applyBorder="1"/>
    <xf numFmtId="0" fontId="32" fillId="0" borderId="71" xfId="0" applyFont="1" applyBorder="1"/>
    <xf numFmtId="0" fontId="37" fillId="6" borderId="64" xfId="0" applyFont="1" applyFill="1" applyBorder="1" applyAlignment="1">
      <alignment horizontal="left"/>
    </xf>
    <xf numFmtId="0" fontId="37" fillId="6" borderId="67" xfId="0" applyFont="1" applyFill="1" applyBorder="1" applyAlignment="1">
      <alignment horizontal="centerContinuous"/>
    </xf>
    <xf numFmtId="0" fontId="29" fillId="0" borderId="72" xfId="0" applyFont="1" applyBorder="1"/>
    <xf numFmtId="0" fontId="32" fillId="0" borderId="73" xfId="0" applyFont="1" applyBorder="1"/>
    <xf numFmtId="0" fontId="32" fillId="0" borderId="0" xfId="0" applyFont="1" applyBorder="1"/>
    <xf numFmtId="0" fontId="32" fillId="0" borderId="63" xfId="0" applyFont="1" applyBorder="1"/>
    <xf numFmtId="0" fontId="32" fillId="0" borderId="62" xfId="0" applyFont="1" applyBorder="1"/>
    <xf numFmtId="0" fontId="29" fillId="0" borderId="59" xfId="0" applyFont="1" applyBorder="1" applyAlignment="1">
      <alignment horizontal="left"/>
    </xf>
    <xf numFmtId="0" fontId="29" fillId="0" borderId="64" xfId="0" applyFont="1" applyBorder="1" applyAlignment="1">
      <alignment horizontal="left"/>
    </xf>
    <xf numFmtId="0" fontId="32" fillId="0" borderId="74" xfId="0" applyFont="1" applyBorder="1"/>
    <xf numFmtId="0" fontId="32" fillId="0" borderId="1" xfId="0" applyFont="1" applyBorder="1"/>
    <xf numFmtId="0" fontId="38" fillId="0" borderId="61" xfId="0" applyFont="1" applyBorder="1"/>
    <xf numFmtId="0" fontId="29" fillId="6" borderId="64" xfId="0" applyFont="1" applyFill="1" applyBorder="1" applyAlignment="1">
      <alignment horizontal="centerContinuous"/>
    </xf>
    <xf numFmtId="0" fontId="32" fillId="6" borderId="67" xfId="0" applyFont="1" applyFill="1" applyBorder="1" applyAlignment="1">
      <alignment horizontal="centerContinuous"/>
    </xf>
    <xf numFmtId="0" fontId="32" fillId="6" borderId="68" xfId="0" applyFont="1" applyFill="1" applyBorder="1" applyAlignment="1">
      <alignment horizontal="centerContinuous"/>
    </xf>
    <xf numFmtId="0" fontId="30" fillId="0" borderId="72" xfId="0" applyFont="1" applyBorder="1"/>
    <xf numFmtId="0" fontId="30" fillId="5" borderId="2" xfId="0" applyFont="1" applyFill="1" applyBorder="1"/>
    <xf numFmtId="172" fontId="30" fillId="0" borderId="6" xfId="0" applyNumberFormat="1" applyFont="1" applyBorder="1"/>
    <xf numFmtId="0" fontId="30" fillId="0" borderId="12" xfId="0" applyFont="1" applyBorder="1"/>
    <xf numFmtId="0" fontId="30" fillId="5" borderId="0" xfId="0" applyFont="1" applyFill="1"/>
    <xf numFmtId="167" fontId="30" fillId="0" borderId="12" xfId="0" applyNumberFormat="1" applyFont="1" applyBorder="1"/>
    <xf numFmtId="0" fontId="39" fillId="0" borderId="72" xfId="0" applyFont="1" applyBorder="1"/>
    <xf numFmtId="167" fontId="30" fillId="2" borderId="6" xfId="0" applyNumberFormat="1" applyFont="1" applyFill="1" applyBorder="1"/>
    <xf numFmtId="167" fontId="30" fillId="5" borderId="13" xfId="0" applyNumberFormat="1" applyFont="1" applyFill="1" applyBorder="1"/>
    <xf numFmtId="0" fontId="30" fillId="0" borderId="11" xfId="0" applyFont="1" applyBorder="1"/>
    <xf numFmtId="0" fontId="30" fillId="0" borderId="51" xfId="0" quotePrefix="1" applyFont="1" applyBorder="1" applyAlignment="1">
      <alignment horizontal="left"/>
    </xf>
    <xf numFmtId="167" fontId="30" fillId="2" borderId="75" xfId="0" applyNumberFormat="1" applyFont="1" applyFill="1" applyBorder="1" applyProtection="1"/>
    <xf numFmtId="0" fontId="30" fillId="0" borderId="76" xfId="0" quotePrefix="1" applyFont="1" applyBorder="1" applyAlignment="1">
      <alignment horizontal="left"/>
    </xf>
    <xf numFmtId="0" fontId="30" fillId="5" borderId="14" xfId="0" applyFont="1" applyFill="1" applyBorder="1"/>
    <xf numFmtId="167" fontId="30" fillId="0" borderId="77" xfId="0" applyNumberFormat="1" applyFont="1" applyBorder="1"/>
    <xf numFmtId="167" fontId="29" fillId="0" borderId="3" xfId="0" applyNumberFormat="1" applyFont="1" applyBorder="1"/>
    <xf numFmtId="0" fontId="30" fillId="0" borderId="3" xfId="0" applyFont="1" applyBorder="1"/>
    <xf numFmtId="0" fontId="29" fillId="0" borderId="72" xfId="0" quotePrefix="1" applyFont="1" applyBorder="1" applyAlignment="1">
      <alignment horizontal="left"/>
    </xf>
    <xf numFmtId="172" fontId="29" fillId="0" borderId="52" xfId="0" applyNumberFormat="1" applyFont="1" applyBorder="1"/>
    <xf numFmtId="0" fontId="34" fillId="0" borderId="12" xfId="0" applyFont="1" applyBorder="1"/>
    <xf numFmtId="167" fontId="34" fillId="0" borderId="61" xfId="0" applyNumberFormat="1" applyFont="1" applyBorder="1"/>
    <xf numFmtId="0" fontId="32" fillId="0" borderId="12" xfId="0" applyFont="1" applyBorder="1"/>
    <xf numFmtId="0" fontId="30" fillId="0" borderId="72" xfId="0" quotePrefix="1" applyFont="1" applyBorder="1" applyAlignment="1">
      <alignment horizontal="left"/>
    </xf>
    <xf numFmtId="0" fontId="30" fillId="0" borderId="2" xfId="0" applyFont="1" applyBorder="1"/>
    <xf numFmtId="0" fontId="30" fillId="0" borderId="39" xfId="0" applyFont="1" applyBorder="1"/>
    <xf numFmtId="167" fontId="30" fillId="2" borderId="12" xfId="0" applyNumberFormat="1" applyFont="1" applyFill="1" applyBorder="1" applyProtection="1"/>
    <xf numFmtId="167" fontId="30" fillId="2" borderId="39" xfId="0" applyNumberFormat="1" applyFont="1" applyFill="1" applyBorder="1"/>
    <xf numFmtId="172" fontId="30" fillId="0" borderId="4" xfId="0" applyNumberFormat="1" applyFont="1" applyBorder="1"/>
    <xf numFmtId="172" fontId="34" fillId="0" borderId="4" xfId="0" applyNumberFormat="1" applyFont="1" applyBorder="1"/>
    <xf numFmtId="167" fontId="30" fillId="2" borderId="39" xfId="0" applyNumberFormat="1" applyFont="1" applyFill="1" applyBorder="1" applyProtection="1"/>
    <xf numFmtId="167" fontId="30" fillId="2" borderId="78" xfId="0" applyNumberFormat="1" applyFont="1" applyFill="1" applyBorder="1" applyProtection="1"/>
    <xf numFmtId="0" fontId="30" fillId="0" borderId="1" xfId="0" applyFont="1" applyBorder="1"/>
    <xf numFmtId="0" fontId="30" fillId="0" borderId="79" xfId="0" applyFont="1" applyBorder="1"/>
    <xf numFmtId="0" fontId="30" fillId="0" borderId="80" xfId="0" applyFont="1" applyBorder="1"/>
    <xf numFmtId="0" fontId="30" fillId="0" borderId="2" xfId="0" quotePrefix="1" applyFont="1" applyBorder="1" applyAlignment="1">
      <alignment horizontal="left"/>
    </xf>
    <xf numFmtId="0" fontId="32" fillId="0" borderId="39" xfId="0" applyFont="1" applyBorder="1"/>
    <xf numFmtId="0" fontId="32" fillId="0" borderId="39" xfId="0" quotePrefix="1" applyFont="1" applyBorder="1" applyAlignment="1">
      <alignment horizontal="left"/>
    </xf>
    <xf numFmtId="0" fontId="32" fillId="0" borderId="39" xfId="0" applyFont="1" applyBorder="1" applyAlignment="1">
      <alignment horizontal="center"/>
    </xf>
    <xf numFmtId="0" fontId="29" fillId="0" borderId="66" xfId="0" applyFont="1" applyBorder="1"/>
    <xf numFmtId="167" fontId="29" fillId="0" borderId="81" xfId="0" applyNumberFormat="1" applyFont="1" applyBorder="1"/>
    <xf numFmtId="0" fontId="32" fillId="0" borderId="81" xfId="0" applyFont="1" applyBorder="1"/>
    <xf numFmtId="0" fontId="32" fillId="0" borderId="82" xfId="0" applyFont="1" applyBorder="1"/>
    <xf numFmtId="0" fontId="32" fillId="0" borderId="83" xfId="0" applyFont="1" applyBorder="1"/>
    <xf numFmtId="0" fontId="32" fillId="0" borderId="22" xfId="0" applyFont="1" applyBorder="1"/>
    <xf numFmtId="0" fontId="29" fillId="0" borderId="2" xfId="0" applyFont="1" applyBorder="1" applyAlignment="1">
      <alignment horizontal="right"/>
    </xf>
    <xf numFmtId="164" fontId="29" fillId="0" borderId="2" xfId="0" applyNumberFormat="1" applyFont="1" applyBorder="1" applyAlignment="1">
      <alignment horizontal="centerContinuous"/>
    </xf>
    <xf numFmtId="0" fontId="30" fillId="0" borderId="13" xfId="0" applyFont="1" applyBorder="1"/>
    <xf numFmtId="0" fontId="32" fillId="0" borderId="3" xfId="0" applyFont="1" applyBorder="1"/>
    <xf numFmtId="0" fontId="32" fillId="0" borderId="4" xfId="0" applyFont="1" applyBorder="1"/>
    <xf numFmtId="0" fontId="29" fillId="0" borderId="76" xfId="0" quotePrefix="1" applyFont="1" applyBorder="1" applyAlignment="1">
      <alignment horizontal="left"/>
    </xf>
    <xf numFmtId="0" fontId="29" fillId="0" borderId="14" xfId="0" quotePrefix="1" applyFont="1" applyBorder="1" applyAlignment="1">
      <alignment horizontal="left"/>
    </xf>
    <xf numFmtId="0" fontId="34" fillId="0" borderId="69" xfId="0" applyFont="1" applyBorder="1"/>
    <xf numFmtId="0" fontId="29" fillId="0" borderId="14" xfId="0" applyFont="1" applyBorder="1"/>
    <xf numFmtId="0" fontId="34" fillId="0" borderId="14" xfId="0" applyFont="1" applyBorder="1" applyAlignment="1">
      <alignment horizontal="left"/>
    </xf>
    <xf numFmtId="0" fontId="29" fillId="0" borderId="70" xfId="0" quotePrefix="1" applyFont="1" applyBorder="1" applyAlignment="1">
      <alignment horizontal="left"/>
    </xf>
    <xf numFmtId="0" fontId="29" fillId="0" borderId="84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30" fillId="0" borderId="75" xfId="0" applyNumberFormat="1" applyFont="1" applyBorder="1"/>
    <xf numFmtId="166" fontId="30" fillId="2" borderId="61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9" fillId="0" borderId="0" xfId="0" applyFont="1" applyBorder="1" applyAlignment="1">
      <alignment horizontal="right"/>
    </xf>
    <xf numFmtId="0" fontId="30" fillId="0" borderId="12" xfId="0" applyFont="1" applyBorder="1" applyAlignment="1">
      <alignment horizontal="left"/>
    </xf>
    <xf numFmtId="0" fontId="30" fillId="0" borderId="39" xfId="0" quotePrefix="1" applyFont="1" applyBorder="1" applyAlignment="1">
      <alignment horizontal="left"/>
    </xf>
    <xf numFmtId="0" fontId="30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5" xfId="0" applyBorder="1"/>
    <xf numFmtId="0" fontId="41" fillId="0" borderId="0" xfId="0" applyFont="1"/>
    <xf numFmtId="0" fontId="0" fillId="0" borderId="62" xfId="0" applyBorder="1"/>
    <xf numFmtId="0" fontId="11" fillId="0" borderId="86" xfId="0" applyFont="1" applyBorder="1"/>
    <xf numFmtId="0" fontId="0" fillId="0" borderId="87" xfId="0" applyBorder="1"/>
    <xf numFmtId="0" fontId="11" fillId="0" borderId="88" xfId="0" applyFont="1" applyBorder="1"/>
    <xf numFmtId="0" fontId="0" fillId="0" borderId="49" xfId="0" applyBorder="1"/>
    <xf numFmtId="0" fontId="42" fillId="0" borderId="8" xfId="0" applyFont="1" applyBorder="1" applyAlignment="1">
      <alignment horizontal="left"/>
    </xf>
    <xf numFmtId="167" fontId="11" fillId="0" borderId="89" xfId="0" applyNumberFormat="1" applyFont="1" applyBorder="1"/>
    <xf numFmtId="0" fontId="11" fillId="0" borderId="49" xfId="0" applyFont="1" applyBorder="1" applyAlignment="1">
      <alignment horizontal="right"/>
    </xf>
    <xf numFmtId="0" fontId="21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40" xfId="0" applyNumberFormat="1" applyFont="1" applyFill="1" applyBorder="1"/>
    <xf numFmtId="167" fontId="11" fillId="0" borderId="62" xfId="0" applyNumberFormat="1" applyFont="1" applyBorder="1"/>
    <xf numFmtId="167" fontId="11" fillId="0" borderId="49" xfId="0" applyNumberFormat="1" applyFont="1" applyBorder="1"/>
    <xf numFmtId="164" fontId="0" fillId="0" borderId="0" xfId="0" applyNumberFormat="1" applyAlignment="1" applyProtection="1">
      <alignment horizontal="left"/>
    </xf>
    <xf numFmtId="167" fontId="11" fillId="0" borderId="24" xfId="0" applyNumberFormat="1" applyFont="1" applyBorder="1"/>
    <xf numFmtId="0" fontId="15" fillId="0" borderId="0" xfId="0" applyFont="1" applyAlignment="1">
      <alignment horizontal="left"/>
    </xf>
    <xf numFmtId="167" fontId="30" fillId="0" borderId="60" xfId="0" applyNumberFormat="1" applyFont="1" applyFill="1" applyBorder="1" applyAlignment="1"/>
    <xf numFmtId="0" fontId="30" fillId="0" borderId="1" xfId="0" applyFont="1" applyFill="1" applyBorder="1" applyAlignment="1"/>
    <xf numFmtId="0" fontId="0" fillId="0" borderId="0" xfId="0" applyNumberFormat="1"/>
    <xf numFmtId="0" fontId="45" fillId="0" borderId="0" xfId="0" applyFont="1"/>
    <xf numFmtId="0" fontId="29" fillId="5" borderId="49" xfId="0" applyFont="1" applyFill="1" applyBorder="1" applyAlignment="1">
      <alignment horizontal="center"/>
    </xf>
    <xf numFmtId="0" fontId="30" fillId="0" borderId="1" xfId="0" quotePrefix="1" applyFont="1" applyFill="1" applyBorder="1" applyAlignment="1">
      <alignment horizontal="left"/>
    </xf>
    <xf numFmtId="166" fontId="30" fillId="0" borderId="90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30" fillId="0" borderId="61" xfId="0" applyFont="1" applyFill="1" applyBorder="1" applyAlignment="1"/>
    <xf numFmtId="179" fontId="16" fillId="2" borderId="91" xfId="0" applyNumberFormat="1" applyFont="1" applyFill="1" applyBorder="1" applyAlignment="1" applyProtection="1">
      <alignment horizontal="center"/>
    </xf>
    <xf numFmtId="1" fontId="47" fillId="8" borderId="92" xfId="0" applyNumberFormat="1" applyFont="1" applyFill="1" applyBorder="1" applyAlignment="1">
      <alignment horizontal="left"/>
    </xf>
    <xf numFmtId="0" fontId="48" fillId="0" borderId="0" xfId="0" applyFont="1" applyProtection="1">
      <protection locked="0"/>
    </xf>
    <xf numFmtId="0" fontId="47" fillId="0" borderId="0" xfId="0" applyFont="1" applyProtection="1">
      <protection locked="0"/>
    </xf>
    <xf numFmtId="164" fontId="16" fillId="2" borderId="91" xfId="0" applyNumberFormat="1" applyFont="1" applyFill="1" applyBorder="1" applyProtection="1"/>
    <xf numFmtId="164" fontId="16" fillId="2" borderId="93" xfId="0" applyNumberFormat="1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166" fontId="16" fillId="2" borderId="75" xfId="0" applyNumberFormat="1" applyFont="1" applyFill="1" applyBorder="1" applyProtection="1"/>
    <xf numFmtId="166" fontId="16" fillId="2" borderId="96" xfId="0" applyNumberFormat="1" applyFont="1" applyFill="1" applyBorder="1" applyProtection="1"/>
    <xf numFmtId="166" fontId="16" fillId="2" borderId="97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8" xfId="0" applyFont="1" applyFill="1" applyBorder="1" applyProtection="1"/>
    <xf numFmtId="166" fontId="16" fillId="2" borderId="98" xfId="0" applyNumberFormat="1" applyFont="1" applyFill="1" applyBorder="1" applyProtection="1"/>
    <xf numFmtId="166" fontId="16" fillId="2" borderId="99" xfId="0" applyNumberFormat="1" applyFont="1" applyFill="1" applyBorder="1" applyProtection="1"/>
    <xf numFmtId="2" fontId="16" fillId="2" borderId="75" xfId="0" applyNumberFormat="1" applyFont="1" applyFill="1" applyBorder="1" applyProtection="1"/>
    <xf numFmtId="2" fontId="16" fillId="2" borderId="97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7" fillId="0" borderId="0" xfId="0" applyFont="1" applyAlignment="1" applyProtection="1">
      <alignment horizontal="left"/>
      <protection locked="0"/>
    </xf>
    <xf numFmtId="0" fontId="37" fillId="0" borderId="67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9" fillId="6" borderId="67" xfId="0" applyFont="1" applyFill="1" applyBorder="1" applyAlignment="1">
      <alignment horizontal="right"/>
    </xf>
    <xf numFmtId="0" fontId="6" fillId="5" borderId="67" xfId="0" applyFont="1" applyFill="1" applyBorder="1"/>
    <xf numFmtId="0" fontId="31" fillId="6" borderId="67" xfId="0" applyFont="1" applyFill="1" applyBorder="1" applyAlignment="1">
      <alignment horizontal="left"/>
    </xf>
    <xf numFmtId="0" fontId="29" fillId="5" borderId="49" xfId="0" applyFont="1" applyFill="1" applyBorder="1" applyAlignment="1">
      <alignment horizontal="left"/>
    </xf>
    <xf numFmtId="0" fontId="29" fillId="0" borderId="100" xfId="0" applyFont="1" applyFill="1" applyBorder="1" applyAlignment="1">
      <alignment horizontal="left"/>
    </xf>
    <xf numFmtId="0" fontId="0" fillId="0" borderId="0" xfId="0" applyFill="1"/>
    <xf numFmtId="0" fontId="32" fillId="0" borderId="12" xfId="0" applyFont="1" applyFill="1" applyBorder="1"/>
    <xf numFmtId="0" fontId="32" fillId="9" borderId="83" xfId="0" applyFont="1" applyFill="1" applyBorder="1"/>
    <xf numFmtId="0" fontId="30" fillId="0" borderId="11" xfId="0" applyFont="1" applyFill="1" applyBorder="1" applyAlignment="1">
      <alignment horizontal="left"/>
    </xf>
    <xf numFmtId="0" fontId="30" fillId="0" borderId="13" xfId="0" quotePrefix="1" applyFont="1" applyFill="1" applyBorder="1" applyAlignment="1"/>
    <xf numFmtId="166" fontId="30" fillId="0" borderId="0" xfId="0" applyNumberFormat="1" applyFont="1" applyFill="1" applyBorder="1" applyAlignment="1" applyProtection="1"/>
    <xf numFmtId="0" fontId="29" fillId="5" borderId="101" xfId="0" quotePrefix="1" applyFont="1" applyFill="1" applyBorder="1" applyAlignment="1">
      <alignment horizontal="left"/>
    </xf>
    <xf numFmtId="0" fontId="29" fillId="5" borderId="30" xfId="0" applyFont="1" applyFill="1" applyBorder="1" applyAlignment="1">
      <alignment horizontal="center"/>
    </xf>
    <xf numFmtId="0" fontId="29" fillId="5" borderId="30" xfId="0" quotePrefix="1" applyFont="1" applyFill="1" applyBorder="1" applyAlignment="1">
      <alignment horizontal="left"/>
    </xf>
    <xf numFmtId="0" fontId="29" fillId="5" borderId="85" xfId="0" quotePrefix="1" applyFont="1" applyFill="1" applyBorder="1" applyAlignment="1">
      <alignment horizontal="left"/>
    </xf>
    <xf numFmtId="171" fontId="30" fillId="0" borderId="5" xfId="0" applyNumberFormat="1" applyFont="1" applyFill="1" applyBorder="1" applyAlignment="1"/>
    <xf numFmtId="166" fontId="30" fillId="0" borderId="102" xfId="0" applyNumberFormat="1" applyFont="1" applyFill="1" applyBorder="1" applyAlignment="1" applyProtection="1"/>
    <xf numFmtId="0" fontId="30" fillId="0" borderId="74" xfId="0" applyFont="1" applyFill="1" applyBorder="1" applyAlignment="1"/>
    <xf numFmtId="0" fontId="30" fillId="0" borderId="102" xfId="0" applyFont="1" applyFill="1" applyBorder="1" applyAlignment="1"/>
    <xf numFmtId="0" fontId="29" fillId="5" borderId="101" xfId="0" applyFont="1" applyFill="1" applyBorder="1" applyAlignment="1">
      <alignment horizontal="center"/>
    </xf>
    <xf numFmtId="166" fontId="30" fillId="5" borderId="103" xfId="0" applyNumberFormat="1" applyFont="1" applyFill="1" applyBorder="1" applyAlignment="1"/>
    <xf numFmtId="166" fontId="30" fillId="5" borderId="104" xfId="0" applyNumberFormat="1" applyFont="1" applyFill="1" applyBorder="1" applyAlignment="1"/>
    <xf numFmtId="0" fontId="30" fillId="5" borderId="30" xfId="0" applyFont="1" applyFill="1" applyBorder="1" applyAlignment="1"/>
    <xf numFmtId="0" fontId="30" fillId="5" borderId="104" xfId="0" applyFont="1" applyFill="1" applyBorder="1" applyAlignment="1"/>
    <xf numFmtId="0" fontId="30" fillId="5" borderId="105" xfId="0" applyFont="1" applyFill="1" applyBorder="1" applyAlignment="1"/>
    <xf numFmtId="0" fontId="30" fillId="5" borderId="85" xfId="0" applyFont="1" applyFill="1" applyBorder="1" applyAlignment="1"/>
    <xf numFmtId="166" fontId="30" fillId="0" borderId="30" xfId="0" applyNumberFormat="1" applyFont="1" applyFill="1" applyBorder="1" applyAlignment="1"/>
    <xf numFmtId="0" fontId="30" fillId="0" borderId="59" xfId="0" applyFont="1" applyFill="1" applyBorder="1" applyAlignment="1">
      <alignment horizontal="left"/>
    </xf>
    <xf numFmtId="0" fontId="29" fillId="0" borderId="64" xfId="0" applyFont="1" applyFill="1" applyBorder="1" applyAlignment="1">
      <alignment horizontal="center"/>
    </xf>
    <xf numFmtId="167" fontId="30" fillId="0" borderId="2" xfId="0" applyNumberFormat="1" applyFont="1" applyFill="1" applyBorder="1" applyAlignment="1"/>
    <xf numFmtId="167" fontId="30" fillId="0" borderId="52" xfId="0" applyNumberFormat="1" applyFont="1" applyFill="1" applyBorder="1" applyAlignment="1"/>
    <xf numFmtId="0" fontId="29" fillId="6" borderId="67" xfId="0" applyFont="1" applyFill="1" applyBorder="1" applyAlignment="1">
      <alignment horizontal="center"/>
    </xf>
    <xf numFmtId="0" fontId="38" fillId="6" borderId="67" xfId="0" applyFont="1" applyFill="1" applyBorder="1" applyAlignment="1">
      <alignment horizontal="center"/>
    </xf>
    <xf numFmtId="0" fontId="29" fillId="0" borderId="101" xfId="0" quotePrefix="1" applyFont="1" applyBorder="1" applyAlignment="1">
      <alignment horizontal="left"/>
    </xf>
    <xf numFmtId="167" fontId="30" fillId="2" borderId="30" xfId="0" applyNumberFormat="1" applyFont="1" applyFill="1" applyBorder="1" applyProtection="1"/>
    <xf numFmtId="0" fontId="32" fillId="0" borderId="103" xfId="0" applyFont="1" applyBorder="1"/>
    <xf numFmtId="0" fontId="32" fillId="0" borderId="56" xfId="0" applyFont="1" applyBorder="1"/>
    <xf numFmtId="167" fontId="30" fillId="2" borderId="57" xfId="0" applyNumberFormat="1" applyFont="1" applyFill="1" applyBorder="1" applyProtection="1"/>
    <xf numFmtId="0" fontId="32" fillId="0" borderId="57" xfId="0" applyFont="1" applyBorder="1"/>
    <xf numFmtId="0" fontId="32" fillId="0" borderId="106" xfId="0" applyFont="1" applyBorder="1"/>
    <xf numFmtId="0" fontId="32" fillId="0" borderId="13" xfId="0" applyFont="1" applyBorder="1"/>
    <xf numFmtId="172" fontId="30" fillId="0" borderId="3" xfId="0" applyNumberFormat="1" applyFont="1" applyBorder="1"/>
    <xf numFmtId="167" fontId="34" fillId="0" borderId="73" xfId="0" applyNumberFormat="1" applyFont="1" applyBorder="1"/>
    <xf numFmtId="0" fontId="29" fillId="6" borderId="66" xfId="0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Continuous"/>
    </xf>
    <xf numFmtId="0" fontId="32" fillId="6" borderId="80" xfId="0" applyFont="1" applyFill="1" applyBorder="1" applyAlignment="1">
      <alignment horizontal="centerContinuous"/>
    </xf>
    <xf numFmtId="0" fontId="32" fillId="0" borderId="104" xfId="0" applyFont="1" applyBorder="1"/>
    <xf numFmtId="0" fontId="32" fillId="0" borderId="107" xfId="0" applyFont="1" applyBorder="1"/>
    <xf numFmtId="167" fontId="29" fillId="0" borderId="55" xfId="0" applyNumberFormat="1" applyFont="1" applyBorder="1"/>
    <xf numFmtId="0" fontId="32" fillId="0" borderId="55" xfId="0" applyFont="1" applyBorder="1"/>
    <xf numFmtId="0" fontId="32" fillId="0" borderId="108" xfId="0" applyFont="1" applyBorder="1"/>
    <xf numFmtId="0" fontId="32" fillId="0" borderId="109" xfId="0" applyFont="1" applyBorder="1"/>
    <xf numFmtId="0" fontId="30" fillId="0" borderId="51" xfId="0" applyFont="1" applyBorder="1"/>
    <xf numFmtId="0" fontId="30" fillId="0" borderId="18" xfId="0" applyFont="1" applyBorder="1"/>
    <xf numFmtId="0" fontId="30" fillId="0" borderId="62" xfId="0" applyFont="1" applyBorder="1"/>
    <xf numFmtId="0" fontId="30" fillId="0" borderId="60" xfId="0" applyFont="1" applyBorder="1"/>
    <xf numFmtId="0" fontId="32" fillId="0" borderId="47" xfId="0" applyFont="1" applyBorder="1"/>
    <xf numFmtId="0" fontId="30" fillId="0" borderId="110" xfId="0" applyFont="1" applyBorder="1" applyAlignment="1">
      <alignment horizontal="left"/>
    </xf>
    <xf numFmtId="0" fontId="32" fillId="0" borderId="28" xfId="0" applyFont="1" applyBorder="1"/>
    <xf numFmtId="0" fontId="32" fillId="0" borderId="5" xfId="0" applyFont="1" applyBorder="1"/>
    <xf numFmtId="0" fontId="32" fillId="0" borderId="40" xfId="0" applyFont="1" applyBorder="1"/>
    <xf numFmtId="0" fontId="30" fillId="0" borderId="40" xfId="0" applyFont="1" applyBorder="1" applyAlignment="1">
      <alignment horizontal="left"/>
    </xf>
    <xf numFmtId="0" fontId="30" fillId="0" borderId="16" xfId="0" applyFont="1" applyBorder="1"/>
    <xf numFmtId="0" fontId="38" fillId="0" borderId="5" xfId="0" applyFont="1" applyBorder="1"/>
    <xf numFmtId="0" fontId="32" fillId="0" borderId="60" xfId="0" applyFont="1" applyBorder="1"/>
    <xf numFmtId="0" fontId="30" fillId="0" borderId="111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2" fillId="0" borderId="112" xfId="0" applyFont="1" applyBorder="1"/>
    <xf numFmtId="0" fontId="37" fillId="6" borderId="66" xfId="0" applyFont="1" applyFill="1" applyBorder="1" applyAlignment="1">
      <alignment horizontal="left"/>
    </xf>
    <xf numFmtId="0" fontId="31" fillId="6" borderId="1" xfId="0" applyFont="1" applyFill="1" applyBorder="1" applyAlignment="1">
      <alignment horizontal="centerContinuous"/>
    </xf>
    <xf numFmtId="0" fontId="38" fillId="6" borderId="1" xfId="0" applyFont="1" applyFill="1" applyBorder="1" applyAlignment="1">
      <alignment horizontal="center"/>
    </xf>
    <xf numFmtId="0" fontId="37" fillId="6" borderId="1" xfId="0" applyFont="1" applyFill="1" applyBorder="1" applyAlignment="1">
      <alignment horizontal="centerContinuous"/>
    </xf>
    <xf numFmtId="0" fontId="29" fillId="0" borderId="101" xfId="0" applyFont="1" applyBorder="1" applyAlignment="1">
      <alignment horizontal="left"/>
    </xf>
    <xf numFmtId="0" fontId="29" fillId="6" borderId="1" xfId="0" applyFont="1" applyFill="1" applyBorder="1" applyAlignment="1">
      <alignment horizontal="centerContinuous"/>
    </xf>
    <xf numFmtId="167" fontId="29" fillId="0" borderId="103" xfId="0" applyNumberFormat="1" applyFont="1" applyBorder="1"/>
    <xf numFmtId="167" fontId="30" fillId="0" borderId="104" xfId="0" applyNumberFormat="1" applyFont="1" applyBorder="1"/>
    <xf numFmtId="167" fontId="30" fillId="0" borderId="57" xfId="0" applyNumberFormat="1" applyFont="1" applyBorder="1"/>
    <xf numFmtId="0" fontId="30" fillId="0" borderId="113" xfId="0" applyFont="1" applyBorder="1"/>
    <xf numFmtId="0" fontId="30" fillId="0" borderId="90" xfId="0" applyFont="1" applyBorder="1"/>
    <xf numFmtId="172" fontId="30" fillId="0" borderId="103" xfId="0" applyNumberFormat="1" applyFont="1" applyBorder="1"/>
    <xf numFmtId="167" fontId="30" fillId="0" borderId="85" xfId="0" applyNumberFormat="1" applyFont="1" applyBorder="1"/>
    <xf numFmtId="0" fontId="30" fillId="0" borderId="59" xfId="0" applyFont="1" applyBorder="1"/>
    <xf numFmtId="167" fontId="30" fillId="2" borderId="2" xfId="0" applyNumberFormat="1" applyFont="1" applyFill="1" applyBorder="1"/>
    <xf numFmtId="167" fontId="30" fillId="0" borderId="43" xfId="0" applyNumberFormat="1" applyFont="1" applyBorder="1"/>
    <xf numFmtId="167" fontId="30" fillId="2" borderId="0" xfId="0" applyNumberFormat="1" applyFont="1" applyFill="1" applyBorder="1"/>
    <xf numFmtId="167" fontId="30" fillId="0" borderId="13" xfId="0" applyNumberFormat="1" applyFont="1" applyBorder="1"/>
    <xf numFmtId="0" fontId="30" fillId="0" borderId="5" xfId="0" applyFont="1" applyBorder="1"/>
    <xf numFmtId="0" fontId="30" fillId="0" borderId="57" xfId="0" applyFont="1" applyBorder="1"/>
    <xf numFmtId="0" fontId="30" fillId="0" borderId="110" xfId="0" applyFont="1" applyBorder="1"/>
    <xf numFmtId="0" fontId="30" fillId="0" borderId="28" xfId="0" applyFont="1" applyBorder="1"/>
    <xf numFmtId="167" fontId="29" fillId="0" borderId="43" xfId="0" applyNumberFormat="1" applyFont="1" applyBorder="1"/>
    <xf numFmtId="0" fontId="30" fillId="0" borderId="66" xfId="0" applyFont="1" applyBorder="1"/>
    <xf numFmtId="0" fontId="30" fillId="0" borderId="102" xfId="0" applyFont="1" applyBorder="1"/>
    <xf numFmtId="0" fontId="30" fillId="0" borderId="68" xfId="0" applyFont="1" applyBorder="1"/>
    <xf numFmtId="0" fontId="30" fillId="0" borderId="100" xfId="0" applyFont="1" applyBorder="1" applyAlignment="1">
      <alignment horizontal="left"/>
    </xf>
    <xf numFmtId="0" fontId="29" fillId="0" borderId="90" xfId="0" quotePrefix="1" applyFont="1" applyBorder="1" applyAlignment="1">
      <alignment horizontal="left"/>
    </xf>
    <xf numFmtId="0" fontId="32" fillId="0" borderId="85" xfId="0" applyFont="1" applyBorder="1"/>
    <xf numFmtId="0" fontId="32" fillId="0" borderId="102" xfId="0" applyFont="1" applyBorder="1"/>
    <xf numFmtId="0" fontId="32" fillId="0" borderId="68" xfId="0" applyFont="1" applyBorder="1"/>
    <xf numFmtId="0" fontId="30" fillId="0" borderId="43" xfId="0" applyFont="1" applyBorder="1" applyAlignment="1">
      <alignment horizontal="left"/>
    </xf>
    <xf numFmtId="0" fontId="29" fillId="0" borderId="114" xfId="0" applyFont="1" applyFill="1" applyBorder="1" applyAlignment="1">
      <alignment horizontal="left"/>
    </xf>
    <xf numFmtId="0" fontId="30" fillId="0" borderId="115" xfId="0" applyFont="1" applyFill="1" applyBorder="1" applyAlignment="1"/>
    <xf numFmtId="0" fontId="29" fillId="0" borderId="116" xfId="0" applyFont="1" applyFill="1" applyBorder="1" applyAlignment="1"/>
    <xf numFmtId="179" fontId="16" fillId="2" borderId="117" xfId="0" applyNumberFormat="1" applyFont="1" applyFill="1" applyBorder="1" applyAlignment="1" applyProtection="1">
      <alignment horizontal="center"/>
    </xf>
    <xf numFmtId="164" fontId="29" fillId="0" borderId="116" xfId="0" applyNumberFormat="1" applyFont="1" applyFill="1" applyBorder="1" applyAlignment="1"/>
    <xf numFmtId="0" fontId="30" fillId="0" borderId="116" xfId="0" applyFont="1" applyFill="1" applyBorder="1" applyAlignment="1"/>
    <xf numFmtId="0" fontId="30" fillId="0" borderId="118" xfId="0" applyFont="1" applyFill="1" applyBorder="1" applyAlignment="1"/>
    <xf numFmtId="0" fontId="30" fillId="0" borderId="0" xfId="0" applyFont="1" applyBorder="1"/>
    <xf numFmtId="0" fontId="29" fillId="0" borderId="110" xfId="0" applyFont="1" applyBorder="1"/>
    <xf numFmtId="0" fontId="6" fillId="0" borderId="119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30" fillId="0" borderId="3" xfId="0" quotePrefix="1" applyFont="1" applyFill="1" applyBorder="1" applyAlignment="1"/>
    <xf numFmtId="0" fontId="30" fillId="0" borderId="3" xfId="0" applyFont="1" applyFill="1" applyBorder="1" applyAlignment="1"/>
    <xf numFmtId="0" fontId="30" fillId="0" borderId="4" xfId="0" applyFont="1" applyFill="1" applyBorder="1" applyAlignment="1"/>
    <xf numFmtId="0" fontId="30" fillId="0" borderId="120" xfId="0" quotePrefix="1" applyFont="1" applyFill="1" applyBorder="1" applyAlignment="1"/>
    <xf numFmtId="0" fontId="30" fillId="0" borderId="121" xfId="0" applyFont="1" applyFill="1" applyBorder="1" applyAlignment="1"/>
    <xf numFmtId="0" fontId="30" fillId="0" borderId="111" xfId="0" quotePrefix="1" applyFont="1" applyFill="1" applyBorder="1" applyAlignment="1"/>
    <xf numFmtId="0" fontId="30" fillId="0" borderId="122" xfId="0" applyFont="1" applyFill="1" applyBorder="1" applyAlignment="1"/>
    <xf numFmtId="0" fontId="30" fillId="0" borderId="63" xfId="0" applyFont="1" applyFill="1" applyBorder="1" applyAlignment="1"/>
    <xf numFmtId="0" fontId="30" fillId="0" borderId="123" xfId="0" applyFont="1" applyFill="1" applyBorder="1" applyAlignment="1"/>
    <xf numFmtId="0" fontId="30" fillId="0" borderId="3" xfId="0" quotePrefix="1" applyFont="1" applyFill="1" applyBorder="1" applyAlignment="1">
      <alignment horizontal="left"/>
    </xf>
    <xf numFmtId="0" fontId="32" fillId="0" borderId="54" xfId="0" applyFont="1" applyBorder="1"/>
    <xf numFmtId="167" fontId="30" fillId="0" borderId="73" xfId="0" applyNumberFormat="1" applyFont="1" applyBorder="1"/>
    <xf numFmtId="167" fontId="29" fillId="0" borderId="40" xfId="0" applyNumberFormat="1" applyFont="1" applyBorder="1"/>
    <xf numFmtId="0" fontId="6" fillId="0" borderId="46" xfId="0" applyFont="1" applyBorder="1"/>
    <xf numFmtId="166" fontId="30" fillId="0" borderId="6" xfId="0" applyNumberFormat="1" applyFont="1" applyFill="1" applyBorder="1" applyAlignment="1"/>
    <xf numFmtId="166" fontId="30" fillId="0" borderId="36" xfId="0" applyNumberFormat="1" applyFont="1" applyFill="1" applyBorder="1" applyAlignment="1"/>
    <xf numFmtId="0" fontId="29" fillId="0" borderId="101" xfId="0" applyFont="1" applyFill="1" applyBorder="1" applyAlignment="1">
      <alignment horizontal="left"/>
    </xf>
    <xf numFmtId="166" fontId="30" fillId="0" borderId="31" xfId="0" applyNumberFormat="1" applyFont="1" applyFill="1" applyBorder="1" applyAlignment="1"/>
    <xf numFmtId="166" fontId="30" fillId="0" borderId="105" xfId="0" applyNumberFormat="1" applyFont="1" applyFill="1" applyBorder="1" applyAlignment="1"/>
    <xf numFmtId="0" fontId="30" fillId="0" borderId="57" xfId="0" applyFont="1" applyFill="1" applyBorder="1" applyAlignment="1"/>
    <xf numFmtId="0" fontId="30" fillId="0" borderId="60" xfId="0" applyFont="1" applyFill="1" applyBorder="1" applyAlignment="1"/>
    <xf numFmtId="166" fontId="30" fillId="0" borderId="103" xfId="0" applyNumberFormat="1" applyFont="1" applyFill="1" applyBorder="1" applyAlignment="1"/>
    <xf numFmtId="0" fontId="30" fillId="0" borderId="85" xfId="0" applyFont="1" applyFill="1" applyBorder="1" applyAlignment="1"/>
    <xf numFmtId="167" fontId="30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11" fillId="0" borderId="1" xfId="0" quotePrefix="1" applyFont="1" applyBorder="1" applyAlignment="1">
      <alignment horizontal="center"/>
    </xf>
    <xf numFmtId="0" fontId="7" fillId="0" borderId="28" xfId="0" applyFont="1" applyBorder="1"/>
    <xf numFmtId="167" fontId="0" fillId="0" borderId="54" xfId="0" applyNumberFormat="1" applyBorder="1"/>
    <xf numFmtId="0" fontId="2" fillId="0" borderId="0" xfId="0" applyFont="1" applyBorder="1"/>
    <xf numFmtId="0" fontId="7" fillId="0" borderId="0" xfId="0" applyFont="1" applyBorder="1" applyAlignment="1">
      <alignment horizontal="left"/>
    </xf>
    <xf numFmtId="167" fontId="1" fillId="0" borderId="0" xfId="0" applyNumberFormat="1" applyFont="1" applyBorder="1"/>
    <xf numFmtId="0" fontId="30" fillId="0" borderId="16" xfId="0" applyFont="1" applyFill="1" applyBorder="1" applyAlignment="1">
      <alignment horizontal="left"/>
    </xf>
    <xf numFmtId="0" fontId="29" fillId="0" borderId="48" xfId="0" applyFont="1" applyFill="1" applyBorder="1" applyAlignment="1">
      <alignment horizontal="center"/>
    </xf>
    <xf numFmtId="0" fontId="16" fillId="0" borderId="11" xfId="0" applyFont="1" applyBorder="1"/>
    <xf numFmtId="0" fontId="37" fillId="6" borderId="101" xfId="0" applyFont="1" applyFill="1" applyBorder="1" applyAlignment="1">
      <alignment horizontal="left"/>
    </xf>
    <xf numFmtId="0" fontId="50" fillId="0" borderId="115" xfId="0" applyFont="1" applyBorder="1"/>
    <xf numFmtId="0" fontId="50" fillId="0" borderId="116" xfId="0" applyFont="1" applyBorder="1"/>
    <xf numFmtId="0" fontId="50" fillId="0" borderId="11" xfId="0" applyFont="1" applyBorder="1"/>
    <xf numFmtId="0" fontId="51" fillId="0" borderId="0" xfId="0" applyFont="1" applyBorder="1"/>
    <xf numFmtId="0" fontId="51" fillId="0" borderId="87" xfId="0" applyFont="1" applyBorder="1"/>
    <xf numFmtId="0" fontId="51" fillId="0" borderId="13" xfId="0" applyFont="1" applyBorder="1"/>
    <xf numFmtId="0" fontId="50" fillId="0" borderId="8" xfId="0" applyFont="1" applyBorder="1" applyAlignment="1">
      <alignment horizontal="center"/>
    </xf>
    <xf numFmtId="0" fontId="50" fillId="0" borderId="24" xfId="0" applyFont="1" applyBorder="1" applyAlignment="1">
      <alignment horizontal="center"/>
    </xf>
    <xf numFmtId="0" fontId="50" fillId="0" borderId="0" xfId="0" applyFont="1" applyBorder="1" applyAlignment="1">
      <alignment horizontal="center"/>
    </xf>
    <xf numFmtId="0" fontId="50" fillId="0" borderId="13" xfId="0" applyFont="1" applyBorder="1" applyAlignment="1">
      <alignment horizontal="center"/>
    </xf>
    <xf numFmtId="0" fontId="51" fillId="0" borderId="124" xfId="0" applyFont="1" applyBorder="1" applyAlignment="1">
      <alignment horizontal="center"/>
    </xf>
    <xf numFmtId="1" fontId="50" fillId="0" borderId="9" xfId="0" applyNumberFormat="1" applyFont="1" applyBorder="1" applyAlignment="1">
      <alignment horizontal="center"/>
    </xf>
    <xf numFmtId="0" fontId="50" fillId="0" borderId="1" xfId="0" applyFont="1" applyBorder="1" applyAlignment="1">
      <alignment horizontal="center"/>
    </xf>
    <xf numFmtId="0" fontId="50" fillId="0" borderId="125" xfId="0" applyFont="1" applyBorder="1" applyAlignment="1">
      <alignment horizontal="center"/>
    </xf>
    <xf numFmtId="0" fontId="50" fillId="0" borderId="9" xfId="0" applyFont="1" applyBorder="1" applyAlignment="1">
      <alignment horizontal="center"/>
    </xf>
    <xf numFmtId="0" fontId="50" fillId="0" borderId="126" xfId="0" applyFont="1" applyBorder="1" applyAlignment="1">
      <alignment horizontal="center"/>
    </xf>
    <xf numFmtId="0" fontId="52" fillId="0" borderId="127" xfId="0" applyFont="1" applyBorder="1"/>
    <xf numFmtId="0" fontId="53" fillId="0" borderId="9" xfId="0" applyFont="1" applyBorder="1"/>
    <xf numFmtId="171" fontId="53" fillId="0" borderId="26" xfId="0" applyNumberFormat="1" applyFont="1" applyBorder="1"/>
    <xf numFmtId="0" fontId="53" fillId="0" borderId="26" xfId="0" applyFont="1" applyBorder="1"/>
    <xf numFmtId="0" fontId="53" fillId="0" borderId="80" xfId="0" applyFont="1" applyBorder="1"/>
    <xf numFmtId="0" fontId="50" fillId="5" borderId="101" xfId="0" applyFont="1" applyFill="1" applyBorder="1"/>
    <xf numFmtId="0" fontId="50" fillId="5" borderId="31" xfId="0" applyFont="1" applyFill="1" applyBorder="1"/>
    <xf numFmtId="0" fontId="50" fillId="5" borderId="29" xfId="0" applyFont="1" applyFill="1" applyBorder="1"/>
    <xf numFmtId="0" fontId="50" fillId="5" borderId="30" xfId="0" applyFont="1" applyFill="1" applyBorder="1"/>
    <xf numFmtId="0" fontId="50" fillId="5" borderId="85" xfId="0" applyFont="1" applyFill="1" applyBorder="1"/>
    <xf numFmtId="0" fontId="52" fillId="0" borderId="11" xfId="0" applyFont="1" applyBorder="1"/>
    <xf numFmtId="0" fontId="53" fillId="0" borderId="1" xfId="0" applyFont="1" applyBorder="1"/>
    <xf numFmtId="0" fontId="50" fillId="5" borderId="7" xfId="0" applyFont="1" applyFill="1" applyBorder="1"/>
    <xf numFmtId="0" fontId="50" fillId="5" borderId="27" xfId="0" applyFont="1" applyFill="1" applyBorder="1"/>
    <xf numFmtId="0" fontId="50" fillId="2" borderId="110" xfId="0" applyFont="1" applyFill="1" applyBorder="1"/>
    <xf numFmtId="0" fontId="50" fillId="2" borderId="128" xfId="0" applyFont="1" applyFill="1" applyBorder="1"/>
    <xf numFmtId="171" fontId="53" fillId="0" borderId="129" xfId="0" applyNumberFormat="1" applyFont="1" applyBorder="1"/>
    <xf numFmtId="0" fontId="50" fillId="2" borderId="54" xfId="0" applyFont="1" applyFill="1" applyBorder="1"/>
    <xf numFmtId="0" fontId="50" fillId="2" borderId="27" xfId="0" applyFont="1" applyFill="1" applyBorder="1"/>
    <xf numFmtId="0" fontId="50" fillId="2" borderId="7" xfId="0" applyFont="1" applyFill="1" applyBorder="1"/>
    <xf numFmtId="0" fontId="50" fillId="2" borderId="130" xfId="0" applyFont="1" applyFill="1" applyBorder="1"/>
    <xf numFmtId="0" fontId="50" fillId="2" borderId="131" xfId="0" applyFont="1" applyFill="1" applyBorder="1"/>
    <xf numFmtId="0" fontId="50" fillId="2" borderId="86" xfId="0" applyFont="1" applyFill="1" applyBorder="1"/>
    <xf numFmtId="171" fontId="53" fillId="0" borderId="87" xfId="0" applyNumberFormat="1" applyFont="1" applyBorder="1"/>
    <xf numFmtId="0" fontId="50" fillId="2" borderId="62" xfId="0" applyFont="1" applyFill="1" applyBorder="1"/>
    <xf numFmtId="0" fontId="50" fillId="2" borderId="87" xfId="0" applyFont="1" applyFill="1" applyBorder="1"/>
    <xf numFmtId="0" fontId="50" fillId="2" borderId="58" xfId="0" applyFont="1" applyFill="1" applyBorder="1"/>
    <xf numFmtId="0" fontId="50" fillId="2" borderId="10" xfId="0" applyFont="1" applyFill="1" applyBorder="1"/>
    <xf numFmtId="0" fontId="50" fillId="2" borderId="32" xfId="0" applyFont="1" applyFill="1" applyBorder="1"/>
    <xf numFmtId="0" fontId="50" fillId="2" borderId="124" xfId="0" applyFont="1" applyFill="1" applyBorder="1"/>
    <xf numFmtId="0" fontId="50" fillId="2" borderId="1" xfId="0" applyFont="1" applyFill="1" applyBorder="1"/>
    <xf numFmtId="0" fontId="50" fillId="2" borderId="26" xfId="0" applyFont="1" applyFill="1" applyBorder="1"/>
    <xf numFmtId="0" fontId="50" fillId="2" borderId="9" xfId="0" applyFont="1" applyFill="1" applyBorder="1"/>
    <xf numFmtId="0" fontId="50" fillId="2" borderId="80" xfId="0" applyFont="1" applyFill="1" applyBorder="1"/>
    <xf numFmtId="0" fontId="52" fillId="0" borderId="124" xfId="0" applyFont="1" applyBorder="1"/>
    <xf numFmtId="0" fontId="52" fillId="0" borderId="9" xfId="0" applyFont="1" applyBorder="1"/>
    <xf numFmtId="0" fontId="52" fillId="0" borderId="26" xfId="0" applyFont="1" applyBorder="1"/>
    <xf numFmtId="0" fontId="52" fillId="0" borderId="1" xfId="0" applyFont="1" applyBorder="1"/>
    <xf numFmtId="0" fontId="52" fillId="0" borderId="80" xfId="0" applyFont="1" applyBorder="1"/>
    <xf numFmtId="0" fontId="49" fillId="5" borderId="101" xfId="0" applyFont="1" applyFill="1" applyBorder="1" applyAlignment="1">
      <alignment horizontal="center"/>
    </xf>
    <xf numFmtId="0" fontId="53" fillId="0" borderId="11" xfId="0" applyFont="1" applyBorder="1"/>
    <xf numFmtId="0" fontId="53" fillId="0" borderId="8" xfId="0" applyFont="1" applyBorder="1"/>
    <xf numFmtId="1" fontId="53" fillId="0" borderId="24" xfId="0" applyNumberFormat="1" applyFont="1" applyBorder="1"/>
    <xf numFmtId="0" fontId="53" fillId="0" borderId="0" xfId="0" applyFont="1" applyBorder="1"/>
    <xf numFmtId="0" fontId="53" fillId="0" borderId="24" xfId="0" applyFont="1" applyBorder="1"/>
    <xf numFmtId="0" fontId="53" fillId="0" borderId="13" xfId="0" applyFont="1" applyBorder="1"/>
    <xf numFmtId="0" fontId="49" fillId="5" borderId="127" xfId="0" applyFont="1" applyFill="1" applyBorder="1" applyAlignment="1">
      <alignment horizontal="center"/>
    </xf>
    <xf numFmtId="0" fontId="52" fillId="0" borderId="101" xfId="0" applyFont="1" applyBorder="1"/>
    <xf numFmtId="0" fontId="53" fillId="0" borderId="31" xfId="0" applyFont="1" applyBorder="1"/>
    <xf numFmtId="171" fontId="53" fillId="0" borderId="29" xfId="0" applyNumberFormat="1" applyFont="1" applyBorder="1"/>
    <xf numFmtId="0" fontId="53" fillId="0" borderId="30" xfId="0" applyFont="1" applyBorder="1"/>
    <xf numFmtId="0" fontId="53" fillId="0" borderId="29" xfId="0" applyFont="1" applyBorder="1"/>
    <xf numFmtId="0" fontId="53" fillId="0" borderId="85" xfId="0" applyFont="1" applyBorder="1"/>
    <xf numFmtId="0" fontId="51" fillId="0" borderId="11" xfId="0" applyFont="1" applyBorder="1"/>
    <xf numFmtId="0" fontId="50" fillId="0" borderId="10" xfId="0" applyFont="1" applyBorder="1"/>
    <xf numFmtId="166" fontId="50" fillId="0" borderId="32" xfId="0" applyNumberFormat="1" applyFont="1" applyBorder="1"/>
    <xf numFmtId="0" fontId="50" fillId="0" borderId="2" xfId="0" applyFont="1" applyBorder="1"/>
    <xf numFmtId="0" fontId="51" fillId="0" borderId="131" xfId="0" applyFont="1" applyBorder="1"/>
    <xf numFmtId="0" fontId="50" fillId="0" borderId="8" xfId="0" applyFont="1" applyBorder="1"/>
    <xf numFmtId="0" fontId="50" fillId="0" borderId="0" xfId="0" applyFont="1" applyBorder="1"/>
    <xf numFmtId="0" fontId="50" fillId="0" borderId="24" xfId="0" applyFont="1" applyBorder="1"/>
    <xf numFmtId="0" fontId="50" fillId="0" borderId="86" xfId="0" applyFont="1" applyBorder="1"/>
    <xf numFmtId="0" fontId="50" fillId="0" borderId="62" xfId="0" applyFont="1" applyBorder="1"/>
    <xf numFmtId="0" fontId="50" fillId="0" borderId="87" xfId="0" applyFont="1" applyBorder="1"/>
    <xf numFmtId="0" fontId="50" fillId="0" borderId="9" xfId="0" applyFont="1" applyBorder="1"/>
    <xf numFmtId="0" fontId="50" fillId="0" borderId="26" xfId="0" applyFont="1" applyBorder="1"/>
    <xf numFmtId="0" fontId="53" fillId="5" borderId="101" xfId="0" applyFont="1" applyFill="1" applyBorder="1"/>
    <xf numFmtId="0" fontId="53" fillId="5" borderId="30" xfId="0" applyFont="1" applyFill="1" applyBorder="1"/>
    <xf numFmtId="0" fontId="52" fillId="5" borderId="30" xfId="0" applyFont="1" applyFill="1" applyBorder="1" applyAlignment="1">
      <alignment horizontal="center"/>
    </xf>
    <xf numFmtId="0" fontId="53" fillId="5" borderId="29" xfId="0" applyFont="1" applyFill="1" applyBorder="1"/>
    <xf numFmtId="0" fontId="52" fillId="5" borderId="30" xfId="0" applyFont="1" applyFill="1" applyBorder="1"/>
    <xf numFmtId="0" fontId="53" fillId="5" borderId="85" xfId="0" applyFont="1" applyFill="1" applyBorder="1"/>
    <xf numFmtId="167" fontId="50" fillId="0" borderId="46" xfId="0" applyNumberFormat="1" applyFont="1" applyBorder="1"/>
    <xf numFmtId="0" fontId="50" fillId="0" borderId="42" xfId="0" applyFont="1" applyBorder="1"/>
    <xf numFmtId="0" fontId="50" fillId="0" borderId="46" xfId="0" applyFont="1" applyBorder="1"/>
    <xf numFmtId="0" fontId="50" fillId="0" borderId="129" xfId="0" applyFont="1" applyBorder="1"/>
    <xf numFmtId="0" fontId="54" fillId="0" borderId="0" xfId="0" applyFont="1" applyBorder="1"/>
    <xf numFmtId="0" fontId="50" fillId="0" borderId="54" xfId="0" applyFont="1" applyBorder="1"/>
    <xf numFmtId="0" fontId="50" fillId="2" borderId="13" xfId="0" applyFont="1" applyFill="1" applyBorder="1"/>
    <xf numFmtId="167" fontId="50" fillId="0" borderId="39" xfId="0" applyNumberFormat="1" applyFont="1" applyBorder="1"/>
    <xf numFmtId="0" fontId="50" fillId="0" borderId="61" xfId="0" applyFont="1" applyBorder="1"/>
    <xf numFmtId="0" fontId="50" fillId="0" borderId="40" xfId="0" applyFont="1" applyBorder="1"/>
    <xf numFmtId="167" fontId="50" fillId="0" borderId="79" xfId="0" applyNumberFormat="1" applyFont="1" applyBorder="1"/>
    <xf numFmtId="0" fontId="50" fillId="0" borderId="1" xfId="0" applyFont="1" applyBorder="1"/>
    <xf numFmtId="0" fontId="50" fillId="0" borderId="79" xfId="0" applyFont="1" applyBorder="1"/>
    <xf numFmtId="0" fontId="49" fillId="0" borderId="101" xfId="0" applyFont="1" applyBorder="1"/>
    <xf numFmtId="0" fontId="51" fillId="0" borderId="104" xfId="0" applyFont="1" applyBorder="1"/>
    <xf numFmtId="0" fontId="51" fillId="0" borderId="107" xfId="0" applyFont="1" applyBorder="1"/>
    <xf numFmtId="0" fontId="51" fillId="0" borderId="55" xfId="0" applyFont="1" applyBorder="1"/>
    <xf numFmtId="0" fontId="51" fillId="0" borderId="27" xfId="0" applyFont="1" applyBorder="1"/>
    <xf numFmtId="0" fontId="51" fillId="0" borderId="40" xfId="0" applyFont="1" applyBorder="1"/>
    <xf numFmtId="0" fontId="51" fillId="0" borderId="24" xfId="0" applyFont="1" applyBorder="1"/>
    <xf numFmtId="0" fontId="50" fillId="0" borderId="104" xfId="0" applyFont="1" applyBorder="1"/>
    <xf numFmtId="0" fontId="50" fillId="0" borderId="30" xfId="0" applyFont="1" applyBorder="1"/>
    <xf numFmtId="0" fontId="50" fillId="0" borderId="29" xfId="0" applyFont="1" applyBorder="1"/>
    <xf numFmtId="0" fontId="50" fillId="0" borderId="63" xfId="0" applyFont="1" applyBorder="1"/>
    <xf numFmtId="0" fontId="51" fillId="0" borderId="5" xfId="0" applyFont="1" applyBorder="1"/>
    <xf numFmtId="0" fontId="55" fillId="0" borderId="132" xfId="0" applyFont="1" applyBorder="1"/>
    <xf numFmtId="0" fontId="51" fillId="0" borderId="133" xfId="0" applyFont="1" applyBorder="1"/>
    <xf numFmtId="0" fontId="51" fillId="0" borderId="61" xfId="0" applyFont="1" applyBorder="1"/>
    <xf numFmtId="0" fontId="51" fillId="0" borderId="134" xfId="0" applyFont="1" applyBorder="1"/>
    <xf numFmtId="0" fontId="51" fillId="0" borderId="14" xfId="0" applyFont="1" applyBorder="1"/>
    <xf numFmtId="1" fontId="50" fillId="0" borderId="125" xfId="0" applyNumberFormat="1" applyFont="1" applyBorder="1" applyAlignment="1">
      <alignment horizontal="center"/>
    </xf>
    <xf numFmtId="167" fontId="55" fillId="0" borderId="39" xfId="0" applyNumberFormat="1" applyFont="1" applyBorder="1"/>
    <xf numFmtId="167" fontId="55" fillId="0" borderId="46" xfId="0" applyNumberFormat="1" applyFont="1" applyBorder="1"/>
    <xf numFmtId="167" fontId="55" fillId="0" borderId="61" xfId="0" applyNumberFormat="1" applyFont="1" applyBorder="1"/>
    <xf numFmtId="167" fontId="55" fillId="0" borderId="104" xfId="0" applyNumberFormat="1" applyFont="1" applyBorder="1"/>
    <xf numFmtId="171" fontId="52" fillId="0" borderId="26" xfId="0" applyNumberFormat="1" applyFont="1" applyBorder="1"/>
    <xf numFmtId="0" fontId="51" fillId="0" borderId="11" xfId="0" quotePrefix="1" applyFont="1" applyBorder="1" applyAlignment="1">
      <alignment horizontal="left"/>
    </xf>
    <xf numFmtId="0" fontId="51" fillId="0" borderId="135" xfId="0" applyFont="1" applyBorder="1"/>
    <xf numFmtId="0" fontId="51" fillId="0" borderId="136" xfId="0" applyFont="1" applyBorder="1"/>
    <xf numFmtId="0" fontId="51" fillId="0" borderId="70" xfId="0" applyFont="1" applyBorder="1"/>
    <xf numFmtId="0" fontId="51" fillId="0" borderId="137" xfId="0" applyFont="1" applyBorder="1"/>
    <xf numFmtId="0" fontId="50" fillId="0" borderId="14" xfId="0" applyFont="1" applyBorder="1"/>
    <xf numFmtId="0" fontId="56" fillId="0" borderId="116" xfId="0" applyFont="1" applyFill="1" applyBorder="1" applyAlignment="1"/>
    <xf numFmtId="49" fontId="30" fillId="0" borderId="11" xfId="0" applyNumberFormat="1" applyFont="1" applyBorder="1" applyAlignment="1">
      <alignment horizontal="left" wrapText="1"/>
    </xf>
    <xf numFmtId="167" fontId="4" fillId="2" borderId="5" xfId="0" applyNumberFormat="1" applyFont="1" applyFill="1" applyBorder="1"/>
    <xf numFmtId="0" fontId="7" fillId="0" borderId="138" xfId="0" quotePrefix="1" applyFont="1" applyBorder="1" applyAlignment="1">
      <alignment horizontal="left"/>
    </xf>
    <xf numFmtId="167" fontId="50" fillId="0" borderId="43" xfId="0" applyNumberFormat="1" applyFont="1" applyBorder="1"/>
    <xf numFmtId="167" fontId="50" fillId="0" borderId="58" xfId="0" applyNumberFormat="1" applyFont="1" applyBorder="1"/>
    <xf numFmtId="167" fontId="50" fillId="0" borderId="12" xfId="0" applyNumberFormat="1" applyFont="1" applyBorder="1"/>
    <xf numFmtId="0" fontId="7" fillId="0" borderId="40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9" xfId="0" quotePrefix="1" applyFont="1" applyBorder="1" applyAlignment="1">
      <alignment horizontal="left"/>
    </xf>
    <xf numFmtId="0" fontId="13" fillId="2" borderId="0" xfId="0" applyFont="1" applyFill="1" applyBorder="1"/>
    <xf numFmtId="0" fontId="57" fillId="0" borderId="88" xfId="0" quotePrefix="1" applyFont="1" applyBorder="1" applyAlignment="1">
      <alignment horizontal="left"/>
    </xf>
    <xf numFmtId="0" fontId="55" fillId="0" borderId="11" xfId="0" applyFont="1" applyBorder="1"/>
    <xf numFmtId="0" fontId="55" fillId="0" borderId="11" xfId="0" quotePrefix="1" applyFont="1" applyBorder="1" applyAlignment="1">
      <alignment horizontal="left"/>
    </xf>
    <xf numFmtId="167" fontId="50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30" fillId="0" borderId="11" xfId="0" applyFont="1" applyFill="1" applyBorder="1" applyAlignment="1"/>
    <xf numFmtId="0" fontId="7" fillId="0" borderId="36" xfId="0" applyFont="1" applyBorder="1"/>
    <xf numFmtId="0" fontId="0" fillId="0" borderId="115" xfId="0" applyBorder="1"/>
    <xf numFmtId="0" fontId="42" fillId="0" borderId="140" xfId="0" applyFont="1" applyBorder="1"/>
    <xf numFmtId="167" fontId="51" fillId="0" borderId="58" xfId="0" applyNumberFormat="1" applyFont="1" applyBorder="1"/>
    <xf numFmtId="166" fontId="51" fillId="0" borderId="87" xfId="0" applyNumberFormat="1" applyFont="1" applyBorder="1"/>
    <xf numFmtId="0" fontId="16" fillId="0" borderId="0" xfId="0" quotePrefix="1" applyFont="1" applyBorder="1" applyAlignment="1">
      <alignment horizontal="left"/>
    </xf>
    <xf numFmtId="0" fontId="16" fillId="0" borderId="87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41" xfId="0" applyNumberFormat="1" applyFont="1" applyFill="1" applyBorder="1"/>
    <xf numFmtId="0" fontId="29" fillId="0" borderId="101" xfId="0" applyFont="1" applyBorder="1"/>
    <xf numFmtId="0" fontId="11" fillId="0" borderId="0" xfId="0" applyFont="1"/>
    <xf numFmtId="167" fontId="11" fillId="0" borderId="142" xfId="0" applyNumberFormat="1" applyFont="1" applyBorder="1"/>
    <xf numFmtId="0" fontId="0" fillId="0" borderId="32" xfId="0" applyBorder="1"/>
    <xf numFmtId="0" fontId="11" fillId="0" borderId="143" xfId="0" applyFont="1" applyBorder="1" applyAlignment="1">
      <alignment horizontal="center"/>
    </xf>
    <xf numFmtId="0" fontId="11" fillId="0" borderId="115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54" xfId="0" applyFont="1" applyBorder="1"/>
    <xf numFmtId="167" fontId="7" fillId="2" borderId="0" xfId="0" applyNumberFormat="1" applyFont="1" applyFill="1" applyBorder="1" applyProtection="1"/>
    <xf numFmtId="167" fontId="7" fillId="0" borderId="32" xfId="0" applyNumberFormat="1" applyFont="1" applyBorder="1"/>
    <xf numFmtId="179" fontId="42" fillId="0" borderId="31" xfId="0" applyNumberFormat="1" applyFont="1" applyBorder="1" applyAlignment="1">
      <alignment horizontal="right"/>
    </xf>
    <xf numFmtId="0" fontId="44" fillId="0" borderId="29" xfId="0" applyFont="1" applyBorder="1"/>
    <xf numFmtId="0" fontId="0" fillId="0" borderId="0" xfId="0" applyAlignment="1"/>
    <xf numFmtId="0" fontId="0" fillId="0" borderId="58" xfId="0" applyBorder="1"/>
    <xf numFmtId="167" fontId="1" fillId="2" borderId="61" xfId="0" applyNumberFormat="1" applyFont="1" applyFill="1" applyBorder="1"/>
    <xf numFmtId="167" fontId="7" fillId="0" borderId="73" xfId="0" applyNumberFormat="1" applyFont="1" applyBorder="1"/>
    <xf numFmtId="167" fontId="7" fillId="0" borderId="13" xfId="0" applyNumberFormat="1" applyFont="1" applyBorder="1"/>
    <xf numFmtId="167" fontId="7" fillId="0" borderId="79" xfId="0" applyNumberFormat="1" applyFont="1" applyBorder="1"/>
    <xf numFmtId="167" fontId="7" fillId="0" borderId="80" xfId="0" applyNumberFormat="1" applyFont="1" applyBorder="1"/>
    <xf numFmtId="0" fontId="0" fillId="0" borderId="144" xfId="0" applyBorder="1"/>
    <xf numFmtId="0" fontId="8" fillId="0" borderId="86" xfId="0" applyFont="1" applyBorder="1"/>
    <xf numFmtId="167" fontId="51" fillId="0" borderId="55" xfId="0" applyNumberFormat="1" applyFont="1" applyBorder="1"/>
    <xf numFmtId="167" fontId="50" fillId="0" borderId="61" xfId="0" applyNumberFormat="1" applyFont="1" applyBorder="1"/>
    <xf numFmtId="167" fontId="51" fillId="0" borderId="40" xfId="0" applyNumberFormat="1" applyFont="1" applyBorder="1"/>
    <xf numFmtId="167" fontId="50" fillId="0" borderId="104" xfId="0" applyNumberFormat="1" applyFont="1" applyBorder="1"/>
    <xf numFmtId="0" fontId="50" fillId="5" borderId="110" xfId="0" applyFont="1" applyFill="1" applyBorder="1"/>
    <xf numFmtId="0" fontId="50" fillId="5" borderId="54" xfId="0" applyFont="1" applyFill="1" applyBorder="1"/>
    <xf numFmtId="0" fontId="50" fillId="5" borderId="130" xfId="0" applyFont="1" applyFill="1" applyBorder="1"/>
    <xf numFmtId="0" fontId="4" fillId="2" borderId="145" xfId="0" applyFont="1" applyFill="1" applyBorder="1"/>
    <xf numFmtId="0" fontId="52" fillId="2" borderId="110" xfId="0" applyFont="1" applyFill="1" applyBorder="1"/>
    <xf numFmtId="0" fontId="49" fillId="5" borderId="85" xfId="0" applyFont="1" applyFill="1" applyBorder="1" applyAlignment="1">
      <alignment horizontal="left"/>
    </xf>
    <xf numFmtId="0" fontId="52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8" fillId="2" borderId="115" xfId="0" applyFont="1" applyFill="1" applyBorder="1" applyProtection="1"/>
    <xf numFmtId="164" fontId="58" fillId="2" borderId="115" xfId="0" applyNumberFormat="1" applyFont="1" applyFill="1" applyBorder="1" applyAlignment="1" applyProtection="1">
      <alignment horizontal="center"/>
    </xf>
    <xf numFmtId="164" fontId="58" fillId="2" borderId="15" xfId="0" applyNumberFormat="1" applyFont="1" applyFill="1" applyBorder="1" applyAlignment="1" applyProtection="1">
      <alignment horizontal="center"/>
    </xf>
    <xf numFmtId="0" fontId="57" fillId="2" borderId="11" xfId="0" quotePrefix="1" applyFont="1" applyFill="1" applyBorder="1" applyAlignment="1" applyProtection="1">
      <alignment horizontal="left"/>
    </xf>
    <xf numFmtId="0" fontId="58" fillId="2" borderId="0" xfId="0" applyFont="1" applyFill="1" applyBorder="1" applyProtection="1"/>
    <xf numFmtId="0" fontId="58" fillId="2" borderId="13" xfId="0" applyFont="1" applyFill="1" applyBorder="1" applyProtection="1"/>
    <xf numFmtId="0" fontId="59" fillId="2" borderId="11" xfId="0" applyFont="1" applyFill="1" applyBorder="1" applyProtection="1"/>
    <xf numFmtId="0" fontId="57" fillId="2" borderId="0" xfId="0" applyFont="1" applyFill="1" applyBorder="1" applyAlignment="1" applyProtection="1">
      <alignment horizontal="center"/>
    </xf>
    <xf numFmtId="0" fontId="57" fillId="2" borderId="13" xfId="0" applyFont="1" applyFill="1" applyBorder="1" applyAlignment="1" applyProtection="1">
      <alignment horizontal="center"/>
    </xf>
    <xf numFmtId="0" fontId="59" fillId="2" borderId="146" xfId="0" applyFont="1" applyFill="1" applyBorder="1" applyAlignment="1" applyProtection="1">
      <alignment horizontal="left"/>
    </xf>
    <xf numFmtId="0" fontId="58" fillId="2" borderId="147" xfId="0" applyFont="1" applyFill="1" applyBorder="1" applyProtection="1"/>
    <xf numFmtId="164" fontId="58" fillId="2" borderId="91" xfId="0" applyNumberFormat="1" applyFont="1" applyFill="1" applyBorder="1" applyProtection="1"/>
    <xf numFmtId="164" fontId="58" fillId="2" borderId="93" xfId="0" applyNumberFormat="1" applyFont="1" applyFill="1" applyBorder="1" applyProtection="1"/>
    <xf numFmtId="0" fontId="60" fillId="2" borderId="11" xfId="0" applyFont="1" applyFill="1" applyBorder="1" applyProtection="1"/>
    <xf numFmtId="166" fontId="58" fillId="2" borderId="94" xfId="0" applyNumberFormat="1" applyFont="1" applyFill="1" applyBorder="1" applyProtection="1"/>
    <xf numFmtId="166" fontId="58" fillId="2" borderId="95" xfId="0" applyNumberFormat="1" applyFont="1" applyFill="1" applyBorder="1" applyProtection="1"/>
    <xf numFmtId="0" fontId="60" fillId="2" borderId="11" xfId="0" applyFont="1" applyFill="1" applyBorder="1" applyAlignment="1" applyProtection="1">
      <alignment horizontal="left"/>
    </xf>
    <xf numFmtId="0" fontId="58" fillId="2" borderId="0" xfId="0" applyFont="1" applyFill="1" applyBorder="1"/>
    <xf numFmtId="0" fontId="58" fillId="2" borderId="0" xfId="0" quotePrefix="1" applyFont="1" applyFill="1" applyBorder="1" applyAlignment="1" applyProtection="1">
      <alignment horizontal="left"/>
    </xf>
    <xf numFmtId="166" fontId="58" fillId="2" borderId="148" xfId="0" applyNumberFormat="1" applyFont="1" applyFill="1" applyBorder="1" applyProtection="1"/>
    <xf numFmtId="0" fontId="58" fillId="2" borderId="0" xfId="0" applyFont="1" applyFill="1" applyBorder="1" applyAlignment="1" applyProtection="1">
      <alignment horizontal="left"/>
    </xf>
    <xf numFmtId="0" fontId="60" fillId="2" borderId="149" xfId="0" applyFont="1" applyFill="1" applyBorder="1" applyAlignment="1" applyProtection="1">
      <alignment horizontal="left"/>
    </xf>
    <xf numFmtId="0" fontId="58" fillId="2" borderId="150" xfId="0" applyFont="1" applyFill="1" applyBorder="1" applyProtection="1"/>
    <xf numFmtId="166" fontId="58" fillId="2" borderId="97" xfId="0" applyNumberFormat="1" applyFont="1" applyFill="1" applyBorder="1" applyProtection="1"/>
    <xf numFmtId="166" fontId="58" fillId="2" borderId="151" xfId="0" applyNumberFormat="1" applyFont="1" applyFill="1" applyBorder="1" applyProtection="1"/>
    <xf numFmtId="0" fontId="57" fillId="2" borderId="0" xfId="0" applyFont="1" applyFill="1" applyBorder="1" applyProtection="1"/>
    <xf numFmtId="0" fontId="59" fillId="2" borderId="152" xfId="0" applyFont="1" applyFill="1" applyBorder="1" applyAlignment="1" applyProtection="1">
      <alignment horizontal="left"/>
    </xf>
    <xf numFmtId="0" fontId="58" fillId="2" borderId="153" xfId="0" applyFont="1" applyFill="1" applyBorder="1" applyProtection="1"/>
    <xf numFmtId="166" fontId="58" fillId="2" borderId="98" xfId="0" applyNumberFormat="1" applyFont="1" applyFill="1" applyBorder="1" applyProtection="1"/>
    <xf numFmtId="166" fontId="58" fillId="2" borderId="154" xfId="0" applyNumberFormat="1" applyFont="1" applyFill="1" applyBorder="1" applyProtection="1"/>
    <xf numFmtId="0" fontId="60" fillId="2" borderId="11" xfId="0" quotePrefix="1" applyFont="1" applyFill="1" applyBorder="1" applyAlignment="1" applyProtection="1">
      <alignment horizontal="left"/>
    </xf>
    <xf numFmtId="0" fontId="60" fillId="2" borderId="44" xfId="0" applyFont="1" applyFill="1" applyBorder="1" applyProtection="1"/>
    <xf numFmtId="0" fontId="58" fillId="2" borderId="2" xfId="0" applyFont="1" applyFill="1" applyBorder="1" applyProtection="1"/>
    <xf numFmtId="166" fontId="58" fillId="2" borderId="155" xfId="0" applyNumberFormat="1" applyFont="1" applyFill="1" applyBorder="1" applyProtection="1"/>
    <xf numFmtId="0" fontId="60" fillId="2" borderId="156" xfId="0" applyFont="1" applyFill="1" applyBorder="1" applyAlignment="1" applyProtection="1">
      <alignment horizontal="left"/>
    </xf>
    <xf numFmtId="0" fontId="58" fillId="2" borderId="157" xfId="0" applyFont="1" applyFill="1" applyBorder="1" applyProtection="1"/>
    <xf numFmtId="0" fontId="58" fillId="2" borderId="158" xfId="0" applyFont="1" applyFill="1" applyBorder="1" applyAlignment="1" applyProtection="1">
      <alignment horizontal="left"/>
    </xf>
    <xf numFmtId="0" fontId="58" fillId="2" borderId="25" xfId="0" applyFont="1" applyFill="1" applyBorder="1" applyProtection="1"/>
    <xf numFmtId="0" fontId="58" fillId="2" borderId="149" xfId="0" applyFont="1" applyFill="1" applyBorder="1" applyAlignment="1" applyProtection="1">
      <alignment horizontal="left"/>
    </xf>
    <xf numFmtId="0" fontId="58" fillId="2" borderId="14" xfId="0" applyFont="1" applyFill="1" applyBorder="1" applyProtection="1"/>
    <xf numFmtId="2" fontId="58" fillId="2" borderId="97" xfId="0" applyNumberFormat="1" applyFont="1" applyFill="1" applyBorder="1" applyProtection="1"/>
    <xf numFmtId="2" fontId="58" fillId="2" borderId="151" xfId="0" applyNumberFormat="1" applyFont="1" applyFill="1" applyBorder="1" applyProtection="1"/>
    <xf numFmtId="0" fontId="57" fillId="2" borderId="114" xfId="0" applyFont="1" applyFill="1" applyBorder="1" applyAlignment="1" applyProtection="1">
      <alignment horizontal="left"/>
    </xf>
    <xf numFmtId="164" fontId="58" fillId="2" borderId="115" xfId="0" applyNumberFormat="1" applyFont="1" applyFill="1" applyBorder="1" applyAlignment="1" applyProtection="1">
      <alignment horizontal="right"/>
    </xf>
    <xf numFmtId="164" fontId="58" fillId="2" borderId="15" xfId="0" applyNumberFormat="1" applyFont="1" applyFill="1" applyBorder="1" applyAlignment="1" applyProtection="1">
      <alignment horizontal="left"/>
    </xf>
    <xf numFmtId="166" fontId="58" fillId="2" borderId="94" xfId="0" applyNumberFormat="1" applyFont="1" applyFill="1" applyBorder="1" applyAlignment="1" applyProtection="1">
      <alignment horizontal="right"/>
    </xf>
    <xf numFmtId="166" fontId="58" fillId="2" borderId="95" xfId="0" applyNumberFormat="1" applyFont="1" applyFill="1" applyBorder="1" applyAlignment="1" applyProtection="1">
      <alignment horizontal="right"/>
    </xf>
    <xf numFmtId="166" fontId="58" fillId="2" borderId="159" xfId="0" applyNumberFormat="1" applyFont="1" applyFill="1" applyBorder="1" applyProtection="1"/>
    <xf numFmtId="166" fontId="58" fillId="2" borderId="78" xfId="0" applyNumberFormat="1" applyFont="1" applyFill="1" applyBorder="1" applyProtection="1"/>
    <xf numFmtId="0" fontId="60" fillId="2" borderId="119" xfId="0" applyFont="1" applyFill="1" applyBorder="1" applyAlignment="1" applyProtection="1">
      <alignment horizontal="left"/>
    </xf>
    <xf numFmtId="0" fontId="60" fillId="2" borderId="0" xfId="0" applyFont="1" applyFill="1" applyProtection="1"/>
    <xf numFmtId="0" fontId="58" fillId="2" borderId="0" xfId="0" applyFont="1" applyFill="1" applyProtection="1"/>
    <xf numFmtId="166" fontId="58" fillId="2" borderId="0" xfId="0" applyNumberFormat="1" applyFont="1" applyFill="1" applyProtection="1"/>
    <xf numFmtId="0" fontId="61" fillId="2" borderId="152" xfId="0" applyFont="1" applyFill="1" applyBorder="1" applyAlignment="1" applyProtection="1">
      <alignment horizontal="left"/>
    </xf>
    <xf numFmtId="2" fontId="58" fillId="2" borderId="160" xfId="0" applyNumberFormat="1" applyFont="1" applyFill="1" applyBorder="1" applyProtection="1"/>
    <xf numFmtId="2" fontId="58" fillId="2" borderId="161" xfId="0" applyNumberFormat="1" applyFont="1" applyFill="1" applyBorder="1" applyProtection="1"/>
    <xf numFmtId="0" fontId="58" fillId="2" borderId="162" xfId="0" applyFont="1" applyFill="1" applyBorder="1" applyAlignment="1" applyProtection="1">
      <alignment horizontal="left"/>
    </xf>
    <xf numFmtId="0" fontId="58" fillId="2" borderId="163" xfId="0" applyFont="1" applyFill="1" applyBorder="1" applyProtection="1"/>
    <xf numFmtId="2" fontId="58" fillId="2" borderId="91" xfId="0" applyNumberFormat="1" applyFont="1" applyFill="1" applyBorder="1" applyProtection="1"/>
    <xf numFmtId="2" fontId="58" fillId="2" borderId="93" xfId="0" applyNumberFormat="1" applyFont="1" applyFill="1" applyBorder="1" applyProtection="1"/>
    <xf numFmtId="0" fontId="58" fillId="2" borderId="119" xfId="0" applyFont="1" applyFill="1" applyBorder="1" applyAlignment="1" applyProtection="1">
      <alignment horizontal="left"/>
    </xf>
    <xf numFmtId="0" fontId="58" fillId="2" borderId="0" xfId="0" applyFont="1" applyFill="1"/>
    <xf numFmtId="0" fontId="58" fillId="0" borderId="0" xfId="0" applyFont="1"/>
    <xf numFmtId="0" fontId="58" fillId="2" borderId="164" xfId="0" quotePrefix="1" applyFont="1" applyFill="1" applyBorder="1" applyAlignment="1">
      <alignment horizontal="left"/>
    </xf>
    <xf numFmtId="0" fontId="58" fillId="2" borderId="165" xfId="0" applyFont="1" applyFill="1" applyBorder="1"/>
    <xf numFmtId="1" fontId="58" fillId="2" borderId="166" xfId="0" applyNumberFormat="1" applyFont="1" applyFill="1" applyBorder="1"/>
    <xf numFmtId="0" fontId="58" fillId="2" borderId="167" xfId="0" applyFont="1" applyFill="1" applyBorder="1"/>
    <xf numFmtId="0" fontId="60" fillId="2" borderId="115" xfId="0" applyFont="1" applyFill="1" applyBorder="1" applyProtection="1"/>
    <xf numFmtId="167" fontId="0" fillId="0" borderId="0" xfId="0" applyNumberFormat="1"/>
    <xf numFmtId="167" fontId="11" fillId="0" borderId="30" xfId="0" applyNumberFormat="1" applyFont="1" applyBorder="1"/>
    <xf numFmtId="167" fontId="11" fillId="0" borderId="29" xfId="0" applyNumberFormat="1" applyFont="1" applyBorder="1"/>
    <xf numFmtId="0" fontId="42" fillId="0" borderId="8" xfId="0" applyFont="1" applyBorder="1"/>
    <xf numFmtId="167" fontId="11" fillId="0" borderId="0" xfId="0" applyNumberFormat="1" applyFont="1" applyBorder="1"/>
    <xf numFmtId="179" fontId="42" fillId="0" borderId="30" xfId="0" applyNumberFormat="1" applyFont="1" applyBorder="1" applyAlignment="1">
      <alignment horizontal="left"/>
    </xf>
    <xf numFmtId="0" fontId="43" fillId="0" borderId="30" xfId="0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40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40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62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3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63" fillId="0" borderId="0" xfId="0" applyFont="1"/>
    <xf numFmtId="0" fontId="63" fillId="0" borderId="0" xfId="0" applyFont="1" applyAlignment="1">
      <alignment horizontal="right"/>
    </xf>
    <xf numFmtId="0" fontId="41" fillId="0" borderId="0" xfId="0" applyFont="1" applyAlignment="1">
      <alignment horizontal="right"/>
    </xf>
    <xf numFmtId="49" fontId="63" fillId="0" borderId="0" xfId="0" applyNumberFormat="1" applyFont="1" applyAlignment="1">
      <alignment horizontal="right" wrapText="1"/>
    </xf>
    <xf numFmtId="0" fontId="63" fillId="0" borderId="0" xfId="0" applyFont="1" applyAlignment="1">
      <alignment horizontal="center" wrapText="1"/>
    </xf>
    <xf numFmtId="0" fontId="63" fillId="0" borderId="0" xfId="0" applyFont="1" applyAlignment="1">
      <alignment wrapText="1"/>
    </xf>
    <xf numFmtId="49" fontId="63" fillId="0" borderId="0" xfId="0" applyNumberFormat="1" applyFont="1" applyAlignment="1">
      <alignment wrapText="1"/>
    </xf>
    <xf numFmtId="49" fontId="63" fillId="0" borderId="0" xfId="0" applyNumberFormat="1" applyFont="1" applyAlignment="1"/>
    <xf numFmtId="0" fontId="63" fillId="0" borderId="0" xfId="0" applyFont="1" applyBorder="1" applyAlignment="1"/>
    <xf numFmtId="0" fontId="63" fillId="0" borderId="0" xfId="0" applyFont="1" applyAlignment="1">
      <alignment horizontal="left"/>
    </xf>
    <xf numFmtId="49" fontId="63" fillId="0" borderId="0" xfId="0" applyNumberFormat="1" applyFont="1" applyAlignment="1">
      <alignment horizontal="right"/>
    </xf>
    <xf numFmtId="167" fontId="63" fillId="0" borderId="0" xfId="0" applyNumberFormat="1" applyFont="1" applyAlignment="1">
      <alignment wrapText="1"/>
    </xf>
    <xf numFmtId="0" fontId="63" fillId="0" borderId="0" xfId="0" applyFont="1" applyAlignment="1">
      <alignment horizontal="left" wrapText="1"/>
    </xf>
    <xf numFmtId="0" fontId="41" fillId="0" borderId="0" xfId="0" applyFont="1" applyBorder="1" applyAlignment="1">
      <alignment horizontal="center"/>
    </xf>
    <xf numFmtId="0" fontId="63" fillId="0" borderId="0" xfId="0" applyFont="1" applyBorder="1" applyAlignment="1">
      <alignment horizontal="center"/>
    </xf>
    <xf numFmtId="0" fontId="41" fillId="0" borderId="0" xfId="0" quotePrefix="1" applyFont="1" applyBorder="1" applyAlignment="1">
      <alignment horizontal="center"/>
    </xf>
    <xf numFmtId="0" fontId="63" fillId="0" borderId="0" xfId="0" quotePrefix="1" applyFont="1" applyBorder="1" applyAlignment="1">
      <alignment horizontal="center"/>
    </xf>
    <xf numFmtId="167" fontId="63" fillId="0" borderId="0" xfId="0" applyNumberFormat="1" applyFont="1" applyBorder="1" applyAlignment="1">
      <alignment horizontal="left"/>
    </xf>
    <xf numFmtId="167" fontId="63" fillId="0" borderId="0" xfId="0" applyNumberFormat="1" applyFont="1" applyAlignment="1">
      <alignment horizontal="left"/>
    </xf>
    <xf numFmtId="0" fontId="16" fillId="0" borderId="87" xfId="0" applyFont="1" applyBorder="1" applyAlignment="1">
      <alignment horizontal="center"/>
    </xf>
    <xf numFmtId="167" fontId="63" fillId="0" borderId="0" xfId="0" applyNumberFormat="1" applyFont="1" applyBorder="1" applyAlignment="1">
      <alignment horizontal="center"/>
    </xf>
    <xf numFmtId="49" fontId="63" fillId="0" borderId="0" xfId="0" applyNumberFormat="1" applyFont="1" applyBorder="1" applyAlignment="1">
      <alignment horizontal="left"/>
    </xf>
    <xf numFmtId="0" fontId="63" fillId="0" borderId="0" xfId="0" applyFont="1" applyBorder="1" applyAlignment="1">
      <alignment horizontal="right"/>
    </xf>
    <xf numFmtId="0" fontId="63" fillId="0" borderId="0" xfId="0" applyFont="1" applyBorder="1" applyAlignment="1">
      <alignment horizontal="left"/>
    </xf>
    <xf numFmtId="0" fontId="63" fillId="0" borderId="0" xfId="0" applyFont="1" applyBorder="1"/>
    <xf numFmtId="0" fontId="63" fillId="10" borderId="0" xfId="0" applyFont="1" applyFill="1" applyBorder="1" applyAlignment="1">
      <alignment horizontal="left"/>
    </xf>
    <xf numFmtId="167" fontId="63" fillId="0" borderId="0" xfId="0" applyNumberFormat="1" applyFont="1" applyAlignment="1">
      <alignment horizontal="center"/>
    </xf>
    <xf numFmtId="167" fontId="63" fillId="0" borderId="0" xfId="0" applyNumberFormat="1" applyFont="1" applyBorder="1" applyAlignment="1">
      <alignment horizontal="right"/>
    </xf>
    <xf numFmtId="0" fontId="30" fillId="0" borderId="6" xfId="0" applyFont="1" applyFill="1" applyBorder="1" applyAlignment="1">
      <alignment horizontal="center"/>
    </xf>
    <xf numFmtId="0" fontId="30" fillId="0" borderId="39" xfId="0" applyFont="1" applyFill="1" applyBorder="1" applyAlignment="1">
      <alignment horizontal="center"/>
    </xf>
    <xf numFmtId="1" fontId="30" fillId="0" borderId="39" xfId="0" applyNumberFormat="1" applyFont="1" applyFill="1" applyBorder="1" applyAlignment="1">
      <alignment horizontal="center"/>
    </xf>
    <xf numFmtId="0" fontId="30" fillId="0" borderId="60" xfId="0" applyFont="1" applyFill="1" applyBorder="1" applyAlignment="1">
      <alignment horizontal="center"/>
    </xf>
    <xf numFmtId="166" fontId="29" fillId="0" borderId="63" xfId="0" applyNumberFormat="1" applyFont="1" applyBorder="1"/>
    <xf numFmtId="166" fontId="30" fillId="0" borderId="2" xfId="0" applyNumberFormat="1" applyFont="1" applyFill="1" applyBorder="1" applyAlignment="1" applyProtection="1"/>
    <xf numFmtId="171" fontId="30" fillId="0" borderId="63" xfId="0" applyNumberFormat="1" applyFont="1" applyFill="1" applyBorder="1" applyAlignment="1"/>
    <xf numFmtId="166" fontId="30" fillId="5" borderId="105" xfId="0" applyNumberFormat="1" applyFont="1" applyFill="1" applyBorder="1" applyAlignment="1"/>
    <xf numFmtId="0" fontId="29" fillId="5" borderId="85" xfId="0" applyFont="1" applyFill="1" applyBorder="1" applyAlignment="1">
      <alignment horizontal="left"/>
    </xf>
    <xf numFmtId="166" fontId="30" fillId="0" borderId="63" xfId="0" applyNumberFormat="1" applyFont="1" applyFill="1" applyBorder="1"/>
    <xf numFmtId="166" fontId="30" fillId="0" borderId="63" xfId="0" applyNumberFormat="1" applyFont="1" applyFill="1" applyBorder="1" applyAlignment="1"/>
    <xf numFmtId="166" fontId="29" fillId="0" borderId="111" xfId="0" applyNumberFormat="1" applyFont="1" applyFill="1" applyBorder="1" applyAlignment="1"/>
    <xf numFmtId="166" fontId="29" fillId="0" borderId="168" xfId="0" applyNumberFormat="1" applyFont="1" applyFill="1" applyBorder="1" applyAlignment="1"/>
    <xf numFmtId="0" fontId="30" fillId="0" borderId="169" xfId="0" applyFont="1" applyFill="1" applyBorder="1" applyAlignment="1"/>
    <xf numFmtId="167" fontId="30" fillId="0" borderId="169" xfId="0" applyNumberFormat="1" applyFont="1" applyFill="1" applyBorder="1" applyAlignment="1"/>
    <xf numFmtId="167" fontId="30" fillId="0" borderId="170" xfId="0" applyNumberFormat="1" applyFont="1" applyFill="1" applyBorder="1" applyAlignment="1"/>
    <xf numFmtId="166" fontId="30" fillId="0" borderId="171" xfId="0" applyNumberFormat="1" applyFont="1" applyFill="1" applyBorder="1" applyAlignment="1"/>
    <xf numFmtId="166" fontId="30" fillId="0" borderId="172" xfId="0" applyNumberFormat="1" applyFont="1" applyFill="1" applyBorder="1" applyAlignment="1"/>
    <xf numFmtId="167" fontId="30" fillId="0" borderId="171" xfId="0" applyNumberFormat="1" applyFont="1" applyFill="1" applyBorder="1" applyAlignment="1"/>
    <xf numFmtId="167" fontId="30" fillId="0" borderId="50" xfId="0" applyNumberFormat="1" applyFont="1" applyFill="1" applyBorder="1" applyAlignment="1"/>
    <xf numFmtId="0" fontId="6" fillId="0" borderId="60" xfId="0" applyFont="1" applyBorder="1"/>
    <xf numFmtId="166" fontId="29" fillId="0" borderId="60" xfId="0" applyNumberFormat="1" applyFont="1" applyBorder="1"/>
    <xf numFmtId="166" fontId="29" fillId="0" borderId="58" xfId="0" applyNumberFormat="1" applyFont="1" applyBorder="1"/>
    <xf numFmtId="166" fontId="30" fillId="0" borderId="63" xfId="0" applyNumberFormat="1" applyFont="1" applyBorder="1"/>
    <xf numFmtId="166" fontId="30" fillId="0" borderId="60" xfId="0" applyNumberFormat="1" applyFont="1" applyBorder="1"/>
    <xf numFmtId="167" fontId="30" fillId="0" borderId="58" xfId="0" applyNumberFormat="1" applyFont="1" applyBorder="1"/>
    <xf numFmtId="0" fontId="6" fillId="0" borderId="3" xfId="0" applyFont="1" applyFill="1" applyBorder="1"/>
    <xf numFmtId="166" fontId="29" fillId="0" borderId="63" xfId="0" applyNumberFormat="1" applyFont="1" applyFill="1" applyBorder="1"/>
    <xf numFmtId="0" fontId="6" fillId="0" borderId="60" xfId="0" applyFont="1" applyFill="1" applyBorder="1"/>
    <xf numFmtId="166" fontId="30" fillId="0" borderId="58" xfId="0" applyNumberFormat="1" applyFont="1" applyBorder="1"/>
    <xf numFmtId="0" fontId="6" fillId="0" borderId="3" xfId="0" applyFont="1" applyBorder="1"/>
    <xf numFmtId="0" fontId="36" fillId="6" borderId="169" xfId="0" applyFont="1" applyFill="1" applyBorder="1" applyAlignment="1">
      <alignment horizontal="centerContinuous"/>
    </xf>
    <xf numFmtId="0" fontId="32" fillId="5" borderId="13" xfId="0" applyFont="1" applyFill="1" applyBorder="1" applyAlignment="1">
      <alignment horizontal="center"/>
    </xf>
    <xf numFmtId="0" fontId="32" fillId="2" borderId="141" xfId="0" applyFont="1" applyFill="1" applyBorder="1"/>
    <xf numFmtId="0" fontId="30" fillId="0" borderId="5" xfId="0" applyFont="1" applyBorder="1" applyAlignment="1">
      <alignment horizontal="left"/>
    </xf>
    <xf numFmtId="0" fontId="29" fillId="6" borderId="1" xfId="0" applyFont="1" applyFill="1" applyBorder="1" applyAlignment="1">
      <alignment horizontal="center"/>
    </xf>
    <xf numFmtId="0" fontId="37" fillId="6" borderId="85" xfId="0" applyFont="1" applyFill="1" applyBorder="1" applyAlignment="1">
      <alignment horizontal="centerContinuous"/>
    </xf>
    <xf numFmtId="167" fontId="16" fillId="0" borderId="40" xfId="0" applyNumberFormat="1" applyFont="1" applyBorder="1"/>
    <xf numFmtId="167" fontId="29" fillId="0" borderId="104" xfId="0" applyNumberFormat="1" applyFont="1" applyBorder="1"/>
    <xf numFmtId="167" fontId="30" fillId="0" borderId="30" xfId="0" applyNumberFormat="1" applyFont="1" applyBorder="1"/>
    <xf numFmtId="0" fontId="32" fillId="0" borderId="29" xfId="0" applyFont="1" applyBorder="1"/>
    <xf numFmtId="172" fontId="30" fillId="0" borderId="56" xfId="0" applyNumberFormat="1" applyFont="1" applyBorder="1"/>
    <xf numFmtId="172" fontId="30" fillId="0" borderId="52" xfId="0" applyNumberFormat="1" applyFont="1" applyBorder="1"/>
    <xf numFmtId="167" fontId="30" fillId="2" borderId="3" xfId="0" applyNumberFormat="1" applyFont="1" applyFill="1" applyBorder="1" applyProtection="1"/>
    <xf numFmtId="167" fontId="30" fillId="0" borderId="60" xfId="0" applyNumberFormat="1" applyFont="1" applyBorder="1"/>
    <xf numFmtId="167" fontId="30" fillId="0" borderId="65" xfId="0" applyNumberFormat="1" applyFont="1" applyBorder="1"/>
    <xf numFmtId="0" fontId="31" fillId="6" borderId="30" xfId="0" applyFont="1" applyFill="1" applyBorder="1" applyAlignment="1">
      <alignment horizontal="centerContinuous"/>
    </xf>
    <xf numFmtId="0" fontId="29" fillId="6" borderId="30" xfId="0" applyFont="1" applyFill="1" applyBorder="1" applyAlignment="1">
      <alignment horizontal="center"/>
    </xf>
    <xf numFmtId="0" fontId="37" fillId="6" borderId="30" xfId="0" applyFont="1" applyFill="1" applyBorder="1" applyAlignment="1">
      <alignment horizontal="centerContinuous"/>
    </xf>
    <xf numFmtId="0" fontId="0" fillId="0" borderId="65" xfId="0" applyBorder="1"/>
    <xf numFmtId="0" fontId="0" fillId="0" borderId="73" xfId="0" applyBorder="1"/>
    <xf numFmtId="172" fontId="30" fillId="0" borderId="141" xfId="0" applyNumberFormat="1" applyFont="1" applyBorder="1"/>
    <xf numFmtId="0" fontId="34" fillId="0" borderId="110" xfId="0" applyFont="1" applyBorder="1"/>
    <xf numFmtId="0" fontId="30" fillId="0" borderId="54" xfId="0" applyFont="1" applyBorder="1"/>
    <xf numFmtId="0" fontId="34" fillId="0" borderId="11" xfId="0" applyFont="1" applyBorder="1"/>
    <xf numFmtId="167" fontId="30" fillId="0" borderId="39" xfId="0" applyNumberFormat="1" applyFont="1" applyBorder="1"/>
    <xf numFmtId="0" fontId="34" fillId="0" borderId="44" xfId="0" applyFont="1" applyBorder="1"/>
    <xf numFmtId="167" fontId="5" fillId="0" borderId="104" xfId="0" applyNumberFormat="1" applyFont="1" applyBorder="1"/>
    <xf numFmtId="167" fontId="7" fillId="0" borderId="26" xfId="0" applyNumberFormat="1" applyFont="1" applyBorder="1"/>
    <xf numFmtId="0" fontId="30" fillId="0" borderId="13" xfId="0" applyFont="1" applyBorder="1" applyAlignment="1">
      <alignment horizontal="left"/>
    </xf>
    <xf numFmtId="0" fontId="30" fillId="0" borderId="14" xfId="0" applyFont="1" applyBorder="1"/>
    <xf numFmtId="0" fontId="30" fillId="0" borderId="58" xfId="0" applyFont="1" applyBorder="1" applyAlignment="1">
      <alignment horizontal="left"/>
    </xf>
    <xf numFmtId="0" fontId="29" fillId="0" borderId="64" xfId="0" applyFont="1" applyBorder="1"/>
    <xf numFmtId="0" fontId="0" fillId="0" borderId="119" xfId="0" quotePrefix="1" applyBorder="1" applyAlignment="1">
      <alignment horizontal="left"/>
    </xf>
    <xf numFmtId="167" fontId="5" fillId="0" borderId="55" xfId="0" applyNumberFormat="1" applyFont="1" applyBorder="1"/>
    <xf numFmtId="167" fontId="5" fillId="0" borderId="39" xfId="0" applyNumberFormat="1" applyFont="1" applyBorder="1"/>
    <xf numFmtId="0" fontId="16" fillId="0" borderId="83" xfId="0" applyFont="1" applyBorder="1"/>
    <xf numFmtId="167" fontId="5" fillId="0" borderId="61" xfId="0" applyNumberFormat="1" applyFont="1" applyBorder="1"/>
    <xf numFmtId="167" fontId="16" fillId="0" borderId="104" xfId="0" applyNumberFormat="1" applyFont="1" applyBorder="1"/>
    <xf numFmtId="167" fontId="16" fillId="0" borderId="81" xfId="0" applyNumberFormat="1" applyFont="1" applyBorder="1"/>
    <xf numFmtId="167" fontId="29" fillId="0" borderId="55" xfId="0" applyNumberFormat="1" applyFont="1" applyBorder="1" applyAlignment="1">
      <alignment horizontal="center"/>
    </xf>
    <xf numFmtId="167" fontId="29" fillId="0" borderId="173" xfId="0" applyNumberFormat="1" applyFont="1" applyBorder="1" applyAlignment="1">
      <alignment horizontal="center"/>
    </xf>
    <xf numFmtId="167" fontId="29" fillId="0" borderId="174" xfId="0" applyNumberFormat="1" applyFont="1" applyBorder="1" applyAlignment="1">
      <alignment horizontal="center"/>
    </xf>
    <xf numFmtId="167" fontId="29" fillId="0" borderId="40" xfId="0" applyNumberFormat="1" applyFont="1" applyBorder="1" applyAlignment="1">
      <alignment horizontal="center"/>
    </xf>
    <xf numFmtId="167" fontId="29" fillId="0" borderId="46" xfId="0" applyNumberFormat="1" applyFont="1" applyBorder="1" applyAlignment="1">
      <alignment horizontal="center"/>
    </xf>
    <xf numFmtId="167" fontId="29" fillId="0" borderId="106" xfId="0" applyNumberFormat="1" applyFont="1" applyBorder="1" applyAlignment="1">
      <alignment horizontal="center"/>
    </xf>
    <xf numFmtId="167" fontId="29" fillId="0" borderId="61" xfId="0" applyNumberFormat="1" applyFont="1" applyBorder="1" applyAlignment="1">
      <alignment horizontal="center"/>
    </xf>
    <xf numFmtId="167" fontId="29" fillId="0" borderId="65" xfId="0" applyNumberFormat="1" applyFont="1" applyBorder="1" applyAlignment="1">
      <alignment horizontal="center"/>
    </xf>
    <xf numFmtId="167" fontId="7" fillId="2" borderId="112" xfId="0" applyNumberFormat="1" applyFont="1" applyFill="1" applyBorder="1"/>
    <xf numFmtId="0" fontId="7" fillId="2" borderId="0" xfId="0" applyFont="1" applyFill="1" applyBorder="1"/>
    <xf numFmtId="0" fontId="7" fillId="0" borderId="138" xfId="0" applyFont="1" applyBorder="1"/>
    <xf numFmtId="179" fontId="63" fillId="0" borderId="0" xfId="0" applyNumberFormat="1" applyFont="1" applyBorder="1" applyAlignment="1">
      <alignment horizontal="right"/>
    </xf>
    <xf numFmtId="179" fontId="63" fillId="0" borderId="0" xfId="0" applyNumberFormat="1" applyFont="1" applyBorder="1" applyAlignment="1">
      <alignment horizontal="left"/>
    </xf>
    <xf numFmtId="0" fontId="64" fillId="0" borderId="0" xfId="0" applyFont="1"/>
    <xf numFmtId="0" fontId="63" fillId="10" borderId="0" xfId="0" applyFont="1" applyFill="1" applyAlignment="1">
      <alignment horizontal="left"/>
    </xf>
    <xf numFmtId="0" fontId="63" fillId="10" borderId="0" xfId="0" applyFont="1" applyFill="1" applyAlignment="1">
      <alignment horizontal="right"/>
    </xf>
    <xf numFmtId="167" fontId="63" fillId="0" borderId="0" xfId="0" applyNumberFormat="1" applyFont="1" applyAlignment="1">
      <alignment horizontal="center" wrapText="1"/>
    </xf>
    <xf numFmtId="167" fontId="65" fillId="0" borderId="12" xfId="0" applyNumberFormat="1" applyFont="1" applyBorder="1" applyAlignment="1">
      <alignment horizontal="center"/>
    </xf>
    <xf numFmtId="0" fontId="64" fillId="0" borderId="0" xfId="0" applyFont="1" applyAlignment="1">
      <alignment horizontal="center"/>
    </xf>
    <xf numFmtId="0" fontId="64" fillId="0" borderId="0" xfId="0" applyFont="1" applyBorder="1"/>
    <xf numFmtId="0" fontId="63" fillId="10" borderId="0" xfId="0" applyFont="1" applyFill="1" applyAlignment="1">
      <alignment horizontal="center"/>
    </xf>
    <xf numFmtId="0" fontId="63" fillId="0" borderId="0" xfId="0" applyFont="1" applyFill="1" applyAlignment="1">
      <alignment horizontal="center"/>
    </xf>
    <xf numFmtId="0" fontId="64" fillId="0" borderId="0" xfId="0" applyFont="1" applyFill="1"/>
    <xf numFmtId="0" fontId="64" fillId="0" borderId="0" xfId="0" applyFont="1" applyFill="1" applyAlignment="1">
      <alignment horizontal="center"/>
    </xf>
    <xf numFmtId="167" fontId="63" fillId="10" borderId="0" xfId="0" applyNumberFormat="1" applyFont="1" applyFill="1" applyAlignment="1">
      <alignment horizontal="center"/>
    </xf>
    <xf numFmtId="167" fontId="63" fillId="0" borderId="0" xfId="0" applyNumberFormat="1" applyFont="1" applyFill="1" applyAlignment="1">
      <alignment horizontal="center"/>
    </xf>
    <xf numFmtId="2" fontId="41" fillId="2" borderId="0" xfId="0" applyNumberFormat="1" applyFont="1" applyFill="1" applyBorder="1" applyProtection="1"/>
    <xf numFmtId="167" fontId="63" fillId="2" borderId="0" xfId="0" applyNumberFormat="1" applyFont="1" applyFill="1" applyBorder="1" applyAlignment="1" applyProtection="1">
      <alignment horizontal="center"/>
    </xf>
    <xf numFmtId="166" fontId="63" fillId="2" borderId="0" xfId="0" applyNumberFormat="1" applyFont="1" applyFill="1" applyBorder="1" applyAlignment="1" applyProtection="1">
      <alignment horizontal="center"/>
    </xf>
    <xf numFmtId="2" fontId="63" fillId="0" borderId="0" xfId="0" applyNumberFormat="1" applyFont="1" applyAlignment="1">
      <alignment horizontal="center"/>
    </xf>
    <xf numFmtId="167" fontId="63" fillId="0" borderId="0" xfId="0" quotePrefix="1" applyNumberFormat="1" applyFont="1" applyBorder="1" applyAlignment="1">
      <alignment horizontal="center"/>
    </xf>
    <xf numFmtId="0" fontId="64" fillId="10" borderId="0" xfId="0" applyFont="1" applyFill="1"/>
    <xf numFmtId="0" fontId="63" fillId="10" borderId="0" xfId="0" applyFont="1" applyFill="1" applyBorder="1" applyAlignment="1">
      <alignment horizontal="center"/>
    </xf>
    <xf numFmtId="1" fontId="63" fillId="10" borderId="61" xfId="0" applyNumberFormat="1" applyFont="1" applyFill="1" applyBorder="1" applyAlignment="1">
      <alignment horizontal="center"/>
    </xf>
    <xf numFmtId="1" fontId="63" fillId="0" borderId="61" xfId="0" applyNumberFormat="1" applyFont="1" applyBorder="1" applyAlignment="1">
      <alignment horizontal="center"/>
    </xf>
    <xf numFmtId="167" fontId="64" fillId="0" borderId="0" xfId="0" applyNumberFormat="1" applyFont="1" applyBorder="1" applyAlignment="1">
      <alignment horizontal="center"/>
    </xf>
    <xf numFmtId="167" fontId="63" fillId="0" borderId="61" xfId="0" applyNumberFormat="1" applyFont="1" applyBorder="1" applyAlignment="1"/>
    <xf numFmtId="167" fontId="63" fillId="0" borderId="61" xfId="0" applyNumberFormat="1" applyFont="1" applyBorder="1" applyAlignment="1">
      <alignment horizontal="center"/>
    </xf>
    <xf numFmtId="0" fontId="64" fillId="0" borderId="0" xfId="0" applyFont="1" applyAlignment="1">
      <alignment horizontal="right"/>
    </xf>
    <xf numFmtId="0" fontId="63" fillId="10" borderId="61" xfId="0" applyFont="1" applyFill="1" applyBorder="1" applyAlignment="1">
      <alignment horizontal="center"/>
    </xf>
    <xf numFmtId="167" fontId="64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1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2" fillId="0" borderId="7" xfId="0" applyFont="1" applyBorder="1"/>
    <xf numFmtId="0" fontId="44" fillId="0" borderId="54" xfId="0" applyFont="1" applyBorder="1"/>
    <xf numFmtId="0" fontId="0" fillId="0" borderId="31" xfId="0" applyBorder="1"/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64" fontId="56" fillId="0" borderId="116" xfId="0" applyNumberFormat="1" applyFont="1" applyFill="1" applyBorder="1" applyAlignment="1">
      <alignment horizontal="left"/>
    </xf>
    <xf numFmtId="172" fontId="11" fillId="0" borderId="130" xfId="0" applyNumberFormat="1" applyFont="1" applyBorder="1"/>
    <xf numFmtId="167" fontId="16" fillId="0" borderId="43" xfId="0" applyNumberFormat="1" applyFont="1" applyBorder="1"/>
    <xf numFmtId="172" fontId="16" fillId="0" borderId="58" xfId="0" applyNumberFormat="1" applyFont="1" applyBorder="1"/>
    <xf numFmtId="0" fontId="30" fillId="0" borderId="46" xfId="0" applyFont="1" applyBorder="1"/>
    <xf numFmtId="0" fontId="30" fillId="0" borderId="61" xfId="0" applyFont="1" applyBorder="1" applyAlignment="1">
      <alignment horizontal="left"/>
    </xf>
    <xf numFmtId="0" fontId="15" fillId="0" borderId="8" xfId="0" applyFont="1" applyBorder="1"/>
    <xf numFmtId="0" fontId="0" fillId="0" borderId="175" xfId="0" applyBorder="1"/>
    <xf numFmtId="0" fontId="57" fillId="0" borderId="176" xfId="0" applyFont="1" applyBorder="1"/>
    <xf numFmtId="0" fontId="49" fillId="0" borderId="131" xfId="0" applyFont="1" applyBorder="1" applyAlignment="1">
      <alignment horizontal="center"/>
    </xf>
    <xf numFmtId="0" fontId="51" fillId="0" borderId="22" xfId="0" applyFont="1" applyBorder="1"/>
    <xf numFmtId="0" fontId="49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6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167" fontId="29" fillId="0" borderId="81" xfId="0" applyNumberFormat="1" applyFont="1" applyBorder="1" applyAlignment="1">
      <alignment horizontal="center"/>
    </xf>
    <xf numFmtId="167" fontId="29" fillId="0" borderId="82" xfId="0" applyNumberFormat="1" applyFont="1" applyBorder="1" applyAlignment="1">
      <alignment horizontal="center"/>
    </xf>
    <xf numFmtId="0" fontId="0" fillId="0" borderId="104" xfId="0" applyBorder="1"/>
    <xf numFmtId="0" fontId="50" fillId="0" borderId="114" xfId="0" applyFont="1" applyBorder="1"/>
    <xf numFmtId="0" fontId="30" fillId="0" borderId="0" xfId="0" applyFont="1" applyBorder="1" applyAlignment="1">
      <alignment horizontal="left"/>
    </xf>
    <xf numFmtId="166" fontId="30" fillId="0" borderId="62" xfId="0" applyNumberFormat="1" applyFont="1" applyBorder="1"/>
    <xf numFmtId="166" fontId="30" fillId="0" borderId="177" xfId="0" applyNumberFormat="1" applyFont="1" applyBorder="1"/>
    <xf numFmtId="166" fontId="30" fillId="0" borderId="177" xfId="0" applyNumberFormat="1" applyFont="1" applyFill="1" applyBorder="1" applyAlignment="1"/>
    <xf numFmtId="166" fontId="30" fillId="0" borderId="178" xfId="0" applyNumberFormat="1" applyFont="1" applyFill="1" applyBorder="1" applyAlignment="1"/>
    <xf numFmtId="0" fontId="11" fillId="0" borderId="90" xfId="0" applyFont="1" applyBorder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6" fillId="0" borderId="0" xfId="0" quotePrefix="1" applyFont="1" applyAlignment="1">
      <alignment horizontal="fill"/>
    </xf>
    <xf numFmtId="0" fontId="46" fillId="0" borderId="0" xfId="0" applyFont="1" applyAlignment="1"/>
    <xf numFmtId="179" fontId="63" fillId="0" borderId="0" xfId="0" applyNumberFormat="1" applyFont="1" applyBorder="1" applyAlignment="1">
      <alignment horizontal="center"/>
    </xf>
    <xf numFmtId="166" fontId="53" fillId="0" borderId="29" xfId="0" applyNumberFormat="1" applyFont="1" applyFill="1" applyBorder="1" applyProtection="1">
      <protection locked="0"/>
    </xf>
    <xf numFmtId="0" fontId="0" fillId="0" borderId="79" xfId="0" applyBorder="1"/>
    <xf numFmtId="0" fontId="0" fillId="0" borderId="60" xfId="0" applyBorder="1"/>
    <xf numFmtId="0" fontId="0" fillId="0" borderId="61" xfId="0" applyBorder="1"/>
    <xf numFmtId="0" fontId="31" fillId="6" borderId="85" xfId="0" applyFont="1" applyFill="1" applyBorder="1" applyAlignment="1">
      <alignment horizontal="centerContinuous"/>
    </xf>
    <xf numFmtId="0" fontId="30" fillId="0" borderId="82" xfId="0" applyFont="1" applyBorder="1"/>
    <xf numFmtId="0" fontId="0" fillId="0" borderId="63" xfId="0" applyBorder="1"/>
    <xf numFmtId="166" fontId="30" fillId="0" borderId="73" xfId="0" applyNumberFormat="1" applyFont="1" applyBorder="1"/>
    <xf numFmtId="0" fontId="31" fillId="6" borderId="1" xfId="0" applyFont="1" applyFill="1" applyBorder="1" applyAlignment="1">
      <alignment horizontal="left"/>
    </xf>
    <xf numFmtId="0" fontId="6" fillId="5" borderId="1" xfId="0" applyFont="1" applyFill="1" applyBorder="1"/>
    <xf numFmtId="0" fontId="36" fillId="6" borderId="1" xfId="0" applyFont="1" applyFill="1" applyBorder="1" applyAlignment="1">
      <alignment horizontal="centerContinuous"/>
    </xf>
    <xf numFmtId="167" fontId="0" fillId="0" borderId="31" xfId="0" applyNumberFormat="1" applyBorder="1"/>
    <xf numFmtId="166" fontId="30" fillId="0" borderId="104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9" xfId="0" applyFont="1" applyBorder="1"/>
    <xf numFmtId="0" fontId="0" fillId="0" borderId="114" xfId="0" applyBorder="1"/>
    <xf numFmtId="0" fontId="0" fillId="0" borderId="143" xfId="0" applyBorder="1"/>
    <xf numFmtId="0" fontId="11" fillId="0" borderId="48" xfId="0" applyFont="1" applyBorder="1"/>
    <xf numFmtId="166" fontId="0" fillId="0" borderId="62" xfId="0" applyNumberForma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30" fillId="0" borderId="74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8" fillId="0" borderId="0" xfId="0" applyFont="1" applyAlignment="1"/>
    <xf numFmtId="0" fontId="66" fillId="0" borderId="0" xfId="0" applyFont="1"/>
    <xf numFmtId="0" fontId="0" fillId="0" borderId="55" xfId="0" applyBorder="1" applyAlignment="1">
      <alignment horizontal="center"/>
    </xf>
    <xf numFmtId="0" fontId="0" fillId="0" borderId="139" xfId="0" applyBorder="1" applyAlignment="1">
      <alignment horizontal="center"/>
    </xf>
    <xf numFmtId="0" fontId="0" fillId="0" borderId="108" xfId="0" applyBorder="1" applyAlignment="1">
      <alignment horizontal="center"/>
    </xf>
    <xf numFmtId="164" fontId="16" fillId="0" borderId="39" xfId="0" applyNumberFormat="1" applyFont="1" applyBorder="1"/>
    <xf numFmtId="164" fontId="0" fillId="0" borderId="4" xfId="0" applyNumberFormat="1" applyBorder="1"/>
    <xf numFmtId="164" fontId="0" fillId="0" borderId="144" xfId="0" applyNumberFormat="1" applyBorder="1"/>
    <xf numFmtId="166" fontId="0" fillId="0" borderId="73" xfId="0" applyNumberFormat="1" applyBorder="1"/>
    <xf numFmtId="166" fontId="0" fillId="0" borderId="179" xfId="0" applyNumberFormat="1" applyBorder="1"/>
    <xf numFmtId="166" fontId="0" fillId="0" borderId="180" xfId="0" applyNumberFormat="1" applyBorder="1"/>
    <xf numFmtId="166" fontId="0" fillId="3" borderId="111" xfId="0" applyNumberFormat="1" applyFill="1" applyBorder="1"/>
    <xf numFmtId="166" fontId="0" fillId="3" borderId="180" xfId="0" applyNumberFormat="1" applyFill="1" applyBorder="1"/>
    <xf numFmtId="166" fontId="0" fillId="0" borderId="111" xfId="0" applyNumberFormat="1" applyBorder="1" applyProtection="1">
      <protection locked="0"/>
    </xf>
    <xf numFmtId="166" fontId="0" fillId="0" borderId="111" xfId="0" applyNumberFormat="1" applyBorder="1"/>
    <xf numFmtId="166" fontId="0" fillId="0" borderId="102" xfId="0" applyNumberFormat="1" applyBorder="1" applyProtection="1">
      <protection locked="0"/>
    </xf>
    <xf numFmtId="166" fontId="0" fillId="0" borderId="102" xfId="0" applyNumberFormat="1" applyBorder="1"/>
    <xf numFmtId="166" fontId="0" fillId="0" borderId="109" xfId="0" applyNumberFormat="1" applyBorder="1"/>
    <xf numFmtId="164" fontId="0" fillId="0" borderId="139" xfId="0" applyNumberFormat="1" applyBorder="1" applyAlignment="1">
      <alignment horizontal="center"/>
    </xf>
    <xf numFmtId="1" fontId="0" fillId="0" borderId="10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81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0" fontId="7" fillId="0" borderId="36" xfId="0" quotePrefix="1" applyFont="1" applyBorder="1" applyAlignment="1">
      <alignment horizontal="center"/>
    </xf>
    <xf numFmtId="166" fontId="30" fillId="0" borderId="4" xfId="0" applyNumberFormat="1" applyFont="1" applyFill="1" applyBorder="1" applyAlignment="1" applyProtection="1"/>
    <xf numFmtId="0" fontId="0" fillId="0" borderId="102" xfId="0" applyBorder="1"/>
    <xf numFmtId="0" fontId="0" fillId="0" borderId="74" xfId="0" applyBorder="1"/>
    <xf numFmtId="0" fontId="16" fillId="2" borderId="48" xfId="0" applyFont="1" applyFill="1" applyBorder="1"/>
    <xf numFmtId="0" fontId="16" fillId="2" borderId="49" xfId="0" applyFont="1" applyFill="1" applyBorder="1"/>
    <xf numFmtId="166" fontId="16" fillId="2" borderId="182" xfId="0" applyNumberFormat="1" applyFont="1" applyFill="1" applyBorder="1" applyProtection="1"/>
    <xf numFmtId="166" fontId="16" fillId="2" borderId="183" xfId="0" applyNumberFormat="1" applyFont="1" applyFill="1" applyBorder="1" applyProtection="1"/>
    <xf numFmtId="0" fontId="7" fillId="2" borderId="0" xfId="0" applyFont="1" applyFill="1" applyBorder="1" applyProtection="1"/>
    <xf numFmtId="0" fontId="58" fillId="2" borderId="48" xfId="0" applyFont="1" applyFill="1" applyBorder="1"/>
    <xf numFmtId="0" fontId="58" fillId="2" borderId="49" xfId="0" applyFont="1" applyFill="1" applyBorder="1"/>
    <xf numFmtId="166" fontId="58" fillId="2" borderId="182" xfId="0" applyNumberFormat="1" applyFont="1" applyFill="1" applyBorder="1" applyProtection="1"/>
    <xf numFmtId="166" fontId="58" fillId="2" borderId="183" xfId="0" applyNumberFormat="1" applyFont="1" applyFill="1" applyBorder="1" applyProtection="1"/>
    <xf numFmtId="166" fontId="16" fillId="2" borderId="184" xfId="0" applyNumberFormat="1" applyFont="1" applyFill="1" applyBorder="1" applyProtection="1"/>
    <xf numFmtId="166" fontId="16" fillId="2" borderId="185" xfId="0" applyNumberFormat="1" applyFont="1" applyFill="1" applyBorder="1" applyProtection="1"/>
    <xf numFmtId="166" fontId="16" fillId="2" borderId="186" xfId="0" applyNumberFormat="1" applyFont="1" applyFill="1" applyBorder="1" applyProtection="1"/>
    <xf numFmtId="2" fontId="16" fillId="2" borderId="96" xfId="0" applyNumberFormat="1" applyFont="1" applyFill="1" applyBorder="1" applyProtection="1"/>
    <xf numFmtId="2" fontId="16" fillId="2" borderId="184" xfId="0" applyNumberFormat="1" applyFont="1" applyFill="1" applyBorder="1" applyProtection="1"/>
    <xf numFmtId="167" fontId="11" fillId="0" borderId="175" xfId="0" applyNumberFormat="1" applyFont="1" applyBorder="1"/>
    <xf numFmtId="167" fontId="11" fillId="0" borderId="187" xfId="0" applyNumberFormat="1" applyFont="1" applyBorder="1"/>
    <xf numFmtId="172" fontId="30" fillId="0" borderId="65" xfId="0" applyNumberFormat="1" applyFont="1" applyBorder="1"/>
    <xf numFmtId="167" fontId="29" fillId="0" borderId="3" xfId="0" applyNumberFormat="1" applyFont="1" applyBorder="1" applyAlignment="1">
      <alignment horizontal="center"/>
    </xf>
    <xf numFmtId="0" fontId="63" fillId="0" borderId="44" xfId="0" quotePrefix="1" applyFont="1" applyBorder="1" applyAlignment="1">
      <alignment horizontal="left"/>
    </xf>
    <xf numFmtId="0" fontId="7" fillId="0" borderId="59" xfId="0" applyFont="1" applyBorder="1"/>
    <xf numFmtId="0" fontId="29" fillId="6" borderId="67" xfId="0" quotePrefix="1" applyFont="1" applyFill="1" applyBorder="1" applyAlignment="1">
      <alignment horizontal="center"/>
    </xf>
    <xf numFmtId="0" fontId="29" fillId="0" borderId="119" xfId="0" quotePrefix="1" applyFont="1" applyBorder="1" applyAlignment="1">
      <alignment horizontal="left"/>
    </xf>
    <xf numFmtId="0" fontId="30" fillId="0" borderId="44" xfId="0" quotePrefix="1" applyFont="1" applyBorder="1" applyAlignment="1">
      <alignment horizontal="left"/>
    </xf>
    <xf numFmtId="166" fontId="0" fillId="0" borderId="179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fill"/>
    </xf>
    <xf numFmtId="172" fontId="0" fillId="0" borderId="5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2" fmlaLink="$K$5" fmlaRange="$AH$1:$AH$6" noThreeD="1" sel="3" val="0"/>
</file>

<file path=xl/ctrlProps/ctrlProp16.xml><?xml version="1.0" encoding="utf-8"?>
<formControlPr xmlns="http://schemas.microsoft.com/office/spreadsheetml/2009/9/main" objectType="Drop" dropStyle="combo" dx="22" fmlaLink="$K$6" fmlaRange="$AH$1:$AH$6" noThreeD="1" sel="1" val="0"/>
</file>

<file path=xl/ctrlProps/ctrlProp17.xml><?xml version="1.0" encoding="utf-8"?>
<formControlPr xmlns="http://schemas.microsoft.com/office/spreadsheetml/2009/9/main" objectType="Drop" dropStyle="combo" dx="22" fmlaLink="$K$7" fmlaRange="$AH$1:$AH$6" noThreeD="1" sel="3" val="0"/>
</file>

<file path=xl/ctrlProps/ctrlProp18.xml><?xml version="1.0" encoding="utf-8"?>
<formControlPr xmlns="http://schemas.microsoft.com/office/spreadsheetml/2009/9/main" objectType="Drop" dropStyle="combo" dx="22" fmlaLink="$K$8" fmlaRange="$AH$1:$AH$6" noThreeD="1" sel="3" val="0"/>
</file>

<file path=xl/ctrlProps/ctrlProp19.xml><?xml version="1.0" encoding="utf-8"?>
<formControlPr xmlns="http://schemas.microsoft.com/office/spreadsheetml/2009/9/main" objectType="Drop" dropStyle="combo" dx="22" fmlaLink="$K$9" fmlaRange="$AH$1:$AH$6" noThreeD="1" sel="3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2" fmlaLink="$K$10" fmlaRange="$AH$1:$AH$6" noThreeD="1" sel="3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542925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4F927E64-0A2D-DDFA-DDE0-398382186A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533400</xdr:colOff>
          <xdr:row>6</xdr:row>
          <xdr:rowOff>85725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731E99B4-E34A-BADE-2762-EB3390F02B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533400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36D9EB93-5CB3-1CF0-3019-AD6BA78DD9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542925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E47591FC-4F45-D70E-A620-D42C0A71CA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542925</xdr:colOff>
          <xdr:row>12</xdr:row>
          <xdr:rowOff>76200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88207063-AC36-2477-7345-092781C9C1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542925</xdr:colOff>
          <xdr:row>12</xdr:row>
          <xdr:rowOff>76200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AB27D0AC-16FC-9EF5-3B70-6D22D54326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0</xdr:rowOff>
        </xdr:from>
        <xdr:to>
          <xdr:col>4</xdr:col>
          <xdr:colOff>561975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22987B55-C0ED-424A-5FFD-94ACE6EBB3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542925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125AF146-F405-5B41-2140-89F2FCE602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13</xdr:row>
          <xdr:rowOff>0</xdr:rowOff>
        </xdr:from>
        <xdr:to>
          <xdr:col>6</xdr:col>
          <xdr:colOff>571500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1D7BF156-7BCF-4C10-2C91-193D6852BF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542925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4B996D6A-9474-FE5A-8B65-D80A55E4DF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28575</xdr:rowOff>
        </xdr:from>
        <xdr:to>
          <xdr:col>6</xdr:col>
          <xdr:colOff>542925</xdr:colOff>
          <xdr:row>21</xdr:row>
          <xdr:rowOff>104775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49CA1323-21EC-469E-9186-7F15312541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542925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3B225745-98D6-F94D-08F4-2B4B1B1E06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28575</xdr:rowOff>
        </xdr:from>
        <xdr:to>
          <xdr:col>4</xdr:col>
          <xdr:colOff>542925</xdr:colOff>
          <xdr:row>21</xdr:row>
          <xdr:rowOff>104775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123B8870-3046-A3AE-9B43-F59CAB6B42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104775</xdr:rowOff>
        </xdr:from>
        <xdr:to>
          <xdr:col>4</xdr:col>
          <xdr:colOff>552450</xdr:colOff>
          <xdr:row>24</xdr:row>
          <xdr:rowOff>180975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F1B6E229-68D0-F46E-24AF-FD8F715D03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9525</xdr:rowOff>
        </xdr:from>
        <xdr:to>
          <xdr:col>12</xdr:col>
          <xdr:colOff>0</xdr:colOff>
          <xdr:row>4</xdr:row>
          <xdr:rowOff>200025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75E6B2A-5E96-3BB5-4DD4-8FAE569DF5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9525</xdr:rowOff>
        </xdr:from>
        <xdr:to>
          <xdr:col>12</xdr:col>
          <xdr:colOff>0</xdr:colOff>
          <xdr:row>5</xdr:row>
          <xdr:rowOff>200025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724CAA19-3E84-D5AF-698F-257950435C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9525</xdr:rowOff>
        </xdr:from>
        <xdr:to>
          <xdr:col>12</xdr:col>
          <xdr:colOff>0</xdr:colOff>
          <xdr:row>6</xdr:row>
          <xdr:rowOff>200025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FB0ED606-7E96-94E8-F4B8-C7D6BA77B9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9525</xdr:rowOff>
        </xdr:from>
        <xdr:to>
          <xdr:col>12</xdr:col>
          <xdr:colOff>0</xdr:colOff>
          <xdr:row>7</xdr:row>
          <xdr:rowOff>200025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5EDBDF98-7E24-B7C0-8793-FB3DD02836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9525</xdr:rowOff>
        </xdr:from>
        <xdr:to>
          <xdr:col>12</xdr:col>
          <xdr:colOff>0</xdr:colOff>
          <xdr:row>8</xdr:row>
          <xdr:rowOff>200025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86E0C66F-5D56-463A-260C-887E88D2FA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9525</xdr:rowOff>
        </xdr:from>
        <xdr:to>
          <xdr:col>12</xdr:col>
          <xdr:colOff>0</xdr:colOff>
          <xdr:row>9</xdr:row>
          <xdr:rowOff>200025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9863F82B-BFAF-8513-1ED3-0A8CA1FC4E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086" name="Picture 14">
          <a:extLst>
            <a:ext uri="{FF2B5EF4-FFF2-40B4-BE49-F238E27FC236}">
              <a16:creationId xmlns:a16="http://schemas.microsoft.com/office/drawing/2014/main" id="{6645B9EF-0DF4-63AD-86CA-F9EE9BE545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087" name="Picture 15">
          <a:extLst>
            <a:ext uri="{FF2B5EF4-FFF2-40B4-BE49-F238E27FC236}">
              <a16:creationId xmlns:a16="http://schemas.microsoft.com/office/drawing/2014/main" id="{1BE3E239-F26A-AED2-6336-CBCB13196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088" name="Picture 16">
          <a:extLst>
            <a:ext uri="{FF2B5EF4-FFF2-40B4-BE49-F238E27FC236}">
              <a16:creationId xmlns:a16="http://schemas.microsoft.com/office/drawing/2014/main" id="{0C1AA38B-994B-C754-70DD-2BBDA7FE86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089" name="Picture 17">
          <a:extLst>
            <a:ext uri="{FF2B5EF4-FFF2-40B4-BE49-F238E27FC236}">
              <a16:creationId xmlns:a16="http://schemas.microsoft.com/office/drawing/2014/main" id="{4B776ABF-DF10-15CE-EEE1-FEC9009695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090" name="Picture 18">
          <a:extLst>
            <a:ext uri="{FF2B5EF4-FFF2-40B4-BE49-F238E27FC236}">
              <a16:creationId xmlns:a16="http://schemas.microsoft.com/office/drawing/2014/main" id="{5AD85A53-ACDE-EF5F-5696-189F6C9F8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091" name="Picture 19">
          <a:extLst>
            <a:ext uri="{FF2B5EF4-FFF2-40B4-BE49-F238E27FC236}">
              <a16:creationId xmlns:a16="http://schemas.microsoft.com/office/drawing/2014/main" id="{8ABD8192-F17E-5FD9-DAA6-EB552E539F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768" name="Picture 696">
          <a:extLst>
            <a:ext uri="{FF2B5EF4-FFF2-40B4-BE49-F238E27FC236}">
              <a16:creationId xmlns:a16="http://schemas.microsoft.com/office/drawing/2014/main" id="{088870CE-0BB1-022F-F181-F347C68FFC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769" name="Picture 697">
          <a:extLst>
            <a:ext uri="{FF2B5EF4-FFF2-40B4-BE49-F238E27FC236}">
              <a16:creationId xmlns:a16="http://schemas.microsoft.com/office/drawing/2014/main" id="{80B7F0F1-3DA4-D4B0-661A-C549A394DC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770" name="Picture 698">
          <a:extLst>
            <a:ext uri="{FF2B5EF4-FFF2-40B4-BE49-F238E27FC236}">
              <a16:creationId xmlns:a16="http://schemas.microsoft.com/office/drawing/2014/main" id="{BBBE0B62-DA8C-ABD8-65BD-17D9061DC8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771" name="Picture 699">
          <a:extLst>
            <a:ext uri="{FF2B5EF4-FFF2-40B4-BE49-F238E27FC236}">
              <a16:creationId xmlns:a16="http://schemas.microsoft.com/office/drawing/2014/main" id="{57A0DC78-5C7B-035D-BF47-7FCB25924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772" name="Picture 700">
          <a:extLst>
            <a:ext uri="{FF2B5EF4-FFF2-40B4-BE49-F238E27FC236}">
              <a16:creationId xmlns:a16="http://schemas.microsoft.com/office/drawing/2014/main" id="{CD7CEFAC-1A94-4F05-D65E-B145B16709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773" name="Picture 701">
          <a:extLst>
            <a:ext uri="{FF2B5EF4-FFF2-40B4-BE49-F238E27FC236}">
              <a16:creationId xmlns:a16="http://schemas.microsoft.com/office/drawing/2014/main" id="{925114AE-6BB4-00EA-5DA4-C69C449B2D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5" name="Picture 2683">
          <a:extLst>
            <a:ext uri="{FF2B5EF4-FFF2-40B4-BE49-F238E27FC236}">
              <a16:creationId xmlns:a16="http://schemas.microsoft.com/office/drawing/2014/main" id="{CF2D85BD-7FCC-EA9C-A9FE-13412D82DF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71500"/>
          <a:ext cx="22669500" cy="1391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6" name="Picture 2684">
          <a:extLst>
            <a:ext uri="{FF2B5EF4-FFF2-40B4-BE49-F238E27FC236}">
              <a16:creationId xmlns:a16="http://schemas.microsoft.com/office/drawing/2014/main" id="{D22A7720-CA84-BEA8-F58B-12075435B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1524000"/>
          <a:ext cx="22669500" cy="1296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7" name="Picture 2685">
          <a:extLst>
            <a:ext uri="{FF2B5EF4-FFF2-40B4-BE49-F238E27FC236}">
              <a16:creationId xmlns:a16="http://schemas.microsoft.com/office/drawing/2014/main" id="{D64C4449-563E-1BF5-F4AC-F5DD120404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3429000"/>
          <a:ext cx="22669500" cy="11058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8" name="Picture 2686">
          <a:extLst>
            <a:ext uri="{FF2B5EF4-FFF2-40B4-BE49-F238E27FC236}">
              <a16:creationId xmlns:a16="http://schemas.microsoft.com/office/drawing/2014/main" id="{6F5F6227-EDBD-A9B3-3CCC-99B0EFE106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334000"/>
          <a:ext cx="22669500" cy="915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9" name="Picture 2687">
          <a:extLst>
            <a:ext uri="{FF2B5EF4-FFF2-40B4-BE49-F238E27FC236}">
              <a16:creationId xmlns:a16="http://schemas.microsoft.com/office/drawing/2014/main" id="{963DF25F-8D75-2EBA-3952-6B6F2D8BC6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4381500"/>
          <a:ext cx="22669500" cy="1010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13</xdr:row>
      <xdr:rowOff>0</xdr:rowOff>
    </xdr:from>
    <xdr:to>
      <xdr:col>108</xdr:col>
      <xdr:colOff>95250</xdr:colOff>
      <xdr:row>74</xdr:row>
      <xdr:rowOff>190500</xdr:rowOff>
    </xdr:to>
    <xdr:pic>
      <xdr:nvPicPr>
        <xdr:cNvPr id="5760" name="Picture 2688">
          <a:extLst>
            <a:ext uri="{FF2B5EF4-FFF2-40B4-BE49-F238E27FC236}">
              <a16:creationId xmlns:a16="http://schemas.microsoft.com/office/drawing/2014/main" id="{11856F21-A476-F51C-E81C-009DE1AF24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2476500"/>
          <a:ext cx="22669500" cy="12011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9525</xdr:colOff>
      <xdr:row>13</xdr:row>
      <xdr:rowOff>9525</xdr:rowOff>
    </xdr:to>
    <xdr:pic>
      <xdr:nvPicPr>
        <xdr:cNvPr id="5768" name="PRTLY">
          <a:extLst>
            <a:ext uri="{FF2B5EF4-FFF2-40B4-BE49-F238E27FC236}">
              <a16:creationId xmlns:a16="http://schemas.microsoft.com/office/drawing/2014/main" id="{CC7FE0DF-9F81-37A3-5F82-A6D0AE15DD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152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9525</xdr:colOff>
      <xdr:row>23</xdr:row>
      <xdr:rowOff>9525</xdr:rowOff>
    </xdr:to>
    <xdr:pic>
      <xdr:nvPicPr>
        <xdr:cNvPr id="5769" name="TSTORM">
          <a:extLst>
            <a:ext uri="{FF2B5EF4-FFF2-40B4-BE49-F238E27FC236}">
              <a16:creationId xmlns:a16="http://schemas.microsoft.com/office/drawing/2014/main" id="{939A8591-9031-D46D-A123-EC0F0E71F2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3429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9525</xdr:colOff>
      <xdr:row>33</xdr:row>
      <xdr:rowOff>9525</xdr:rowOff>
    </xdr:to>
    <xdr:pic>
      <xdr:nvPicPr>
        <xdr:cNvPr id="5770" name="SNOW">
          <a:extLst>
            <a:ext uri="{FF2B5EF4-FFF2-40B4-BE49-F238E27FC236}">
              <a16:creationId xmlns:a16="http://schemas.microsoft.com/office/drawing/2014/main" id="{BC4FB3F4-7DA9-FE49-BDD7-6C10121437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33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9525</xdr:colOff>
      <xdr:row>28</xdr:row>
      <xdr:rowOff>9525</xdr:rowOff>
    </xdr:to>
    <xdr:pic>
      <xdr:nvPicPr>
        <xdr:cNvPr id="5771" name="SUNNY">
          <a:extLst>
            <a:ext uri="{FF2B5EF4-FFF2-40B4-BE49-F238E27FC236}">
              <a16:creationId xmlns:a16="http://schemas.microsoft.com/office/drawing/2014/main" id="{6234CB00-1E2B-A03B-4907-E35C57352E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438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9525</xdr:colOff>
      <xdr:row>18</xdr:row>
      <xdr:rowOff>9525</xdr:rowOff>
    </xdr:to>
    <xdr:pic>
      <xdr:nvPicPr>
        <xdr:cNvPr id="5772" name="RAIN">
          <a:extLst>
            <a:ext uri="{FF2B5EF4-FFF2-40B4-BE49-F238E27FC236}">
              <a16:creationId xmlns:a16="http://schemas.microsoft.com/office/drawing/2014/main" id="{F06330A4-3791-E35A-0317-F3FFDD2A3C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2476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9525</xdr:colOff>
      <xdr:row>8</xdr:row>
      <xdr:rowOff>9525</xdr:rowOff>
    </xdr:to>
    <xdr:pic>
      <xdr:nvPicPr>
        <xdr:cNvPr id="5786" name="CLOUDY">
          <a:extLst>
            <a:ext uri="{FF2B5EF4-FFF2-40B4-BE49-F238E27FC236}">
              <a16:creationId xmlns:a16="http://schemas.microsoft.com/office/drawing/2014/main" id="{4F1013AE-DA5D-BE5F-0CD7-52090AA3C5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7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95250</xdr:colOff>
      <xdr:row>9</xdr:row>
      <xdr:rowOff>95250</xdr:rowOff>
    </xdr:to>
    <xdr:pic>
      <xdr:nvPicPr>
        <xdr:cNvPr id="38791" name="Day_1">
          <a:extLst>
            <a:ext uri="{FF2B5EF4-FFF2-40B4-BE49-F238E27FC236}">
              <a16:creationId xmlns:a16="http://schemas.microsoft.com/office/drawing/2014/main" id="{F4E53064-2DAA-5D4F-82BC-815D3E8FFE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76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95250</xdr:colOff>
      <xdr:row>14</xdr:row>
      <xdr:rowOff>95250</xdr:rowOff>
    </xdr:to>
    <xdr:pic>
      <xdr:nvPicPr>
        <xdr:cNvPr id="38792" name="Day_2">
          <a:extLst>
            <a:ext uri="{FF2B5EF4-FFF2-40B4-BE49-F238E27FC236}">
              <a16:creationId xmlns:a16="http://schemas.microsoft.com/office/drawing/2014/main" id="{1305C85A-CEDB-A3F4-2C51-249BB2C46E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171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95250</xdr:colOff>
      <xdr:row>19</xdr:row>
      <xdr:rowOff>95250</xdr:rowOff>
    </xdr:to>
    <xdr:pic>
      <xdr:nvPicPr>
        <xdr:cNvPr id="38793" name="Day_3">
          <a:extLst>
            <a:ext uri="{FF2B5EF4-FFF2-40B4-BE49-F238E27FC236}">
              <a16:creationId xmlns:a16="http://schemas.microsoft.com/office/drawing/2014/main" id="{8C641F27-41BF-A7C2-DE0C-5F29520EF7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2667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95250</xdr:colOff>
      <xdr:row>24</xdr:row>
      <xdr:rowOff>95250</xdr:rowOff>
    </xdr:to>
    <xdr:pic>
      <xdr:nvPicPr>
        <xdr:cNvPr id="38794" name="Day_4">
          <a:extLst>
            <a:ext uri="{FF2B5EF4-FFF2-40B4-BE49-F238E27FC236}">
              <a16:creationId xmlns:a16="http://schemas.microsoft.com/office/drawing/2014/main" id="{4261FBED-DAFF-D281-BD4A-E4EED62561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3619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95250</xdr:colOff>
      <xdr:row>29</xdr:row>
      <xdr:rowOff>95250</xdr:rowOff>
    </xdr:to>
    <xdr:pic>
      <xdr:nvPicPr>
        <xdr:cNvPr id="38795" name="Day_5">
          <a:extLst>
            <a:ext uri="{FF2B5EF4-FFF2-40B4-BE49-F238E27FC236}">
              <a16:creationId xmlns:a16="http://schemas.microsoft.com/office/drawing/2014/main" id="{22BA4ADB-9981-F28B-2FF0-EC9890E974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457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95250</xdr:colOff>
      <xdr:row>34</xdr:row>
      <xdr:rowOff>85725</xdr:rowOff>
    </xdr:to>
    <xdr:pic>
      <xdr:nvPicPr>
        <xdr:cNvPr id="38796" name="Day_6">
          <a:extLst>
            <a:ext uri="{FF2B5EF4-FFF2-40B4-BE49-F238E27FC236}">
              <a16:creationId xmlns:a16="http://schemas.microsoft.com/office/drawing/2014/main" id="{0611086A-79F1-82ED-27C2-9DDCBC8A4D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552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47625</xdr:rowOff>
    </xdr:from>
    <xdr:to>
      <xdr:col>3</xdr:col>
      <xdr:colOff>0</xdr:colOff>
      <xdr:row>7</xdr:row>
      <xdr:rowOff>28575</xdr:rowOff>
    </xdr:to>
    <xdr:sp macro="" textlink="">
      <xdr:nvSpPr>
        <xdr:cNvPr id="32769" name="Line 1">
          <a:extLst>
            <a:ext uri="{FF2B5EF4-FFF2-40B4-BE49-F238E27FC236}">
              <a16:creationId xmlns:a16="http://schemas.microsoft.com/office/drawing/2014/main" id="{1F663BE7-6C03-39F9-99B3-75325FDE545B}"/>
            </a:ext>
          </a:extLst>
        </xdr:cNvPr>
        <xdr:cNvSpPr>
          <a:spLocks noChangeShapeType="1"/>
        </xdr:cNvSpPr>
      </xdr:nvSpPr>
      <xdr:spPr bwMode="auto">
        <a:xfrm>
          <a:off x="2114550" y="333375"/>
          <a:ext cx="0" cy="12668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66675</xdr:rowOff>
    </xdr:from>
    <xdr:to>
      <xdr:col>5</xdr:col>
      <xdr:colOff>0</xdr:colOff>
      <xdr:row>3</xdr:row>
      <xdr:rowOff>66675</xdr:rowOff>
    </xdr:to>
    <xdr:sp macro="" textlink="">
      <xdr:nvSpPr>
        <xdr:cNvPr id="32770" name="Line 2">
          <a:extLst>
            <a:ext uri="{FF2B5EF4-FFF2-40B4-BE49-F238E27FC236}">
              <a16:creationId xmlns:a16="http://schemas.microsoft.com/office/drawing/2014/main" id="{C624CD76-CA5E-CD43-0CED-D6B43A4D02F8}"/>
            </a:ext>
          </a:extLst>
        </xdr:cNvPr>
        <xdr:cNvSpPr>
          <a:spLocks noChangeShapeType="1"/>
        </xdr:cNvSpPr>
      </xdr:nvSpPr>
      <xdr:spPr bwMode="auto">
        <a:xfrm>
          <a:off x="2114550" y="771525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2</xdr:row>
      <xdr:rowOff>171450</xdr:rowOff>
    </xdr:from>
    <xdr:ext cx="423321" cy="141001"/>
    <xdr:sp macro="" textlink="">
      <xdr:nvSpPr>
        <xdr:cNvPr id="32771" name="Text Box 3">
          <a:extLst>
            <a:ext uri="{FF2B5EF4-FFF2-40B4-BE49-F238E27FC236}">
              <a16:creationId xmlns:a16="http://schemas.microsoft.com/office/drawing/2014/main" id="{8631EE7F-C22B-2DC5-77FB-328596452368}"/>
            </a:ext>
          </a:extLst>
        </xdr:cNvPr>
        <xdr:cNvSpPr txBox="1">
          <a:spLocks noChangeArrowheads="1"/>
        </xdr:cNvSpPr>
      </xdr:nvSpPr>
      <xdr:spPr bwMode="auto">
        <a:xfrm>
          <a:off x="2428875" y="66675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9525</xdr:colOff>
      <xdr:row>7</xdr:row>
      <xdr:rowOff>0</xdr:rowOff>
    </xdr:from>
    <xdr:to>
      <xdr:col>4</xdr:col>
      <xdr:colOff>409575</xdr:colOff>
      <xdr:row>7</xdr:row>
      <xdr:rowOff>0</xdr:rowOff>
    </xdr:to>
    <xdr:sp macro="" textlink="">
      <xdr:nvSpPr>
        <xdr:cNvPr id="32773" name="Line 5">
          <a:extLst>
            <a:ext uri="{FF2B5EF4-FFF2-40B4-BE49-F238E27FC236}">
              <a16:creationId xmlns:a16="http://schemas.microsoft.com/office/drawing/2014/main" id="{503CA449-71FC-B100-9786-C7455D056AB5}"/>
            </a:ext>
          </a:extLst>
        </xdr:cNvPr>
        <xdr:cNvSpPr>
          <a:spLocks noChangeShapeType="1"/>
        </xdr:cNvSpPr>
      </xdr:nvSpPr>
      <xdr:spPr bwMode="auto">
        <a:xfrm>
          <a:off x="752475" y="1571625"/>
          <a:ext cx="22479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6</xdr:row>
      <xdr:rowOff>219075</xdr:rowOff>
    </xdr:from>
    <xdr:ext cx="457200" cy="171450"/>
    <xdr:sp macro="" textlink="">
      <xdr:nvSpPr>
        <xdr:cNvPr id="32776" name="Text Box 8">
          <a:extLst>
            <a:ext uri="{FF2B5EF4-FFF2-40B4-BE49-F238E27FC236}">
              <a16:creationId xmlns:a16="http://schemas.microsoft.com/office/drawing/2014/main" id="{76E8DE97-CE46-CB5D-9A3F-6D0DAF857E47}"/>
            </a:ext>
          </a:extLst>
        </xdr:cNvPr>
        <xdr:cNvSpPr txBox="1">
          <a:spLocks noChangeArrowheads="1"/>
        </xdr:cNvSpPr>
      </xdr:nvSpPr>
      <xdr:spPr bwMode="auto">
        <a:xfrm>
          <a:off x="2428875" y="15525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962025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>
          <a:extLst>
            <a:ext uri="{FF2B5EF4-FFF2-40B4-BE49-F238E27FC236}">
              <a16:creationId xmlns:a16="http://schemas.microsoft.com/office/drawing/2014/main" id="{EEF484E8-D647-830E-6B1F-F22AE9E8DD17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504825</xdr:colOff>
      <xdr:row>9</xdr:row>
      <xdr:rowOff>47625</xdr:rowOff>
    </xdr:from>
    <xdr:ext cx="323850" cy="171450"/>
    <xdr:sp macro="" textlink="">
      <xdr:nvSpPr>
        <xdr:cNvPr id="32782" name="Text Box 14">
          <a:extLst>
            <a:ext uri="{FF2B5EF4-FFF2-40B4-BE49-F238E27FC236}">
              <a16:creationId xmlns:a16="http://schemas.microsoft.com/office/drawing/2014/main" id="{EA0D47E1-E384-3452-23CA-26435CF68D50}"/>
            </a:ext>
          </a:extLst>
        </xdr:cNvPr>
        <xdr:cNvSpPr txBox="1">
          <a:spLocks noChangeArrowheads="1"/>
        </xdr:cNvSpPr>
      </xdr:nvSpPr>
      <xdr:spPr bwMode="auto">
        <a:xfrm>
          <a:off x="1247775" y="19812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11</xdr:row>
      <xdr:rowOff>19050</xdr:rowOff>
    </xdr:from>
    <xdr:to>
      <xdr:col>5</xdr:col>
      <xdr:colOff>19050</xdr:colOff>
      <xdr:row>11</xdr:row>
      <xdr:rowOff>19050</xdr:rowOff>
    </xdr:to>
    <xdr:sp macro="" textlink="">
      <xdr:nvSpPr>
        <xdr:cNvPr id="32785" name="Line 17">
          <a:extLst>
            <a:ext uri="{FF2B5EF4-FFF2-40B4-BE49-F238E27FC236}">
              <a16:creationId xmlns:a16="http://schemas.microsoft.com/office/drawing/2014/main" id="{5707390B-605F-6D8F-FD46-636AE266E440}"/>
            </a:ext>
          </a:extLst>
        </xdr:cNvPr>
        <xdr:cNvSpPr>
          <a:spLocks noChangeShapeType="1"/>
        </xdr:cNvSpPr>
      </xdr:nvSpPr>
      <xdr:spPr bwMode="auto">
        <a:xfrm flipV="1">
          <a:off x="752475" y="2362200"/>
          <a:ext cx="2266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10</xdr:row>
      <xdr:rowOff>19050</xdr:rowOff>
    </xdr:from>
    <xdr:ext cx="457200" cy="171450"/>
    <xdr:sp macro="" textlink="">
      <xdr:nvSpPr>
        <xdr:cNvPr id="32787" name="Text Box 19">
          <a:extLst>
            <a:ext uri="{FF2B5EF4-FFF2-40B4-BE49-F238E27FC236}">
              <a16:creationId xmlns:a16="http://schemas.microsoft.com/office/drawing/2014/main" id="{20A35A40-6197-567F-38FC-4FE9EDDA07B7}"/>
            </a:ext>
          </a:extLst>
        </xdr:cNvPr>
        <xdr:cNvSpPr txBox="1">
          <a:spLocks noChangeArrowheads="1"/>
        </xdr:cNvSpPr>
      </xdr:nvSpPr>
      <xdr:spPr bwMode="auto">
        <a:xfrm>
          <a:off x="2428875" y="21812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19050</xdr:colOff>
      <xdr:row>8</xdr:row>
      <xdr:rowOff>9525</xdr:rowOff>
    </xdr:from>
    <xdr:to>
      <xdr:col>3</xdr:col>
      <xdr:colOff>0</xdr:colOff>
      <xdr:row>8</xdr:row>
      <xdr:rowOff>9525</xdr:rowOff>
    </xdr:to>
    <xdr:sp macro="" textlink="">
      <xdr:nvSpPr>
        <xdr:cNvPr id="32789" name="Line 21">
          <a:extLst>
            <a:ext uri="{FF2B5EF4-FFF2-40B4-BE49-F238E27FC236}">
              <a16:creationId xmlns:a16="http://schemas.microsoft.com/office/drawing/2014/main" id="{5998A6A5-7F1B-4B15-7DCD-3993905D3444}"/>
            </a:ext>
          </a:extLst>
        </xdr:cNvPr>
        <xdr:cNvSpPr>
          <a:spLocks noChangeShapeType="1"/>
        </xdr:cNvSpPr>
      </xdr:nvSpPr>
      <xdr:spPr bwMode="auto">
        <a:xfrm>
          <a:off x="762000" y="1762125"/>
          <a:ext cx="13525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523875</xdr:colOff>
      <xdr:row>7</xdr:row>
      <xdr:rowOff>66675</xdr:rowOff>
    </xdr:from>
    <xdr:ext cx="323850" cy="171450"/>
    <xdr:sp macro="" textlink="">
      <xdr:nvSpPr>
        <xdr:cNvPr id="32791" name="Text Box 23">
          <a:extLst>
            <a:ext uri="{FF2B5EF4-FFF2-40B4-BE49-F238E27FC236}">
              <a16:creationId xmlns:a16="http://schemas.microsoft.com/office/drawing/2014/main" id="{B1D023C9-D73E-15F8-F553-B125ADC59B96}"/>
            </a:ext>
          </a:extLst>
        </xdr:cNvPr>
        <xdr:cNvSpPr txBox="1">
          <a:spLocks noChangeArrowheads="1"/>
        </xdr:cNvSpPr>
      </xdr:nvSpPr>
      <xdr:spPr bwMode="auto">
        <a:xfrm>
          <a:off x="1266825" y="16383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9525</xdr:rowOff>
    </xdr:from>
    <xdr:to>
      <xdr:col>1</xdr:col>
      <xdr:colOff>0</xdr:colOff>
      <xdr:row>11</xdr:row>
      <xdr:rowOff>38100</xdr:rowOff>
    </xdr:to>
    <xdr:sp macro="" textlink="">
      <xdr:nvSpPr>
        <xdr:cNvPr id="32792" name="Line 24">
          <a:extLst>
            <a:ext uri="{FF2B5EF4-FFF2-40B4-BE49-F238E27FC236}">
              <a16:creationId xmlns:a16="http://schemas.microsoft.com/office/drawing/2014/main" id="{4257E7D1-2589-0BAB-6749-9D5691314E1D}"/>
            </a:ext>
          </a:extLst>
        </xdr:cNvPr>
        <xdr:cNvSpPr>
          <a:spLocks noChangeShapeType="1"/>
        </xdr:cNvSpPr>
      </xdr:nvSpPr>
      <xdr:spPr bwMode="auto">
        <a:xfrm>
          <a:off x="742950" y="21717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19</xdr:row>
      <xdr:rowOff>333375</xdr:rowOff>
    </xdr:from>
    <xdr:to>
      <xdr:col>5</xdr:col>
      <xdr:colOff>19050</xdr:colOff>
      <xdr:row>20</xdr:row>
      <xdr:rowOff>0</xdr:rowOff>
    </xdr:to>
    <xdr:sp macro="" textlink="">
      <xdr:nvSpPr>
        <xdr:cNvPr id="32795" name="Line 27">
          <a:extLst>
            <a:ext uri="{FF2B5EF4-FFF2-40B4-BE49-F238E27FC236}">
              <a16:creationId xmlns:a16="http://schemas.microsoft.com/office/drawing/2014/main" id="{DC433F3F-5598-418A-D1AE-9A4E22F95967}"/>
            </a:ext>
          </a:extLst>
        </xdr:cNvPr>
        <xdr:cNvSpPr>
          <a:spLocks noChangeShapeType="1"/>
        </xdr:cNvSpPr>
      </xdr:nvSpPr>
      <xdr:spPr bwMode="auto">
        <a:xfrm>
          <a:off x="733425" y="465772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20</xdr:row>
      <xdr:rowOff>0</xdr:rowOff>
    </xdr:from>
    <xdr:ext cx="323850" cy="171450"/>
    <xdr:sp macro="" textlink="">
      <xdr:nvSpPr>
        <xdr:cNvPr id="32796" name="Text Box 28">
          <a:extLst>
            <a:ext uri="{FF2B5EF4-FFF2-40B4-BE49-F238E27FC236}">
              <a16:creationId xmlns:a16="http://schemas.microsoft.com/office/drawing/2014/main" id="{CB9C2D26-5395-8103-2E61-E6968F3C0318}"/>
            </a:ext>
          </a:extLst>
        </xdr:cNvPr>
        <xdr:cNvSpPr txBox="1">
          <a:spLocks noChangeArrowheads="1"/>
        </xdr:cNvSpPr>
      </xdr:nvSpPr>
      <xdr:spPr bwMode="auto">
        <a:xfrm>
          <a:off x="2286000" y="465772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19</xdr:row>
      <xdr:rowOff>9525</xdr:rowOff>
    </xdr:from>
    <xdr:to>
      <xdr:col>3</xdr:col>
      <xdr:colOff>9525</xdr:colOff>
      <xdr:row>19</xdr:row>
      <xdr:rowOff>9525</xdr:rowOff>
    </xdr:to>
    <xdr:sp macro="" textlink="">
      <xdr:nvSpPr>
        <xdr:cNvPr id="32797" name="Line 29">
          <a:extLst>
            <a:ext uri="{FF2B5EF4-FFF2-40B4-BE49-F238E27FC236}">
              <a16:creationId xmlns:a16="http://schemas.microsoft.com/office/drawing/2014/main" id="{AAE2E660-A040-A940-FA02-D137AF48520A}"/>
            </a:ext>
          </a:extLst>
        </xdr:cNvPr>
        <xdr:cNvSpPr>
          <a:spLocks noChangeShapeType="1"/>
        </xdr:cNvSpPr>
      </xdr:nvSpPr>
      <xdr:spPr bwMode="auto">
        <a:xfrm>
          <a:off x="752475" y="444817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9525</xdr:rowOff>
    </xdr:from>
    <xdr:to>
      <xdr:col>3</xdr:col>
      <xdr:colOff>9525</xdr:colOff>
      <xdr:row>22</xdr:row>
      <xdr:rowOff>9525</xdr:rowOff>
    </xdr:to>
    <xdr:sp macro="" textlink="">
      <xdr:nvSpPr>
        <xdr:cNvPr id="32799" name="Line 31">
          <a:extLst>
            <a:ext uri="{FF2B5EF4-FFF2-40B4-BE49-F238E27FC236}">
              <a16:creationId xmlns:a16="http://schemas.microsoft.com/office/drawing/2014/main" id="{C38834E2-19D0-3DC0-A5B9-D3A4C254BC3F}"/>
            </a:ext>
          </a:extLst>
        </xdr:cNvPr>
        <xdr:cNvSpPr>
          <a:spLocks noChangeShapeType="1"/>
        </xdr:cNvSpPr>
      </xdr:nvSpPr>
      <xdr:spPr bwMode="auto">
        <a:xfrm>
          <a:off x="752475" y="4953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714375</xdr:colOff>
      <xdr:row>23</xdr:row>
      <xdr:rowOff>9525</xdr:rowOff>
    </xdr:from>
    <xdr:to>
      <xdr:col>5</xdr:col>
      <xdr:colOff>0</xdr:colOff>
      <xdr:row>23</xdr:row>
      <xdr:rowOff>9525</xdr:rowOff>
    </xdr:to>
    <xdr:sp macro="" textlink="">
      <xdr:nvSpPr>
        <xdr:cNvPr id="32800" name="Line 32">
          <a:extLst>
            <a:ext uri="{FF2B5EF4-FFF2-40B4-BE49-F238E27FC236}">
              <a16:creationId xmlns:a16="http://schemas.microsoft.com/office/drawing/2014/main" id="{DC475D12-A045-893A-FEE8-A7055C6E13CA}"/>
            </a:ext>
          </a:extLst>
        </xdr:cNvPr>
        <xdr:cNvSpPr>
          <a:spLocks noChangeShapeType="1"/>
        </xdr:cNvSpPr>
      </xdr:nvSpPr>
      <xdr:spPr bwMode="auto">
        <a:xfrm flipV="1">
          <a:off x="714375" y="509587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22</xdr:row>
      <xdr:rowOff>28575</xdr:rowOff>
    </xdr:from>
    <xdr:ext cx="457200" cy="171450"/>
    <xdr:sp macro="" textlink="">
      <xdr:nvSpPr>
        <xdr:cNvPr id="32804" name="Text Box 36">
          <a:extLst>
            <a:ext uri="{FF2B5EF4-FFF2-40B4-BE49-F238E27FC236}">
              <a16:creationId xmlns:a16="http://schemas.microsoft.com/office/drawing/2014/main" id="{0D35F114-FA53-588E-9AA6-50FE3FF8E9DE}"/>
            </a:ext>
          </a:extLst>
        </xdr:cNvPr>
        <xdr:cNvSpPr txBox="1">
          <a:spLocks noChangeArrowheads="1"/>
        </xdr:cNvSpPr>
      </xdr:nvSpPr>
      <xdr:spPr bwMode="auto">
        <a:xfrm>
          <a:off x="2286000" y="4972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9525</xdr:colOff>
      <xdr:row>25</xdr:row>
      <xdr:rowOff>171450</xdr:rowOff>
    </xdr:from>
    <xdr:to>
      <xdr:col>5</xdr:col>
      <xdr:colOff>9525</xdr:colOff>
      <xdr:row>25</xdr:row>
      <xdr:rowOff>171450</xdr:rowOff>
    </xdr:to>
    <xdr:sp macro="" textlink="">
      <xdr:nvSpPr>
        <xdr:cNvPr id="32805" name="Line 37">
          <a:extLst>
            <a:ext uri="{FF2B5EF4-FFF2-40B4-BE49-F238E27FC236}">
              <a16:creationId xmlns:a16="http://schemas.microsoft.com/office/drawing/2014/main" id="{C2629DDB-83D4-F08B-BA6D-FF9955B6BC9E}"/>
            </a:ext>
          </a:extLst>
        </xdr:cNvPr>
        <xdr:cNvSpPr>
          <a:spLocks noChangeShapeType="1"/>
        </xdr:cNvSpPr>
      </xdr:nvSpPr>
      <xdr:spPr bwMode="auto">
        <a:xfrm>
          <a:off x="2124075" y="5505450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409575</xdr:colOff>
      <xdr:row>1</xdr:row>
      <xdr:rowOff>47625</xdr:rowOff>
    </xdr:from>
    <xdr:to>
      <xdr:col>4</xdr:col>
      <xdr:colOff>781050</xdr:colOff>
      <xdr:row>4</xdr:row>
      <xdr:rowOff>19050</xdr:rowOff>
    </xdr:to>
    <xdr:sp macro="" textlink="">
      <xdr:nvSpPr>
        <xdr:cNvPr id="32807" name="Line 39">
          <a:extLst>
            <a:ext uri="{FF2B5EF4-FFF2-40B4-BE49-F238E27FC236}">
              <a16:creationId xmlns:a16="http://schemas.microsoft.com/office/drawing/2014/main" id="{896F0ABF-7793-87FD-F8B4-CFEC29AE7C69}"/>
            </a:ext>
          </a:extLst>
        </xdr:cNvPr>
        <xdr:cNvSpPr>
          <a:spLocks noChangeShapeType="1"/>
        </xdr:cNvSpPr>
      </xdr:nvSpPr>
      <xdr:spPr bwMode="auto">
        <a:xfrm flipH="1" flipV="1">
          <a:off x="3000375" y="3333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>
          <a:extLst>
            <a:ext uri="{FF2B5EF4-FFF2-40B4-BE49-F238E27FC236}">
              <a16:creationId xmlns:a16="http://schemas.microsoft.com/office/drawing/2014/main" id="{27FAC230-959F-6C10-8579-7E0BCF7BB787}"/>
            </a:ext>
          </a:extLst>
        </xdr:cNvPr>
        <xdr:cNvSpPr>
          <a:spLocks noChangeShapeType="1"/>
        </xdr:cNvSpPr>
      </xdr:nvSpPr>
      <xdr:spPr bwMode="auto">
        <a:xfrm>
          <a:off x="5743575" y="56197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>
          <a:extLst>
            <a:ext uri="{FF2B5EF4-FFF2-40B4-BE49-F238E27FC236}">
              <a16:creationId xmlns:a16="http://schemas.microsoft.com/office/drawing/2014/main" id="{A7DB03DB-624E-7A08-C3DB-500988E57B07}"/>
            </a:ext>
          </a:extLst>
        </xdr:cNvPr>
        <xdr:cNvSpPr>
          <a:spLocks noChangeShapeType="1"/>
        </xdr:cNvSpPr>
      </xdr:nvSpPr>
      <xdr:spPr bwMode="auto">
        <a:xfrm>
          <a:off x="3000375" y="70485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409575</xdr:colOff>
      <xdr:row>7</xdr:row>
      <xdr:rowOff>0</xdr:rowOff>
    </xdr:from>
    <xdr:to>
      <xdr:col>5</xdr:col>
      <xdr:colOff>9525</xdr:colOff>
      <xdr:row>7</xdr:row>
      <xdr:rowOff>0</xdr:rowOff>
    </xdr:to>
    <xdr:sp macro="" textlink="">
      <xdr:nvSpPr>
        <xdr:cNvPr id="32818" name="Line 50">
          <a:extLst>
            <a:ext uri="{FF2B5EF4-FFF2-40B4-BE49-F238E27FC236}">
              <a16:creationId xmlns:a16="http://schemas.microsoft.com/office/drawing/2014/main" id="{50ADAF16-E6D7-8182-5048-C654C642E477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9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276225</xdr:rowOff>
    </xdr:from>
    <xdr:to>
      <xdr:col>3</xdr:col>
      <xdr:colOff>0</xdr:colOff>
      <xdr:row>20</xdr:row>
      <xdr:rowOff>9525</xdr:rowOff>
    </xdr:to>
    <xdr:sp macro="" textlink="">
      <xdr:nvSpPr>
        <xdr:cNvPr id="32819" name="Line 51">
          <a:extLst>
            <a:ext uri="{FF2B5EF4-FFF2-40B4-BE49-F238E27FC236}">
              <a16:creationId xmlns:a16="http://schemas.microsoft.com/office/drawing/2014/main" id="{0C2676AE-AC10-C30D-B631-B3AD0B0CC917}"/>
            </a:ext>
          </a:extLst>
        </xdr:cNvPr>
        <xdr:cNvSpPr>
          <a:spLocks noChangeShapeType="1"/>
        </xdr:cNvSpPr>
      </xdr:nvSpPr>
      <xdr:spPr bwMode="auto">
        <a:xfrm flipV="1">
          <a:off x="2114550" y="4438650"/>
          <a:ext cx="0" cy="228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752475</xdr:colOff>
      <xdr:row>18</xdr:row>
      <xdr:rowOff>104775</xdr:rowOff>
    </xdr:from>
    <xdr:to>
      <xdr:col>3</xdr:col>
      <xdr:colOff>0</xdr:colOff>
      <xdr:row>19</xdr:row>
      <xdr:rowOff>0</xdr:rowOff>
    </xdr:to>
    <xdr:sp macro="" textlink="">
      <xdr:nvSpPr>
        <xdr:cNvPr id="32820" name="Line 52">
          <a:extLst>
            <a:ext uri="{FF2B5EF4-FFF2-40B4-BE49-F238E27FC236}">
              <a16:creationId xmlns:a16="http://schemas.microsoft.com/office/drawing/2014/main" id="{A41329C1-A13E-E091-A863-35A4EFC2F9CD}"/>
            </a:ext>
          </a:extLst>
        </xdr:cNvPr>
        <xdr:cNvSpPr>
          <a:spLocks noChangeShapeType="1"/>
        </xdr:cNvSpPr>
      </xdr:nvSpPr>
      <xdr:spPr bwMode="auto">
        <a:xfrm flipH="1" flipV="1">
          <a:off x="2114550" y="440055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9525</xdr:rowOff>
    </xdr:from>
    <xdr:to>
      <xdr:col>5</xdr:col>
      <xdr:colOff>0</xdr:colOff>
      <xdr:row>19</xdr:row>
      <xdr:rowOff>19050</xdr:rowOff>
    </xdr:to>
    <xdr:sp macro="" textlink="">
      <xdr:nvSpPr>
        <xdr:cNvPr id="32822" name="Line 54">
          <a:extLst>
            <a:ext uri="{FF2B5EF4-FFF2-40B4-BE49-F238E27FC236}">
              <a16:creationId xmlns:a16="http://schemas.microsoft.com/office/drawing/2014/main" id="{320A9CA7-1D3B-611D-F278-FDFC7E684D4B}"/>
            </a:ext>
          </a:extLst>
        </xdr:cNvPr>
        <xdr:cNvSpPr>
          <a:spLocks noChangeShapeType="1"/>
        </xdr:cNvSpPr>
      </xdr:nvSpPr>
      <xdr:spPr bwMode="auto">
        <a:xfrm flipV="1">
          <a:off x="3000375" y="4305300"/>
          <a:ext cx="0" cy="1524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161925</xdr:rowOff>
    </xdr:to>
    <xdr:sp macro="" textlink="">
      <xdr:nvSpPr>
        <xdr:cNvPr id="32823" name="Line 55">
          <a:extLst>
            <a:ext uri="{FF2B5EF4-FFF2-40B4-BE49-F238E27FC236}">
              <a16:creationId xmlns:a16="http://schemas.microsoft.com/office/drawing/2014/main" id="{133F49EF-7398-8098-4970-DA46FD41C665}"/>
            </a:ext>
          </a:extLst>
        </xdr:cNvPr>
        <xdr:cNvSpPr>
          <a:spLocks noChangeShapeType="1"/>
        </xdr:cNvSpPr>
      </xdr:nvSpPr>
      <xdr:spPr bwMode="auto">
        <a:xfrm flipV="1">
          <a:off x="2114550" y="4295775"/>
          <a:ext cx="0" cy="1428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142875</xdr:rowOff>
    </xdr:from>
    <xdr:to>
      <xdr:col>3</xdr:col>
      <xdr:colOff>0</xdr:colOff>
      <xdr:row>18</xdr:row>
      <xdr:rowOff>219075</xdr:rowOff>
    </xdr:to>
    <xdr:sp macro="" textlink="">
      <xdr:nvSpPr>
        <xdr:cNvPr id="32827" name="Line 59">
          <a:extLst>
            <a:ext uri="{FF2B5EF4-FFF2-40B4-BE49-F238E27FC236}">
              <a16:creationId xmlns:a16="http://schemas.microsoft.com/office/drawing/2014/main" id="{C2195F32-1832-4B78-8B8A-EB7F8B61548E}"/>
            </a:ext>
          </a:extLst>
        </xdr:cNvPr>
        <xdr:cNvSpPr>
          <a:spLocks noChangeShapeType="1"/>
        </xdr:cNvSpPr>
      </xdr:nvSpPr>
      <xdr:spPr bwMode="auto">
        <a:xfrm>
          <a:off x="2114550" y="443865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295275</xdr:rowOff>
    </xdr:from>
    <xdr:to>
      <xdr:col>5</xdr:col>
      <xdr:colOff>0</xdr:colOff>
      <xdr:row>18</xdr:row>
      <xdr:rowOff>85725</xdr:rowOff>
    </xdr:to>
    <xdr:sp macro="" textlink="">
      <xdr:nvSpPr>
        <xdr:cNvPr id="32836" name="Line 68">
          <a:extLst>
            <a:ext uri="{FF2B5EF4-FFF2-40B4-BE49-F238E27FC236}">
              <a16:creationId xmlns:a16="http://schemas.microsoft.com/office/drawing/2014/main" id="{B1C36BA7-F3BA-E388-C4ED-820D84238A24}"/>
            </a:ext>
          </a:extLst>
        </xdr:cNvPr>
        <xdr:cNvSpPr>
          <a:spLocks noChangeShapeType="1"/>
        </xdr:cNvSpPr>
      </xdr:nvSpPr>
      <xdr:spPr bwMode="auto">
        <a:xfrm>
          <a:off x="3000375" y="4295775"/>
          <a:ext cx="0" cy="857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161925</xdr:rowOff>
    </xdr:from>
    <xdr:to>
      <xdr:col>3</xdr:col>
      <xdr:colOff>0</xdr:colOff>
      <xdr:row>26</xdr:row>
      <xdr:rowOff>0</xdr:rowOff>
    </xdr:to>
    <xdr:sp macro="" textlink="">
      <xdr:nvSpPr>
        <xdr:cNvPr id="32848" name="Line 80">
          <a:extLst>
            <a:ext uri="{FF2B5EF4-FFF2-40B4-BE49-F238E27FC236}">
              <a16:creationId xmlns:a16="http://schemas.microsoft.com/office/drawing/2014/main" id="{6BC3A31B-735C-16C9-4440-4185AE30EF2D}"/>
            </a:ext>
          </a:extLst>
        </xdr:cNvPr>
        <xdr:cNvSpPr>
          <a:spLocks noChangeShapeType="1"/>
        </xdr:cNvSpPr>
      </xdr:nvSpPr>
      <xdr:spPr bwMode="auto">
        <a:xfrm>
          <a:off x="2114550" y="4600575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19</xdr:row>
      <xdr:rowOff>171450</xdr:rowOff>
    </xdr:from>
    <xdr:to>
      <xdr:col>5</xdr:col>
      <xdr:colOff>0</xdr:colOff>
      <xdr:row>26</xdr:row>
      <xdr:rowOff>9525</xdr:rowOff>
    </xdr:to>
    <xdr:sp macro="" textlink="">
      <xdr:nvSpPr>
        <xdr:cNvPr id="32849" name="Line 81">
          <a:extLst>
            <a:ext uri="{FF2B5EF4-FFF2-40B4-BE49-F238E27FC236}">
              <a16:creationId xmlns:a16="http://schemas.microsoft.com/office/drawing/2014/main" id="{B9AE55B2-4937-3578-53A0-E157CEC244E7}"/>
            </a:ext>
          </a:extLst>
        </xdr:cNvPr>
        <xdr:cNvSpPr>
          <a:spLocks noChangeShapeType="1"/>
        </xdr:cNvSpPr>
      </xdr:nvSpPr>
      <xdr:spPr bwMode="auto">
        <a:xfrm>
          <a:off x="3000375" y="4610100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9525</xdr:rowOff>
    </xdr:from>
    <xdr:to>
      <xdr:col>5</xdr:col>
      <xdr:colOff>0</xdr:colOff>
      <xdr:row>9</xdr:row>
      <xdr:rowOff>9525</xdr:rowOff>
    </xdr:to>
    <xdr:sp macro="" textlink="">
      <xdr:nvSpPr>
        <xdr:cNvPr id="32851" name="Line 83">
          <a:extLst>
            <a:ext uri="{FF2B5EF4-FFF2-40B4-BE49-F238E27FC236}">
              <a16:creationId xmlns:a16="http://schemas.microsoft.com/office/drawing/2014/main" id="{18A0EC10-1357-F3DC-973D-65ADFDED2939}"/>
            </a:ext>
          </a:extLst>
        </xdr:cNvPr>
        <xdr:cNvSpPr>
          <a:spLocks noChangeShapeType="1"/>
        </xdr:cNvSpPr>
      </xdr:nvSpPr>
      <xdr:spPr bwMode="auto">
        <a:xfrm>
          <a:off x="3000375" y="923925"/>
          <a:ext cx="0" cy="10191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123825</xdr:rowOff>
    </xdr:from>
    <xdr:to>
      <xdr:col>3</xdr:col>
      <xdr:colOff>0</xdr:colOff>
      <xdr:row>12</xdr:row>
      <xdr:rowOff>0</xdr:rowOff>
    </xdr:to>
    <xdr:sp macro="" textlink="">
      <xdr:nvSpPr>
        <xdr:cNvPr id="32864" name="Line 96">
          <a:extLst>
            <a:ext uri="{FF2B5EF4-FFF2-40B4-BE49-F238E27FC236}">
              <a16:creationId xmlns:a16="http://schemas.microsoft.com/office/drawing/2014/main" id="{AE48C72B-5433-2C53-1DC5-93CEEE1B3716}"/>
            </a:ext>
          </a:extLst>
        </xdr:cNvPr>
        <xdr:cNvSpPr>
          <a:spLocks noChangeShapeType="1"/>
        </xdr:cNvSpPr>
      </xdr:nvSpPr>
      <xdr:spPr bwMode="auto">
        <a:xfrm>
          <a:off x="2114550" y="1876425"/>
          <a:ext cx="0" cy="647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180975</xdr:rowOff>
    </xdr:from>
    <xdr:to>
      <xdr:col>5</xdr:col>
      <xdr:colOff>0</xdr:colOff>
      <xdr:row>15</xdr:row>
      <xdr:rowOff>19050</xdr:rowOff>
    </xdr:to>
    <xdr:sp macro="" textlink="">
      <xdr:nvSpPr>
        <xdr:cNvPr id="32865" name="Line 97">
          <a:extLst>
            <a:ext uri="{FF2B5EF4-FFF2-40B4-BE49-F238E27FC236}">
              <a16:creationId xmlns:a16="http://schemas.microsoft.com/office/drawing/2014/main" id="{5812D4F3-DC9C-BA07-965F-B6FA24BB222C}"/>
            </a:ext>
          </a:extLst>
        </xdr:cNvPr>
        <xdr:cNvSpPr>
          <a:spLocks noChangeShapeType="1"/>
        </xdr:cNvSpPr>
      </xdr:nvSpPr>
      <xdr:spPr bwMode="auto">
        <a:xfrm>
          <a:off x="3000375" y="1933575"/>
          <a:ext cx="0" cy="11620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95250</xdr:colOff>
      <xdr:row>34</xdr:row>
      <xdr:rowOff>0</xdr:rowOff>
    </xdr:from>
    <xdr:ext cx="95250" cy="228600"/>
    <xdr:sp macro="" textlink="">
      <xdr:nvSpPr>
        <xdr:cNvPr id="32876" name="Text Box 108">
          <a:extLst>
            <a:ext uri="{FF2B5EF4-FFF2-40B4-BE49-F238E27FC236}">
              <a16:creationId xmlns:a16="http://schemas.microsoft.com/office/drawing/2014/main" id="{1B220735-DEC5-2F05-2862-A01A28ADD5FF}"/>
            </a:ext>
          </a:extLst>
        </xdr:cNvPr>
        <xdr:cNvSpPr txBox="1">
          <a:spLocks noChangeArrowheads="1"/>
        </xdr:cNvSpPr>
      </xdr:nvSpPr>
      <xdr:spPr bwMode="auto">
        <a:xfrm>
          <a:off x="2714625" y="6648450"/>
          <a:ext cx="952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371475</xdr:colOff>
      <xdr:row>18</xdr:row>
      <xdr:rowOff>133350</xdr:rowOff>
    </xdr:from>
    <xdr:to>
      <xdr:col>5</xdr:col>
      <xdr:colOff>9525</xdr:colOff>
      <xdr:row>20</xdr:row>
      <xdr:rowOff>0</xdr:rowOff>
    </xdr:to>
    <xdr:sp macro="" textlink="">
      <xdr:nvSpPr>
        <xdr:cNvPr id="32885" name="Line 117">
          <a:extLst>
            <a:ext uri="{FF2B5EF4-FFF2-40B4-BE49-F238E27FC236}">
              <a16:creationId xmlns:a16="http://schemas.microsoft.com/office/drawing/2014/main" id="{1948517D-FA9A-D944-14C8-AC7048B318D1}"/>
            </a:ext>
          </a:extLst>
        </xdr:cNvPr>
        <xdr:cNvSpPr>
          <a:spLocks noChangeShapeType="1"/>
        </xdr:cNvSpPr>
      </xdr:nvSpPr>
      <xdr:spPr bwMode="auto">
        <a:xfrm rot="313428457" flipH="1" flipV="1">
          <a:off x="2990850" y="4429125"/>
          <a:ext cx="19050" cy="228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114300</xdr:rowOff>
    </xdr:to>
    <xdr:sp macro="" textlink="">
      <xdr:nvSpPr>
        <xdr:cNvPr id="32886" name="Line 118">
          <a:extLst>
            <a:ext uri="{FF2B5EF4-FFF2-40B4-BE49-F238E27FC236}">
              <a16:creationId xmlns:a16="http://schemas.microsoft.com/office/drawing/2014/main" id="{35B791EA-6ABE-A435-025C-2CEF2B99C146}"/>
            </a:ext>
          </a:extLst>
        </xdr:cNvPr>
        <xdr:cNvSpPr>
          <a:spLocks noChangeShapeType="1"/>
        </xdr:cNvSpPr>
      </xdr:nvSpPr>
      <xdr:spPr bwMode="auto">
        <a:xfrm flipV="1">
          <a:off x="2114550" y="4733925"/>
          <a:ext cx="0" cy="1809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9525</xdr:colOff>
      <xdr:row>8</xdr:row>
      <xdr:rowOff>0</xdr:rowOff>
    </xdr:to>
    <xdr:sp macro="" textlink="">
      <xdr:nvSpPr>
        <xdr:cNvPr id="32887" name="Line 119">
          <a:extLst>
            <a:ext uri="{FF2B5EF4-FFF2-40B4-BE49-F238E27FC236}">
              <a16:creationId xmlns:a16="http://schemas.microsoft.com/office/drawing/2014/main" id="{F6CBE54E-B972-7813-D726-BF9693573D36}"/>
            </a:ext>
          </a:extLst>
        </xdr:cNvPr>
        <xdr:cNvSpPr>
          <a:spLocks noChangeShapeType="1"/>
        </xdr:cNvSpPr>
      </xdr:nvSpPr>
      <xdr:spPr bwMode="auto">
        <a:xfrm rot="21524447" flipH="1" flipV="1">
          <a:off x="3000375" y="1571625"/>
          <a:ext cx="9525" cy="1809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9525</xdr:colOff>
      <xdr:row>7</xdr:row>
      <xdr:rowOff>104775</xdr:rowOff>
    </xdr:to>
    <xdr:sp macro="" textlink="">
      <xdr:nvSpPr>
        <xdr:cNvPr id="32888" name="Line 120">
          <a:extLst>
            <a:ext uri="{FF2B5EF4-FFF2-40B4-BE49-F238E27FC236}">
              <a16:creationId xmlns:a16="http://schemas.microsoft.com/office/drawing/2014/main" id="{E67D8135-1879-BD72-A94E-A873F369AD06}"/>
            </a:ext>
          </a:extLst>
        </xdr:cNvPr>
        <xdr:cNvSpPr>
          <a:spLocks noChangeShapeType="1"/>
        </xdr:cNvSpPr>
      </xdr:nvSpPr>
      <xdr:spPr bwMode="auto">
        <a:xfrm flipV="1">
          <a:off x="2114550" y="1571625"/>
          <a:ext cx="9525" cy="1047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9525</xdr:rowOff>
    </xdr:to>
    <xdr:sp macro="" textlink="">
      <xdr:nvSpPr>
        <xdr:cNvPr id="32897" name="Line 129">
          <a:extLst>
            <a:ext uri="{FF2B5EF4-FFF2-40B4-BE49-F238E27FC236}">
              <a16:creationId xmlns:a16="http://schemas.microsoft.com/office/drawing/2014/main" id="{B55EC3B5-7F5B-BEA4-2F78-AB121093D0B5}"/>
            </a:ext>
          </a:extLst>
        </xdr:cNvPr>
        <xdr:cNvSpPr>
          <a:spLocks noChangeShapeType="1"/>
        </xdr:cNvSpPr>
      </xdr:nvSpPr>
      <xdr:spPr bwMode="auto">
        <a:xfrm>
          <a:off x="742950" y="17526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180975</xdr:rowOff>
    </xdr:from>
    <xdr:to>
      <xdr:col>1</xdr:col>
      <xdr:colOff>28575</xdr:colOff>
      <xdr:row>9</xdr:row>
      <xdr:rowOff>0</xdr:rowOff>
    </xdr:to>
    <xdr:sp macro="" textlink="">
      <xdr:nvSpPr>
        <xdr:cNvPr id="32901" name="Line 133">
          <a:extLst>
            <a:ext uri="{FF2B5EF4-FFF2-40B4-BE49-F238E27FC236}">
              <a16:creationId xmlns:a16="http://schemas.microsoft.com/office/drawing/2014/main" id="{85B1AAC8-4174-486C-635B-A207DEF11AE0}"/>
            </a:ext>
          </a:extLst>
        </xdr:cNvPr>
        <xdr:cNvSpPr>
          <a:spLocks noChangeShapeType="1"/>
        </xdr:cNvSpPr>
      </xdr:nvSpPr>
      <xdr:spPr bwMode="auto">
        <a:xfrm flipV="1">
          <a:off x="38100" y="1933575"/>
          <a:ext cx="733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19050</xdr:rowOff>
    </xdr:from>
    <xdr:to>
      <xdr:col>0</xdr:col>
      <xdr:colOff>733425</xdr:colOff>
      <xdr:row>11</xdr:row>
      <xdr:rowOff>19050</xdr:rowOff>
    </xdr:to>
    <xdr:sp macro="" textlink="">
      <xdr:nvSpPr>
        <xdr:cNvPr id="32902" name="Line 134">
          <a:extLst>
            <a:ext uri="{FF2B5EF4-FFF2-40B4-BE49-F238E27FC236}">
              <a16:creationId xmlns:a16="http://schemas.microsoft.com/office/drawing/2014/main" id="{F236C975-392C-5B35-ACEC-D23EC8D136E1}"/>
            </a:ext>
          </a:extLst>
        </xdr:cNvPr>
        <xdr:cNvSpPr>
          <a:spLocks noChangeShapeType="1"/>
        </xdr:cNvSpPr>
      </xdr:nvSpPr>
      <xdr:spPr bwMode="auto">
        <a:xfrm>
          <a:off x="38100" y="2362200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20</xdr:row>
      <xdr:rowOff>0</xdr:rowOff>
    </xdr:from>
    <xdr:to>
      <xdr:col>1</xdr:col>
      <xdr:colOff>19050</xdr:colOff>
      <xdr:row>20</xdr:row>
      <xdr:rowOff>0</xdr:rowOff>
    </xdr:to>
    <xdr:sp macro="" textlink="">
      <xdr:nvSpPr>
        <xdr:cNvPr id="32903" name="Line 135">
          <a:extLst>
            <a:ext uri="{FF2B5EF4-FFF2-40B4-BE49-F238E27FC236}">
              <a16:creationId xmlns:a16="http://schemas.microsoft.com/office/drawing/2014/main" id="{89E0CD6B-9B42-30AE-737C-63A6B9696882}"/>
            </a:ext>
          </a:extLst>
        </xdr:cNvPr>
        <xdr:cNvSpPr>
          <a:spLocks noChangeShapeType="1"/>
        </xdr:cNvSpPr>
      </xdr:nvSpPr>
      <xdr:spPr bwMode="auto">
        <a:xfrm>
          <a:off x="9525" y="4657725"/>
          <a:ext cx="7524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23</xdr:row>
      <xdr:rowOff>9525</xdr:rowOff>
    </xdr:from>
    <xdr:to>
      <xdr:col>0</xdr:col>
      <xdr:colOff>714375</xdr:colOff>
      <xdr:row>23</xdr:row>
      <xdr:rowOff>9525</xdr:rowOff>
    </xdr:to>
    <xdr:sp macro="" textlink="">
      <xdr:nvSpPr>
        <xdr:cNvPr id="32904" name="Line 136">
          <a:extLst>
            <a:ext uri="{FF2B5EF4-FFF2-40B4-BE49-F238E27FC236}">
              <a16:creationId xmlns:a16="http://schemas.microsoft.com/office/drawing/2014/main" id="{EB42B9DC-5BAA-981F-46BD-B2EC85A2005A}"/>
            </a:ext>
          </a:extLst>
        </xdr:cNvPr>
        <xdr:cNvSpPr>
          <a:spLocks noChangeShapeType="1"/>
        </xdr:cNvSpPr>
      </xdr:nvSpPr>
      <xdr:spPr bwMode="auto">
        <a:xfrm>
          <a:off x="19050" y="5095875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7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2905" name="Line 137">
          <a:extLst>
            <a:ext uri="{FF2B5EF4-FFF2-40B4-BE49-F238E27FC236}">
              <a16:creationId xmlns:a16="http://schemas.microsoft.com/office/drawing/2014/main" id="{C4E60558-5E71-F3D8-6E1E-D6C93EB9E32D}"/>
            </a:ext>
          </a:extLst>
        </xdr:cNvPr>
        <xdr:cNvSpPr>
          <a:spLocks noChangeShapeType="1"/>
        </xdr:cNvSpPr>
      </xdr:nvSpPr>
      <xdr:spPr bwMode="auto">
        <a:xfrm>
          <a:off x="9525" y="157162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161925</xdr:rowOff>
    </xdr:from>
    <xdr:to>
      <xdr:col>3</xdr:col>
      <xdr:colOff>0</xdr:colOff>
      <xdr:row>15</xdr:row>
      <xdr:rowOff>28575</xdr:rowOff>
    </xdr:to>
    <xdr:sp macro="" textlink="">
      <xdr:nvSpPr>
        <xdr:cNvPr id="32913" name="Line 145">
          <a:extLst>
            <a:ext uri="{FF2B5EF4-FFF2-40B4-BE49-F238E27FC236}">
              <a16:creationId xmlns:a16="http://schemas.microsoft.com/office/drawing/2014/main" id="{8A0394EE-F329-BE3E-58DE-0381E1F8D961}"/>
            </a:ext>
          </a:extLst>
        </xdr:cNvPr>
        <xdr:cNvSpPr>
          <a:spLocks noChangeShapeType="1"/>
        </xdr:cNvSpPr>
      </xdr:nvSpPr>
      <xdr:spPr bwMode="auto">
        <a:xfrm>
          <a:off x="2114550" y="25050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19</xdr:row>
      <xdr:rowOff>19050</xdr:rowOff>
    </xdr:from>
    <xdr:to>
      <xdr:col>1</xdr:col>
      <xdr:colOff>9525</xdr:colOff>
      <xdr:row>19</xdr:row>
      <xdr:rowOff>19050</xdr:rowOff>
    </xdr:to>
    <xdr:sp macro="" textlink="">
      <xdr:nvSpPr>
        <xdr:cNvPr id="32927" name="Line 159">
          <a:extLst>
            <a:ext uri="{FF2B5EF4-FFF2-40B4-BE49-F238E27FC236}">
              <a16:creationId xmlns:a16="http://schemas.microsoft.com/office/drawing/2014/main" id="{BB0E4F20-F3B5-9ED3-09C1-147000DAF2CA}"/>
            </a:ext>
          </a:extLst>
        </xdr:cNvPr>
        <xdr:cNvSpPr>
          <a:spLocks noChangeShapeType="1"/>
        </xdr:cNvSpPr>
      </xdr:nvSpPr>
      <xdr:spPr bwMode="auto">
        <a:xfrm>
          <a:off x="752475" y="4457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19050</xdr:colOff>
      <xdr:row>19</xdr:row>
      <xdr:rowOff>19050</xdr:rowOff>
    </xdr:from>
    <xdr:to>
      <xdr:col>1</xdr:col>
      <xdr:colOff>19050</xdr:colOff>
      <xdr:row>19</xdr:row>
      <xdr:rowOff>209550</xdr:rowOff>
    </xdr:to>
    <xdr:sp macro="" textlink="">
      <xdr:nvSpPr>
        <xdr:cNvPr id="32928" name="Line 160">
          <a:extLst>
            <a:ext uri="{FF2B5EF4-FFF2-40B4-BE49-F238E27FC236}">
              <a16:creationId xmlns:a16="http://schemas.microsoft.com/office/drawing/2014/main" id="{CCB2F19A-C9A5-6970-6908-E062A13CAC6B}"/>
            </a:ext>
          </a:extLst>
        </xdr:cNvPr>
        <xdr:cNvSpPr>
          <a:spLocks noChangeShapeType="1"/>
        </xdr:cNvSpPr>
      </xdr:nvSpPr>
      <xdr:spPr bwMode="auto">
        <a:xfrm>
          <a:off x="762000" y="44577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19050</xdr:rowOff>
    </xdr:from>
    <xdr:to>
      <xdr:col>1</xdr:col>
      <xdr:colOff>9525</xdr:colOff>
      <xdr:row>23</xdr:row>
      <xdr:rowOff>9525</xdr:rowOff>
    </xdr:to>
    <xdr:sp macro="" textlink="">
      <xdr:nvSpPr>
        <xdr:cNvPr id="32929" name="Line 161">
          <a:extLst>
            <a:ext uri="{FF2B5EF4-FFF2-40B4-BE49-F238E27FC236}">
              <a16:creationId xmlns:a16="http://schemas.microsoft.com/office/drawing/2014/main" id="{514D5967-1E9B-C1D6-AFF2-5CD1E2B1C479}"/>
            </a:ext>
          </a:extLst>
        </xdr:cNvPr>
        <xdr:cNvSpPr>
          <a:spLocks noChangeShapeType="1"/>
        </xdr:cNvSpPr>
      </xdr:nvSpPr>
      <xdr:spPr bwMode="auto">
        <a:xfrm>
          <a:off x="752475" y="496252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25</xdr:row>
      <xdr:rowOff>171450</xdr:rowOff>
    </xdr:from>
    <xdr:to>
      <xdr:col>2</xdr:col>
      <xdr:colOff>742950</xdr:colOff>
      <xdr:row>25</xdr:row>
      <xdr:rowOff>171450</xdr:rowOff>
    </xdr:to>
    <xdr:sp macro="" textlink="">
      <xdr:nvSpPr>
        <xdr:cNvPr id="32937" name="Line 169">
          <a:extLst>
            <a:ext uri="{FF2B5EF4-FFF2-40B4-BE49-F238E27FC236}">
              <a16:creationId xmlns:a16="http://schemas.microsoft.com/office/drawing/2014/main" id="{8192A1A9-298E-29EE-0543-1DE60628737E}"/>
            </a:ext>
          </a:extLst>
        </xdr:cNvPr>
        <xdr:cNvSpPr>
          <a:spLocks noChangeShapeType="1"/>
        </xdr:cNvSpPr>
      </xdr:nvSpPr>
      <xdr:spPr bwMode="auto">
        <a:xfrm>
          <a:off x="9525" y="5505450"/>
          <a:ext cx="2105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19050</xdr:rowOff>
    </xdr:from>
    <xdr:to>
      <xdr:col>1</xdr:col>
      <xdr:colOff>0</xdr:colOff>
      <xdr:row>26</xdr:row>
      <xdr:rowOff>0</xdr:rowOff>
    </xdr:to>
    <xdr:sp macro="" textlink="">
      <xdr:nvSpPr>
        <xdr:cNvPr id="32939" name="Line 171">
          <a:extLst>
            <a:ext uri="{FF2B5EF4-FFF2-40B4-BE49-F238E27FC236}">
              <a16:creationId xmlns:a16="http://schemas.microsoft.com/office/drawing/2014/main" id="{3DF85340-02C8-D8D8-975E-B19ED7E6C1DC}"/>
            </a:ext>
          </a:extLst>
        </xdr:cNvPr>
        <xdr:cNvSpPr>
          <a:spLocks noChangeShapeType="1"/>
        </xdr:cNvSpPr>
      </xdr:nvSpPr>
      <xdr:spPr bwMode="auto">
        <a:xfrm>
          <a:off x="742950" y="5353050"/>
          <a:ext cx="0" cy="1619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219075</xdr:colOff>
      <xdr:row>25</xdr:row>
      <xdr:rowOff>19050</xdr:rowOff>
    </xdr:from>
    <xdr:ext cx="457200" cy="171450"/>
    <xdr:sp macro="" textlink="">
      <xdr:nvSpPr>
        <xdr:cNvPr id="32945" name="Text Box 177">
          <a:extLst>
            <a:ext uri="{FF2B5EF4-FFF2-40B4-BE49-F238E27FC236}">
              <a16:creationId xmlns:a16="http://schemas.microsoft.com/office/drawing/2014/main" id="{98DF401B-6292-3BFB-E29B-CD9D3E8A4DAA}"/>
            </a:ext>
          </a:extLst>
        </xdr:cNvPr>
        <xdr:cNvSpPr txBox="1">
          <a:spLocks noChangeArrowheads="1"/>
        </xdr:cNvSpPr>
      </xdr:nvSpPr>
      <xdr:spPr bwMode="auto">
        <a:xfrm>
          <a:off x="2333625" y="5353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19050</xdr:colOff>
      <xdr:row>5</xdr:row>
      <xdr:rowOff>9525</xdr:rowOff>
    </xdr:from>
    <xdr:to>
      <xdr:col>1</xdr:col>
      <xdr:colOff>19050</xdr:colOff>
      <xdr:row>5</xdr:row>
      <xdr:rowOff>9525</xdr:rowOff>
    </xdr:to>
    <xdr:sp macro="" textlink="">
      <xdr:nvSpPr>
        <xdr:cNvPr id="32946" name="Line 178">
          <a:extLst>
            <a:ext uri="{FF2B5EF4-FFF2-40B4-BE49-F238E27FC236}">
              <a16:creationId xmlns:a16="http://schemas.microsoft.com/office/drawing/2014/main" id="{7E126E0F-311D-6410-34B7-D699B9D0D787}"/>
            </a:ext>
          </a:extLst>
        </xdr:cNvPr>
        <xdr:cNvSpPr>
          <a:spLocks noChangeShapeType="1"/>
        </xdr:cNvSpPr>
      </xdr:nvSpPr>
      <xdr:spPr bwMode="auto">
        <a:xfrm>
          <a:off x="19050" y="113347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209550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>
          <a:extLst>
            <a:ext uri="{FF2B5EF4-FFF2-40B4-BE49-F238E27FC236}">
              <a16:creationId xmlns:a16="http://schemas.microsoft.com/office/drawing/2014/main" id="{F45B6D37-2F4D-7D93-1AF6-613B8AF40659}"/>
            </a:ext>
          </a:extLst>
        </xdr:cNvPr>
        <xdr:cNvSpPr>
          <a:spLocks noChangeShapeType="1"/>
        </xdr:cNvSpPr>
      </xdr:nvSpPr>
      <xdr:spPr bwMode="auto">
        <a:xfrm>
          <a:off x="742950" y="2143125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4</xdr:row>
      <xdr:rowOff>0</xdr:rowOff>
    </xdr:from>
    <xdr:to>
      <xdr:col>2</xdr:col>
      <xdr:colOff>752475</xdr:colOff>
      <xdr:row>4</xdr:row>
      <xdr:rowOff>0</xdr:rowOff>
    </xdr:to>
    <xdr:sp macro="" textlink="">
      <xdr:nvSpPr>
        <xdr:cNvPr id="32949" name="Line 181">
          <a:extLst>
            <a:ext uri="{FF2B5EF4-FFF2-40B4-BE49-F238E27FC236}">
              <a16:creationId xmlns:a16="http://schemas.microsoft.com/office/drawing/2014/main" id="{3BDFDB61-6402-8FF7-C845-81FCDB690F65}"/>
            </a:ext>
          </a:extLst>
        </xdr:cNvPr>
        <xdr:cNvSpPr>
          <a:spLocks noChangeShapeType="1"/>
        </xdr:cNvSpPr>
      </xdr:nvSpPr>
      <xdr:spPr bwMode="auto">
        <a:xfrm>
          <a:off x="752475" y="9144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5</xdr:row>
      <xdr:rowOff>9525</xdr:rowOff>
    </xdr:from>
    <xdr:to>
      <xdr:col>5</xdr:col>
      <xdr:colOff>9525</xdr:colOff>
      <xdr:row>5</xdr:row>
      <xdr:rowOff>9525</xdr:rowOff>
    </xdr:to>
    <xdr:sp macro="" textlink="">
      <xdr:nvSpPr>
        <xdr:cNvPr id="32950" name="Line 182">
          <a:extLst>
            <a:ext uri="{FF2B5EF4-FFF2-40B4-BE49-F238E27FC236}">
              <a16:creationId xmlns:a16="http://schemas.microsoft.com/office/drawing/2014/main" id="{21680CDF-A72B-A307-6C3D-51A6DED9855A}"/>
            </a:ext>
          </a:extLst>
        </xdr:cNvPr>
        <xdr:cNvSpPr>
          <a:spLocks noChangeShapeType="1"/>
        </xdr:cNvSpPr>
      </xdr:nvSpPr>
      <xdr:spPr bwMode="auto">
        <a:xfrm flipV="1">
          <a:off x="752475" y="1133475"/>
          <a:ext cx="2257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590550</xdr:colOff>
      <xdr:row>4</xdr:row>
      <xdr:rowOff>19050</xdr:rowOff>
    </xdr:from>
    <xdr:ext cx="323850" cy="171450"/>
    <xdr:sp macro="" textlink="">
      <xdr:nvSpPr>
        <xdr:cNvPr id="32952" name="Text Box 184">
          <a:extLst>
            <a:ext uri="{FF2B5EF4-FFF2-40B4-BE49-F238E27FC236}">
              <a16:creationId xmlns:a16="http://schemas.microsoft.com/office/drawing/2014/main" id="{31C571A9-79B6-58D1-4D05-B82D1986E251}"/>
            </a:ext>
          </a:extLst>
        </xdr:cNvPr>
        <xdr:cNvSpPr txBox="1">
          <a:spLocks noChangeArrowheads="1"/>
        </xdr:cNvSpPr>
      </xdr:nvSpPr>
      <xdr:spPr bwMode="auto">
        <a:xfrm>
          <a:off x="1333500" y="933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314325</xdr:colOff>
      <xdr:row>4</xdr:row>
      <xdr:rowOff>142875</xdr:rowOff>
    </xdr:from>
    <xdr:ext cx="457200" cy="171450"/>
    <xdr:sp macro="" textlink="">
      <xdr:nvSpPr>
        <xdr:cNvPr id="32953" name="Text Box 185">
          <a:extLst>
            <a:ext uri="{FF2B5EF4-FFF2-40B4-BE49-F238E27FC236}">
              <a16:creationId xmlns:a16="http://schemas.microsoft.com/office/drawing/2014/main" id="{77423737-C295-4B28-2B30-13398CA692CD}"/>
            </a:ext>
          </a:extLst>
        </xdr:cNvPr>
        <xdr:cNvSpPr txBox="1">
          <a:spLocks noChangeArrowheads="1"/>
        </xdr:cNvSpPr>
      </xdr:nvSpPr>
      <xdr:spPr bwMode="auto">
        <a:xfrm>
          <a:off x="2428875" y="1057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9525</xdr:colOff>
      <xdr:row>29</xdr:row>
      <xdr:rowOff>0</xdr:rowOff>
    </xdr:from>
    <xdr:to>
      <xdr:col>5</xdr:col>
      <xdr:colOff>9525</xdr:colOff>
      <xdr:row>29</xdr:row>
      <xdr:rowOff>0</xdr:rowOff>
    </xdr:to>
    <xdr:sp macro="" textlink="">
      <xdr:nvSpPr>
        <xdr:cNvPr id="32954" name="Line 186">
          <a:extLst>
            <a:ext uri="{FF2B5EF4-FFF2-40B4-BE49-F238E27FC236}">
              <a16:creationId xmlns:a16="http://schemas.microsoft.com/office/drawing/2014/main" id="{41922671-B7CB-780A-1FD4-500EAFDED6F9}"/>
            </a:ext>
          </a:extLst>
        </xdr:cNvPr>
        <xdr:cNvSpPr>
          <a:spLocks noChangeShapeType="1"/>
        </xdr:cNvSpPr>
      </xdr:nvSpPr>
      <xdr:spPr bwMode="auto">
        <a:xfrm>
          <a:off x="9525" y="5924550"/>
          <a:ext cx="30003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19050</xdr:rowOff>
    </xdr:from>
    <xdr:to>
      <xdr:col>2</xdr:col>
      <xdr:colOff>752475</xdr:colOff>
      <xdr:row>28</xdr:row>
      <xdr:rowOff>19050</xdr:rowOff>
    </xdr:to>
    <xdr:sp macro="" textlink="">
      <xdr:nvSpPr>
        <xdr:cNvPr id="32958" name="Line 190">
          <a:extLst>
            <a:ext uri="{FF2B5EF4-FFF2-40B4-BE49-F238E27FC236}">
              <a16:creationId xmlns:a16="http://schemas.microsoft.com/office/drawing/2014/main" id="{45F65DED-CED5-4122-0A26-33ADE9EE5F2F}"/>
            </a:ext>
          </a:extLst>
        </xdr:cNvPr>
        <xdr:cNvSpPr>
          <a:spLocks noChangeShapeType="1"/>
        </xdr:cNvSpPr>
      </xdr:nvSpPr>
      <xdr:spPr bwMode="auto">
        <a:xfrm>
          <a:off x="742950" y="580072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25</xdr:row>
      <xdr:rowOff>152400</xdr:rowOff>
    </xdr:from>
    <xdr:to>
      <xdr:col>2</xdr:col>
      <xdr:colOff>752475</xdr:colOff>
      <xdr:row>28</xdr:row>
      <xdr:rowOff>180975</xdr:rowOff>
    </xdr:to>
    <xdr:sp macro="" textlink="">
      <xdr:nvSpPr>
        <xdr:cNvPr id="32959" name="Line 191">
          <a:extLst>
            <a:ext uri="{FF2B5EF4-FFF2-40B4-BE49-F238E27FC236}">
              <a16:creationId xmlns:a16="http://schemas.microsoft.com/office/drawing/2014/main" id="{DEBCBB02-8E8E-C68C-394D-7F83D64F19F8}"/>
            </a:ext>
          </a:extLst>
        </xdr:cNvPr>
        <xdr:cNvSpPr>
          <a:spLocks noChangeShapeType="1"/>
        </xdr:cNvSpPr>
      </xdr:nvSpPr>
      <xdr:spPr bwMode="auto">
        <a:xfrm>
          <a:off x="2114550" y="5486400"/>
          <a:ext cx="0" cy="4381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28</xdr:row>
      <xdr:rowOff>9525</xdr:rowOff>
    </xdr:from>
    <xdr:to>
      <xdr:col>1</xdr:col>
      <xdr:colOff>9525</xdr:colOff>
      <xdr:row>29</xdr:row>
      <xdr:rowOff>0</xdr:rowOff>
    </xdr:to>
    <xdr:sp macro="" textlink="">
      <xdr:nvSpPr>
        <xdr:cNvPr id="32960" name="Line 192">
          <a:extLst>
            <a:ext uri="{FF2B5EF4-FFF2-40B4-BE49-F238E27FC236}">
              <a16:creationId xmlns:a16="http://schemas.microsoft.com/office/drawing/2014/main" id="{057260E0-3B01-13C9-D4FD-213EAE917C97}"/>
            </a:ext>
          </a:extLst>
        </xdr:cNvPr>
        <xdr:cNvSpPr>
          <a:spLocks noChangeShapeType="1"/>
        </xdr:cNvSpPr>
      </xdr:nvSpPr>
      <xdr:spPr bwMode="auto">
        <a:xfrm flipH="1" flipV="1">
          <a:off x="752475" y="5791200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161925</xdr:rowOff>
    </xdr:from>
    <xdr:to>
      <xdr:col>5</xdr:col>
      <xdr:colOff>0</xdr:colOff>
      <xdr:row>28</xdr:row>
      <xdr:rowOff>171450</xdr:rowOff>
    </xdr:to>
    <xdr:sp macro="" textlink="">
      <xdr:nvSpPr>
        <xdr:cNvPr id="32961" name="Line 193">
          <a:extLst>
            <a:ext uri="{FF2B5EF4-FFF2-40B4-BE49-F238E27FC236}">
              <a16:creationId xmlns:a16="http://schemas.microsoft.com/office/drawing/2014/main" id="{E82D1DD2-E406-6C22-1D45-0EABE1B9399F}"/>
            </a:ext>
          </a:extLst>
        </xdr:cNvPr>
        <xdr:cNvSpPr>
          <a:spLocks noChangeShapeType="1"/>
        </xdr:cNvSpPr>
      </xdr:nvSpPr>
      <xdr:spPr bwMode="auto">
        <a:xfrm flipV="1">
          <a:off x="3000375" y="5495925"/>
          <a:ext cx="0" cy="4286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>
          <a:extLst>
            <a:ext uri="{FF2B5EF4-FFF2-40B4-BE49-F238E27FC236}">
              <a16:creationId xmlns:a16="http://schemas.microsoft.com/office/drawing/2014/main" id="{47471380-CD04-0E72-AD56-E0F384F8385E}"/>
            </a:ext>
          </a:extLst>
        </xdr:cNvPr>
        <xdr:cNvSpPr>
          <a:spLocks noChangeShapeType="1"/>
        </xdr:cNvSpPr>
      </xdr:nvSpPr>
      <xdr:spPr bwMode="auto">
        <a:xfrm>
          <a:off x="733425" y="6276975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209550</xdr:rowOff>
    </xdr:from>
    <xdr:to>
      <xdr:col>1</xdr:col>
      <xdr:colOff>0</xdr:colOff>
      <xdr:row>31</xdr:row>
      <xdr:rowOff>171450</xdr:rowOff>
    </xdr:to>
    <xdr:sp macro="" textlink="">
      <xdr:nvSpPr>
        <xdr:cNvPr id="32965" name="Line 197">
          <a:extLst>
            <a:ext uri="{FF2B5EF4-FFF2-40B4-BE49-F238E27FC236}">
              <a16:creationId xmlns:a16="http://schemas.microsoft.com/office/drawing/2014/main" id="{867C8437-2186-30C2-3E3D-141B368B24B9}"/>
            </a:ext>
          </a:extLst>
        </xdr:cNvPr>
        <xdr:cNvSpPr>
          <a:spLocks noChangeShapeType="1"/>
        </xdr:cNvSpPr>
      </xdr:nvSpPr>
      <xdr:spPr bwMode="auto">
        <a:xfrm>
          <a:off x="742950" y="626745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28</xdr:row>
      <xdr:rowOff>171450</xdr:rowOff>
    </xdr:from>
    <xdr:to>
      <xdr:col>2</xdr:col>
      <xdr:colOff>752475</xdr:colOff>
      <xdr:row>32</xdr:row>
      <xdr:rowOff>0</xdr:rowOff>
    </xdr:to>
    <xdr:sp macro="" textlink="">
      <xdr:nvSpPr>
        <xdr:cNvPr id="32967" name="Line 199">
          <a:extLst>
            <a:ext uri="{FF2B5EF4-FFF2-40B4-BE49-F238E27FC236}">
              <a16:creationId xmlns:a16="http://schemas.microsoft.com/office/drawing/2014/main" id="{A5DA4EBE-D5BF-6118-3DC4-D4883F40AA62}"/>
            </a:ext>
          </a:extLst>
        </xdr:cNvPr>
        <xdr:cNvSpPr>
          <a:spLocks noChangeShapeType="1"/>
        </xdr:cNvSpPr>
      </xdr:nvSpPr>
      <xdr:spPr bwMode="auto">
        <a:xfrm>
          <a:off x="2114550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142875</xdr:rowOff>
    </xdr:from>
    <xdr:to>
      <xdr:col>5</xdr:col>
      <xdr:colOff>0</xdr:colOff>
      <xdr:row>32</xdr:row>
      <xdr:rowOff>0</xdr:rowOff>
    </xdr:to>
    <xdr:sp macro="" textlink="">
      <xdr:nvSpPr>
        <xdr:cNvPr id="32968" name="Line 200">
          <a:extLst>
            <a:ext uri="{FF2B5EF4-FFF2-40B4-BE49-F238E27FC236}">
              <a16:creationId xmlns:a16="http://schemas.microsoft.com/office/drawing/2014/main" id="{BC4AF497-C607-DA78-9E5A-0455A6A80B95}"/>
            </a:ext>
          </a:extLst>
        </xdr:cNvPr>
        <xdr:cNvSpPr>
          <a:spLocks noChangeShapeType="1"/>
        </xdr:cNvSpPr>
      </xdr:nvSpPr>
      <xdr:spPr bwMode="auto">
        <a:xfrm>
          <a:off x="3000375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35</xdr:row>
      <xdr:rowOff>0</xdr:rowOff>
    </xdr:from>
    <xdr:to>
      <xdr:col>5</xdr:col>
      <xdr:colOff>9525</xdr:colOff>
      <xdr:row>35</xdr:row>
      <xdr:rowOff>0</xdr:rowOff>
    </xdr:to>
    <xdr:sp macro="" textlink="">
      <xdr:nvSpPr>
        <xdr:cNvPr id="32969" name="Line 201">
          <a:extLst>
            <a:ext uri="{FF2B5EF4-FFF2-40B4-BE49-F238E27FC236}">
              <a16:creationId xmlns:a16="http://schemas.microsoft.com/office/drawing/2014/main" id="{AE9E2A3D-1D55-369D-B905-18B62FFB6360}"/>
            </a:ext>
          </a:extLst>
        </xdr:cNvPr>
        <xdr:cNvSpPr>
          <a:spLocks noChangeShapeType="1"/>
        </xdr:cNvSpPr>
      </xdr:nvSpPr>
      <xdr:spPr bwMode="auto">
        <a:xfrm>
          <a:off x="19050" y="6791325"/>
          <a:ext cx="29908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19050</xdr:rowOff>
    </xdr:from>
    <xdr:to>
      <xdr:col>3</xdr:col>
      <xdr:colOff>0</xdr:colOff>
      <xdr:row>34</xdr:row>
      <xdr:rowOff>19050</xdr:rowOff>
    </xdr:to>
    <xdr:sp macro="" textlink="">
      <xdr:nvSpPr>
        <xdr:cNvPr id="32970" name="Line 202">
          <a:extLst>
            <a:ext uri="{FF2B5EF4-FFF2-40B4-BE49-F238E27FC236}">
              <a16:creationId xmlns:a16="http://schemas.microsoft.com/office/drawing/2014/main" id="{29C5E087-BDD0-4F80-9344-7AD578023AA6}"/>
            </a:ext>
          </a:extLst>
        </xdr:cNvPr>
        <xdr:cNvSpPr>
          <a:spLocks noChangeShapeType="1"/>
        </xdr:cNvSpPr>
      </xdr:nvSpPr>
      <xdr:spPr bwMode="auto">
        <a:xfrm>
          <a:off x="733425" y="6667500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9525</xdr:rowOff>
    </xdr:from>
    <xdr:to>
      <xdr:col>0</xdr:col>
      <xdr:colOff>733425</xdr:colOff>
      <xdr:row>34</xdr:row>
      <xdr:rowOff>180975</xdr:rowOff>
    </xdr:to>
    <xdr:sp macro="" textlink="">
      <xdr:nvSpPr>
        <xdr:cNvPr id="32971" name="Line 203">
          <a:extLst>
            <a:ext uri="{FF2B5EF4-FFF2-40B4-BE49-F238E27FC236}">
              <a16:creationId xmlns:a16="http://schemas.microsoft.com/office/drawing/2014/main" id="{79565AA0-ACF1-AFF2-ADBE-E3820E653248}"/>
            </a:ext>
          </a:extLst>
        </xdr:cNvPr>
        <xdr:cNvSpPr>
          <a:spLocks noChangeShapeType="1"/>
        </xdr:cNvSpPr>
      </xdr:nvSpPr>
      <xdr:spPr bwMode="auto">
        <a:xfrm>
          <a:off x="733425" y="665797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31</xdr:row>
      <xdr:rowOff>180975</xdr:rowOff>
    </xdr:from>
    <xdr:to>
      <xdr:col>2</xdr:col>
      <xdr:colOff>752475</xdr:colOff>
      <xdr:row>34</xdr:row>
      <xdr:rowOff>180975</xdr:rowOff>
    </xdr:to>
    <xdr:sp macro="" textlink="">
      <xdr:nvSpPr>
        <xdr:cNvPr id="32972" name="Line 204">
          <a:extLst>
            <a:ext uri="{FF2B5EF4-FFF2-40B4-BE49-F238E27FC236}">
              <a16:creationId xmlns:a16="http://schemas.microsoft.com/office/drawing/2014/main" id="{1AEE8CBE-8E76-8C75-BACB-21C69DB86F48}"/>
            </a:ext>
          </a:extLst>
        </xdr:cNvPr>
        <xdr:cNvSpPr>
          <a:spLocks noChangeShapeType="1"/>
        </xdr:cNvSpPr>
      </xdr:nvSpPr>
      <xdr:spPr bwMode="auto">
        <a:xfrm>
          <a:off x="2114550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161925</xdr:rowOff>
    </xdr:from>
    <xdr:to>
      <xdr:col>5</xdr:col>
      <xdr:colOff>0</xdr:colOff>
      <xdr:row>34</xdr:row>
      <xdr:rowOff>180975</xdr:rowOff>
    </xdr:to>
    <xdr:sp macro="" textlink="">
      <xdr:nvSpPr>
        <xdr:cNvPr id="32973" name="Line 205">
          <a:extLst>
            <a:ext uri="{FF2B5EF4-FFF2-40B4-BE49-F238E27FC236}">
              <a16:creationId xmlns:a16="http://schemas.microsoft.com/office/drawing/2014/main" id="{13629363-7FE8-15B2-E629-528695E41419}"/>
            </a:ext>
          </a:extLst>
        </xdr:cNvPr>
        <xdr:cNvSpPr>
          <a:spLocks noChangeShapeType="1"/>
        </xdr:cNvSpPr>
      </xdr:nvSpPr>
      <xdr:spPr bwMode="auto">
        <a:xfrm>
          <a:off x="3000375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31</xdr:row>
      <xdr:rowOff>95250</xdr:rowOff>
    </xdr:from>
    <xdr:to>
      <xdr:col>6</xdr:col>
      <xdr:colOff>0</xdr:colOff>
      <xdr:row>31</xdr:row>
      <xdr:rowOff>95250</xdr:rowOff>
    </xdr:to>
    <xdr:sp macro="" textlink="">
      <xdr:nvSpPr>
        <xdr:cNvPr id="32974" name="Line 206">
          <a:extLst>
            <a:ext uri="{FF2B5EF4-FFF2-40B4-BE49-F238E27FC236}">
              <a16:creationId xmlns:a16="http://schemas.microsoft.com/office/drawing/2014/main" id="{DACA4ECD-0328-4A3C-6D71-15121FE2456F}"/>
            </a:ext>
          </a:extLst>
        </xdr:cNvPr>
        <xdr:cNvSpPr>
          <a:spLocks noChangeShapeType="1"/>
        </xdr:cNvSpPr>
      </xdr:nvSpPr>
      <xdr:spPr bwMode="auto">
        <a:xfrm>
          <a:off x="3009900" y="6372225"/>
          <a:ext cx="4381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34</xdr:row>
      <xdr:rowOff>85725</xdr:rowOff>
    </xdr:from>
    <xdr:to>
      <xdr:col>5</xdr:col>
      <xdr:colOff>752475</xdr:colOff>
      <xdr:row>34</xdr:row>
      <xdr:rowOff>85725</xdr:rowOff>
    </xdr:to>
    <xdr:sp macro="" textlink="">
      <xdr:nvSpPr>
        <xdr:cNvPr id="32975" name="Line 207">
          <a:extLst>
            <a:ext uri="{FF2B5EF4-FFF2-40B4-BE49-F238E27FC236}">
              <a16:creationId xmlns:a16="http://schemas.microsoft.com/office/drawing/2014/main" id="{A367CD24-3350-79A7-F180-DF32198F7CBA}"/>
            </a:ext>
          </a:extLst>
        </xdr:cNvPr>
        <xdr:cNvSpPr>
          <a:spLocks noChangeShapeType="1"/>
        </xdr:cNvSpPr>
      </xdr:nvSpPr>
      <xdr:spPr bwMode="auto">
        <a:xfrm>
          <a:off x="3000375" y="6734175"/>
          <a:ext cx="4476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32</xdr:row>
      <xdr:rowOff>0</xdr:rowOff>
    </xdr:from>
    <xdr:to>
      <xdr:col>4</xdr:col>
      <xdr:colOff>361950</xdr:colOff>
      <xdr:row>32</xdr:row>
      <xdr:rowOff>0</xdr:rowOff>
    </xdr:to>
    <xdr:sp macro="" textlink="">
      <xdr:nvSpPr>
        <xdr:cNvPr id="32979" name="Line 211">
          <a:extLst>
            <a:ext uri="{FF2B5EF4-FFF2-40B4-BE49-F238E27FC236}">
              <a16:creationId xmlns:a16="http://schemas.microsoft.com/office/drawing/2014/main" id="{3884F6D2-92E8-05CA-C50B-99B2C2968290}"/>
            </a:ext>
          </a:extLst>
        </xdr:cNvPr>
        <xdr:cNvSpPr>
          <a:spLocks noChangeShapeType="1"/>
        </xdr:cNvSpPr>
      </xdr:nvSpPr>
      <xdr:spPr bwMode="auto">
        <a:xfrm>
          <a:off x="19050" y="6419850"/>
          <a:ext cx="2962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19050</xdr:colOff>
      <xdr:row>19</xdr:row>
      <xdr:rowOff>0</xdr:rowOff>
    </xdr:from>
    <xdr:ext cx="457200" cy="171450"/>
    <xdr:sp macro="" textlink="">
      <xdr:nvSpPr>
        <xdr:cNvPr id="32984" name="Text Box 216">
          <a:extLst>
            <a:ext uri="{FF2B5EF4-FFF2-40B4-BE49-F238E27FC236}">
              <a16:creationId xmlns:a16="http://schemas.microsoft.com/office/drawing/2014/main" id="{DC29B175-D7EB-497A-6744-C46C36BC2AC1}"/>
            </a:ext>
          </a:extLst>
        </xdr:cNvPr>
        <xdr:cNvSpPr txBox="1">
          <a:spLocks noChangeArrowheads="1"/>
        </xdr:cNvSpPr>
      </xdr:nvSpPr>
      <xdr:spPr bwMode="auto">
        <a:xfrm>
          <a:off x="1457325" y="44386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0</xdr:colOff>
      <xdr:row>21</xdr:row>
      <xdr:rowOff>28575</xdr:rowOff>
    </xdr:from>
    <xdr:ext cx="323850" cy="171450"/>
    <xdr:sp macro="" textlink="">
      <xdr:nvSpPr>
        <xdr:cNvPr id="32985" name="Text Box 217">
          <a:extLst>
            <a:ext uri="{FF2B5EF4-FFF2-40B4-BE49-F238E27FC236}">
              <a16:creationId xmlns:a16="http://schemas.microsoft.com/office/drawing/2014/main" id="{10911E37-00A8-6F3D-A556-60680B6B9AB8}"/>
            </a:ext>
          </a:extLst>
        </xdr:cNvPr>
        <xdr:cNvSpPr txBox="1">
          <a:spLocks noChangeArrowheads="1"/>
        </xdr:cNvSpPr>
      </xdr:nvSpPr>
      <xdr:spPr bwMode="auto">
        <a:xfrm>
          <a:off x="1438275" y="48291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23</xdr:row>
      <xdr:rowOff>76200</xdr:rowOff>
    </xdr:from>
    <xdr:ext cx="323850" cy="171450"/>
    <xdr:sp macro="" textlink="">
      <xdr:nvSpPr>
        <xdr:cNvPr id="32986" name="Text Box 218">
          <a:extLst>
            <a:ext uri="{FF2B5EF4-FFF2-40B4-BE49-F238E27FC236}">
              <a16:creationId xmlns:a16="http://schemas.microsoft.com/office/drawing/2014/main" id="{ED0B62BA-26B0-3988-7E93-2739FD5297D5}"/>
            </a:ext>
          </a:extLst>
        </xdr:cNvPr>
        <xdr:cNvSpPr txBox="1">
          <a:spLocks noChangeArrowheads="1"/>
        </xdr:cNvSpPr>
      </xdr:nvSpPr>
      <xdr:spPr bwMode="auto">
        <a:xfrm>
          <a:off x="1457325" y="516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27</xdr:row>
      <xdr:rowOff>19050</xdr:rowOff>
    </xdr:from>
    <xdr:ext cx="323850" cy="171450"/>
    <xdr:sp macro="" textlink="">
      <xdr:nvSpPr>
        <xdr:cNvPr id="32987" name="Text Box 219">
          <a:extLst>
            <a:ext uri="{FF2B5EF4-FFF2-40B4-BE49-F238E27FC236}">
              <a16:creationId xmlns:a16="http://schemas.microsoft.com/office/drawing/2014/main" id="{BF000893-177D-4B38-FA79-8934369A0686}"/>
            </a:ext>
          </a:extLst>
        </xdr:cNvPr>
        <xdr:cNvSpPr txBox="1">
          <a:spLocks noChangeArrowheads="1"/>
        </xdr:cNvSpPr>
      </xdr:nvSpPr>
      <xdr:spPr bwMode="auto">
        <a:xfrm>
          <a:off x="1457325" y="56388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19050</xdr:rowOff>
    </xdr:from>
    <xdr:ext cx="457200" cy="171450"/>
    <xdr:sp macro="" textlink="">
      <xdr:nvSpPr>
        <xdr:cNvPr id="32988" name="Text Box 220">
          <a:extLst>
            <a:ext uri="{FF2B5EF4-FFF2-40B4-BE49-F238E27FC236}">
              <a16:creationId xmlns:a16="http://schemas.microsoft.com/office/drawing/2014/main" id="{3AEF845E-B56D-92E8-86E3-F461DBB50E56}"/>
            </a:ext>
          </a:extLst>
        </xdr:cNvPr>
        <xdr:cNvSpPr txBox="1">
          <a:spLocks noChangeArrowheads="1"/>
        </xdr:cNvSpPr>
      </xdr:nvSpPr>
      <xdr:spPr bwMode="auto">
        <a:xfrm>
          <a:off x="2305050" y="58007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19050</xdr:colOff>
      <xdr:row>30</xdr:row>
      <xdr:rowOff>28575</xdr:rowOff>
    </xdr:from>
    <xdr:ext cx="323850" cy="171450"/>
    <xdr:sp macro="" textlink="">
      <xdr:nvSpPr>
        <xdr:cNvPr id="32989" name="Text Box 221">
          <a:extLst>
            <a:ext uri="{FF2B5EF4-FFF2-40B4-BE49-F238E27FC236}">
              <a16:creationId xmlns:a16="http://schemas.microsoft.com/office/drawing/2014/main" id="{7E6A6686-1E03-A6C4-7CFC-4A4AFC1E78A5}"/>
            </a:ext>
          </a:extLst>
        </xdr:cNvPr>
        <xdr:cNvSpPr txBox="1">
          <a:spLocks noChangeArrowheads="1"/>
        </xdr:cNvSpPr>
      </xdr:nvSpPr>
      <xdr:spPr bwMode="auto">
        <a:xfrm>
          <a:off x="1457325" y="60864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219075</xdr:colOff>
      <xdr:row>30</xdr:row>
      <xdr:rowOff>209550</xdr:rowOff>
    </xdr:from>
    <xdr:ext cx="457200" cy="171450"/>
    <xdr:sp macro="" textlink="">
      <xdr:nvSpPr>
        <xdr:cNvPr id="32990" name="Text Box 222">
          <a:extLst>
            <a:ext uri="{FF2B5EF4-FFF2-40B4-BE49-F238E27FC236}">
              <a16:creationId xmlns:a16="http://schemas.microsoft.com/office/drawing/2014/main" id="{12574096-589D-3C7E-E3EB-F7AFF991387F}"/>
            </a:ext>
          </a:extLst>
        </xdr:cNvPr>
        <xdr:cNvSpPr txBox="1">
          <a:spLocks noChangeArrowheads="1"/>
        </xdr:cNvSpPr>
      </xdr:nvSpPr>
      <xdr:spPr bwMode="auto">
        <a:xfrm>
          <a:off x="2333625" y="62674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628650</xdr:colOff>
      <xdr:row>33</xdr:row>
      <xdr:rowOff>47625</xdr:rowOff>
    </xdr:from>
    <xdr:ext cx="457200" cy="171450"/>
    <xdr:sp macro="" textlink="">
      <xdr:nvSpPr>
        <xdr:cNvPr id="32991" name="Text Box 223">
          <a:extLst>
            <a:ext uri="{FF2B5EF4-FFF2-40B4-BE49-F238E27FC236}">
              <a16:creationId xmlns:a16="http://schemas.microsoft.com/office/drawing/2014/main" id="{59988C4A-6441-FFDE-442A-3A8491D6CD4B}"/>
            </a:ext>
          </a:extLst>
        </xdr:cNvPr>
        <xdr:cNvSpPr txBox="1">
          <a:spLocks noChangeArrowheads="1"/>
        </xdr:cNvSpPr>
      </xdr:nvSpPr>
      <xdr:spPr bwMode="auto">
        <a:xfrm>
          <a:off x="1371600" y="65532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209550</xdr:colOff>
      <xdr:row>34</xdr:row>
      <xdr:rowOff>0</xdr:rowOff>
    </xdr:from>
    <xdr:ext cx="323850" cy="171450"/>
    <xdr:sp macro="" textlink="">
      <xdr:nvSpPr>
        <xdr:cNvPr id="32992" name="Text Box 224">
          <a:extLst>
            <a:ext uri="{FF2B5EF4-FFF2-40B4-BE49-F238E27FC236}">
              <a16:creationId xmlns:a16="http://schemas.microsoft.com/office/drawing/2014/main" id="{6B666DA3-338F-61DD-4D5C-12EDB110B464}"/>
            </a:ext>
          </a:extLst>
        </xdr:cNvPr>
        <xdr:cNvSpPr txBox="1">
          <a:spLocks noChangeArrowheads="1"/>
        </xdr:cNvSpPr>
      </xdr:nvSpPr>
      <xdr:spPr bwMode="auto">
        <a:xfrm>
          <a:off x="2324100" y="6648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209550</xdr:colOff>
      <xdr:row>17</xdr:row>
      <xdr:rowOff>0</xdr:rowOff>
    </xdr:from>
    <xdr:to>
      <xdr:col>4</xdr:col>
      <xdr:colOff>161925</xdr:colOff>
      <xdr:row>17</xdr:row>
      <xdr:rowOff>171450</xdr:rowOff>
    </xdr:to>
    <xdr:sp macro="" textlink="">
      <xdr:nvSpPr>
        <xdr:cNvPr id="32997" name="Text Box 229">
          <a:extLst>
            <a:ext uri="{FF2B5EF4-FFF2-40B4-BE49-F238E27FC236}">
              <a16:creationId xmlns:a16="http://schemas.microsoft.com/office/drawing/2014/main" id="{1C124C7E-D6F9-A6FE-8442-D1D08EC77926}"/>
            </a:ext>
          </a:extLst>
        </xdr:cNvPr>
        <xdr:cNvSpPr txBox="1">
          <a:spLocks noChangeArrowheads="1"/>
        </xdr:cNvSpPr>
      </xdr:nvSpPr>
      <xdr:spPr bwMode="auto">
        <a:xfrm>
          <a:off x="2324100" y="4105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9525</xdr:colOff>
      <xdr:row>17</xdr:row>
      <xdr:rowOff>180975</xdr:rowOff>
    </xdr:from>
    <xdr:to>
      <xdr:col>5</xdr:col>
      <xdr:colOff>0</xdr:colOff>
      <xdr:row>18</xdr:row>
      <xdr:rowOff>0</xdr:rowOff>
    </xdr:to>
    <xdr:sp macro="" textlink="">
      <xdr:nvSpPr>
        <xdr:cNvPr id="32998" name="Line 230">
          <a:extLst>
            <a:ext uri="{FF2B5EF4-FFF2-40B4-BE49-F238E27FC236}">
              <a16:creationId xmlns:a16="http://schemas.microsoft.com/office/drawing/2014/main" id="{582B9747-8226-9F7B-AEEB-8203591C795E}"/>
            </a:ext>
          </a:extLst>
        </xdr:cNvPr>
        <xdr:cNvSpPr>
          <a:spLocks noChangeShapeType="1"/>
        </xdr:cNvSpPr>
      </xdr:nvSpPr>
      <xdr:spPr bwMode="auto">
        <a:xfrm flipV="1">
          <a:off x="2124075" y="4286250"/>
          <a:ext cx="876300" cy="95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628650</xdr:colOff>
      <xdr:row>6</xdr:row>
      <xdr:rowOff>19050</xdr:rowOff>
    </xdr:from>
    <xdr:ext cx="323850" cy="171450"/>
    <xdr:sp macro="" textlink="">
      <xdr:nvSpPr>
        <xdr:cNvPr id="33009" name="Text Box 241">
          <a:extLst>
            <a:ext uri="{FF2B5EF4-FFF2-40B4-BE49-F238E27FC236}">
              <a16:creationId xmlns:a16="http://schemas.microsoft.com/office/drawing/2014/main" id="{26B44BB1-6C9B-3E65-4925-3229BF8B686A}"/>
            </a:ext>
          </a:extLst>
        </xdr:cNvPr>
        <xdr:cNvSpPr txBox="1">
          <a:spLocks noChangeArrowheads="1"/>
        </xdr:cNvSpPr>
      </xdr:nvSpPr>
      <xdr:spPr bwMode="auto">
        <a:xfrm>
          <a:off x="1371600" y="135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38100</xdr:colOff>
      <xdr:row>10</xdr:row>
      <xdr:rowOff>9525</xdr:rowOff>
    </xdr:from>
    <xdr:to>
      <xdr:col>3</xdr:col>
      <xdr:colOff>28575</xdr:colOff>
      <xdr:row>10</xdr:row>
      <xdr:rowOff>9525</xdr:rowOff>
    </xdr:to>
    <xdr:sp macro="" textlink="">
      <xdr:nvSpPr>
        <xdr:cNvPr id="33010" name="Line 242">
          <a:extLst>
            <a:ext uri="{FF2B5EF4-FFF2-40B4-BE49-F238E27FC236}">
              <a16:creationId xmlns:a16="http://schemas.microsoft.com/office/drawing/2014/main" id="{86826E74-A555-79B5-EADE-F7069C205691}"/>
            </a:ext>
          </a:extLst>
        </xdr:cNvPr>
        <xdr:cNvSpPr>
          <a:spLocks noChangeShapeType="1"/>
        </xdr:cNvSpPr>
      </xdr:nvSpPr>
      <xdr:spPr bwMode="auto">
        <a:xfrm>
          <a:off x="781050" y="21717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180975</xdr:rowOff>
    </xdr:from>
    <xdr:to>
      <xdr:col>4</xdr:col>
      <xdr:colOff>371475</xdr:colOff>
      <xdr:row>14</xdr:row>
      <xdr:rowOff>180975</xdr:rowOff>
    </xdr:to>
    <xdr:sp macro="" textlink="">
      <xdr:nvSpPr>
        <xdr:cNvPr id="33012" name="Line 244">
          <a:extLst>
            <a:ext uri="{FF2B5EF4-FFF2-40B4-BE49-F238E27FC236}">
              <a16:creationId xmlns:a16="http://schemas.microsoft.com/office/drawing/2014/main" id="{0BD7998B-99AE-8FFF-D81B-8A789CB07C30}"/>
            </a:ext>
          </a:extLst>
        </xdr:cNvPr>
        <xdr:cNvSpPr>
          <a:spLocks noChangeShapeType="1"/>
        </xdr:cNvSpPr>
      </xdr:nvSpPr>
      <xdr:spPr bwMode="auto">
        <a:xfrm>
          <a:off x="2114550" y="306705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266700</xdr:colOff>
      <xdr:row>14</xdr:row>
      <xdr:rowOff>0</xdr:rowOff>
    </xdr:from>
    <xdr:ext cx="323850" cy="171450"/>
    <xdr:sp macro="" textlink="">
      <xdr:nvSpPr>
        <xdr:cNvPr id="33013" name="Text Box 245">
          <a:extLst>
            <a:ext uri="{FF2B5EF4-FFF2-40B4-BE49-F238E27FC236}">
              <a16:creationId xmlns:a16="http://schemas.microsoft.com/office/drawing/2014/main" id="{51C6C18E-64D8-F521-1A79-2BBF7FA3FF3B}"/>
            </a:ext>
          </a:extLst>
        </xdr:cNvPr>
        <xdr:cNvSpPr txBox="1">
          <a:spLocks noChangeArrowheads="1"/>
        </xdr:cNvSpPr>
      </xdr:nvSpPr>
      <xdr:spPr bwMode="auto">
        <a:xfrm>
          <a:off x="2381250" y="28860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104775</xdr:rowOff>
    </xdr:from>
    <xdr:to>
      <xdr:col>3</xdr:col>
      <xdr:colOff>0</xdr:colOff>
      <xdr:row>37</xdr:row>
      <xdr:rowOff>19050</xdr:rowOff>
    </xdr:to>
    <xdr:sp macro="" textlink="">
      <xdr:nvSpPr>
        <xdr:cNvPr id="33015" name="Line 247">
          <a:extLst>
            <a:ext uri="{FF2B5EF4-FFF2-40B4-BE49-F238E27FC236}">
              <a16:creationId xmlns:a16="http://schemas.microsoft.com/office/drawing/2014/main" id="{C36ADA9D-A01A-103A-9BB0-C0E1E6C8E40B}"/>
            </a:ext>
          </a:extLst>
        </xdr:cNvPr>
        <xdr:cNvSpPr>
          <a:spLocks noChangeShapeType="1"/>
        </xdr:cNvSpPr>
      </xdr:nvSpPr>
      <xdr:spPr bwMode="auto">
        <a:xfrm flipV="1">
          <a:off x="2114550" y="6753225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161925</xdr:rowOff>
    </xdr:from>
    <xdr:to>
      <xdr:col>5</xdr:col>
      <xdr:colOff>0</xdr:colOff>
      <xdr:row>37</xdr:row>
      <xdr:rowOff>0</xdr:rowOff>
    </xdr:to>
    <xdr:sp macro="" textlink="">
      <xdr:nvSpPr>
        <xdr:cNvPr id="33016" name="Line 248">
          <a:extLst>
            <a:ext uri="{FF2B5EF4-FFF2-40B4-BE49-F238E27FC236}">
              <a16:creationId xmlns:a16="http://schemas.microsoft.com/office/drawing/2014/main" id="{A1DFAD01-4730-48ED-753E-FD8346E7BAC0}"/>
            </a:ext>
          </a:extLst>
        </xdr:cNvPr>
        <xdr:cNvSpPr>
          <a:spLocks noChangeShapeType="1"/>
        </xdr:cNvSpPr>
      </xdr:nvSpPr>
      <xdr:spPr bwMode="auto">
        <a:xfrm flipH="1" flipV="1">
          <a:off x="3000375" y="6791325"/>
          <a:ext cx="0" cy="2857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666750</xdr:colOff>
      <xdr:row>36</xdr:row>
      <xdr:rowOff>0</xdr:rowOff>
    </xdr:from>
    <xdr:to>
      <xdr:col>4</xdr:col>
      <xdr:colOff>361950</xdr:colOff>
      <xdr:row>36</xdr:row>
      <xdr:rowOff>0</xdr:rowOff>
    </xdr:to>
    <xdr:sp macro="" textlink="">
      <xdr:nvSpPr>
        <xdr:cNvPr id="33017" name="Line 249">
          <a:extLst>
            <a:ext uri="{FF2B5EF4-FFF2-40B4-BE49-F238E27FC236}">
              <a16:creationId xmlns:a16="http://schemas.microsoft.com/office/drawing/2014/main" id="{A87E00D6-F13B-C765-BED7-DA169F137D76}"/>
            </a:ext>
          </a:extLst>
        </xdr:cNvPr>
        <xdr:cNvSpPr>
          <a:spLocks noChangeShapeType="1"/>
        </xdr:cNvSpPr>
      </xdr:nvSpPr>
      <xdr:spPr bwMode="auto">
        <a:xfrm>
          <a:off x="2105025" y="693420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209550</xdr:colOff>
      <xdr:row>35</xdr:row>
      <xdr:rowOff>114300</xdr:rowOff>
    </xdr:from>
    <xdr:ext cx="457200" cy="171450"/>
    <xdr:sp macro="" textlink="">
      <xdr:nvSpPr>
        <xdr:cNvPr id="33018" name="Text Box 250">
          <a:extLst>
            <a:ext uri="{FF2B5EF4-FFF2-40B4-BE49-F238E27FC236}">
              <a16:creationId xmlns:a16="http://schemas.microsoft.com/office/drawing/2014/main" id="{C4247A0C-062E-907E-CEE6-6FB0160D788F}"/>
            </a:ext>
          </a:extLst>
        </xdr:cNvPr>
        <xdr:cNvSpPr txBox="1">
          <a:spLocks noChangeArrowheads="1"/>
        </xdr:cNvSpPr>
      </xdr:nvSpPr>
      <xdr:spPr bwMode="auto">
        <a:xfrm>
          <a:off x="2324100" y="69056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9525</xdr:colOff>
      <xdr:row>6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3025" name="Line 257">
          <a:extLst>
            <a:ext uri="{FF2B5EF4-FFF2-40B4-BE49-F238E27FC236}">
              <a16:creationId xmlns:a16="http://schemas.microsoft.com/office/drawing/2014/main" id="{5C09A9DE-61AC-71CE-FFBD-BD5EACD6A11F}"/>
            </a:ext>
          </a:extLst>
        </xdr:cNvPr>
        <xdr:cNvSpPr>
          <a:spLocks noChangeShapeType="1"/>
        </xdr:cNvSpPr>
      </xdr:nvSpPr>
      <xdr:spPr bwMode="auto">
        <a:xfrm flipV="1">
          <a:off x="752475" y="1333500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</xdr:row>
      <xdr:rowOff>9525</xdr:rowOff>
    </xdr:from>
    <xdr:to>
      <xdr:col>2</xdr:col>
      <xdr:colOff>304800</xdr:colOff>
      <xdr:row>3</xdr:row>
      <xdr:rowOff>9525</xdr:rowOff>
    </xdr:to>
    <xdr:sp macro="" textlink="">
      <xdr:nvSpPr>
        <xdr:cNvPr id="33026" name="Line 258">
          <a:extLst>
            <a:ext uri="{FF2B5EF4-FFF2-40B4-BE49-F238E27FC236}">
              <a16:creationId xmlns:a16="http://schemas.microsoft.com/office/drawing/2014/main" id="{21CCF4CA-03CD-DC9C-B7FF-E3B71186C9A9}"/>
            </a:ext>
          </a:extLst>
        </xdr:cNvPr>
        <xdr:cNvSpPr>
          <a:spLocks noChangeShapeType="1"/>
        </xdr:cNvSpPr>
      </xdr:nvSpPr>
      <xdr:spPr bwMode="auto">
        <a:xfrm>
          <a:off x="19050" y="714375"/>
          <a:ext cx="1724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285750</xdr:colOff>
      <xdr:row>0</xdr:row>
      <xdr:rowOff>180975</xdr:rowOff>
    </xdr:from>
    <xdr:to>
      <xdr:col>2</xdr:col>
      <xdr:colOff>666750</xdr:colOff>
      <xdr:row>3</xdr:row>
      <xdr:rowOff>9525</xdr:rowOff>
    </xdr:to>
    <xdr:sp macro="" textlink="">
      <xdr:nvSpPr>
        <xdr:cNvPr id="33028" name="Line 260">
          <a:extLst>
            <a:ext uri="{FF2B5EF4-FFF2-40B4-BE49-F238E27FC236}">
              <a16:creationId xmlns:a16="http://schemas.microsoft.com/office/drawing/2014/main" id="{A93CAC80-69EB-9450-6146-33D41CFF9BA2}"/>
            </a:ext>
          </a:extLst>
        </xdr:cNvPr>
        <xdr:cNvSpPr>
          <a:spLocks noChangeShapeType="1"/>
        </xdr:cNvSpPr>
      </xdr:nvSpPr>
      <xdr:spPr bwMode="auto">
        <a:xfrm flipV="1">
          <a:off x="1724025" y="180975"/>
          <a:ext cx="381000" cy="533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228600</xdr:colOff>
      <xdr:row>15</xdr:row>
      <xdr:rowOff>0</xdr:rowOff>
    </xdr:from>
    <xdr:to>
      <xdr:col>6</xdr:col>
      <xdr:colOff>228600</xdr:colOff>
      <xdr:row>18</xdr:row>
      <xdr:rowOff>19050</xdr:rowOff>
    </xdr:to>
    <xdr:sp macro="" textlink="">
      <xdr:nvSpPr>
        <xdr:cNvPr id="33097" name="Line 329">
          <a:extLst>
            <a:ext uri="{FF2B5EF4-FFF2-40B4-BE49-F238E27FC236}">
              <a16:creationId xmlns:a16="http://schemas.microsoft.com/office/drawing/2014/main" id="{955F6805-26B0-3695-E084-1D66674DAA93}"/>
            </a:ext>
          </a:extLst>
        </xdr:cNvPr>
        <xdr:cNvSpPr>
          <a:spLocks noChangeShapeType="1"/>
        </xdr:cNvSpPr>
      </xdr:nvSpPr>
      <xdr:spPr bwMode="auto">
        <a:xfrm flipH="1" flipV="1">
          <a:off x="3676650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15</xdr:row>
      <xdr:rowOff>0</xdr:rowOff>
    </xdr:from>
    <xdr:to>
      <xdr:col>2</xdr:col>
      <xdr:colOff>19050</xdr:colOff>
      <xdr:row>18</xdr:row>
      <xdr:rowOff>19050</xdr:rowOff>
    </xdr:to>
    <xdr:sp macro="" textlink="">
      <xdr:nvSpPr>
        <xdr:cNvPr id="33099" name="Line 331">
          <a:extLst>
            <a:ext uri="{FF2B5EF4-FFF2-40B4-BE49-F238E27FC236}">
              <a16:creationId xmlns:a16="http://schemas.microsoft.com/office/drawing/2014/main" id="{3654042D-1D41-A0FD-DEF2-831525763280}"/>
            </a:ext>
          </a:extLst>
        </xdr:cNvPr>
        <xdr:cNvSpPr>
          <a:spLocks noChangeShapeType="1"/>
        </xdr:cNvSpPr>
      </xdr:nvSpPr>
      <xdr:spPr bwMode="auto">
        <a:xfrm flipV="1">
          <a:off x="1457325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180975</xdr:rowOff>
    </xdr:from>
    <xdr:to>
      <xdr:col>2</xdr:col>
      <xdr:colOff>666750</xdr:colOff>
      <xdr:row>14</xdr:row>
      <xdr:rowOff>180975</xdr:rowOff>
    </xdr:to>
    <xdr:sp macro="" textlink="">
      <xdr:nvSpPr>
        <xdr:cNvPr id="33100" name="Line 332">
          <a:extLst>
            <a:ext uri="{FF2B5EF4-FFF2-40B4-BE49-F238E27FC236}">
              <a16:creationId xmlns:a16="http://schemas.microsoft.com/office/drawing/2014/main" id="{48B4DAA3-6BB2-9890-D4B9-789928B9E6A1}"/>
            </a:ext>
          </a:extLst>
        </xdr:cNvPr>
        <xdr:cNvSpPr>
          <a:spLocks noChangeShapeType="1"/>
        </xdr:cNvSpPr>
      </xdr:nvSpPr>
      <xdr:spPr bwMode="auto">
        <a:xfrm>
          <a:off x="1457325" y="3067050"/>
          <a:ext cx="647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14</xdr:row>
      <xdr:rowOff>180975</xdr:rowOff>
    </xdr:from>
    <xdr:to>
      <xdr:col>6</xdr:col>
      <xdr:colOff>238125</xdr:colOff>
      <xdr:row>14</xdr:row>
      <xdr:rowOff>180975</xdr:rowOff>
    </xdr:to>
    <xdr:sp macro="" textlink="">
      <xdr:nvSpPr>
        <xdr:cNvPr id="33102" name="Line 334">
          <a:extLst>
            <a:ext uri="{FF2B5EF4-FFF2-40B4-BE49-F238E27FC236}">
              <a16:creationId xmlns:a16="http://schemas.microsoft.com/office/drawing/2014/main" id="{9FFBC129-E972-229F-22C1-6568F187BAF7}"/>
            </a:ext>
          </a:extLst>
        </xdr:cNvPr>
        <xdr:cNvSpPr>
          <a:spLocks noChangeShapeType="1"/>
        </xdr:cNvSpPr>
      </xdr:nvSpPr>
      <xdr:spPr bwMode="auto">
        <a:xfrm>
          <a:off x="3009900" y="3067050"/>
          <a:ext cx="676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19050</xdr:colOff>
      <xdr:row>18</xdr:row>
      <xdr:rowOff>0</xdr:rowOff>
    </xdr:from>
    <xdr:to>
      <xdr:col>6</xdr:col>
      <xdr:colOff>238125</xdr:colOff>
      <xdr:row>18</xdr:row>
      <xdr:rowOff>0</xdr:rowOff>
    </xdr:to>
    <xdr:sp macro="" textlink="">
      <xdr:nvSpPr>
        <xdr:cNvPr id="33103" name="Line 335">
          <a:extLst>
            <a:ext uri="{FF2B5EF4-FFF2-40B4-BE49-F238E27FC236}">
              <a16:creationId xmlns:a16="http://schemas.microsoft.com/office/drawing/2014/main" id="{A70D7DF4-404E-F03F-9F2B-E7F56B6656C3}"/>
            </a:ext>
          </a:extLst>
        </xdr:cNvPr>
        <xdr:cNvSpPr>
          <a:spLocks noChangeShapeType="1"/>
        </xdr:cNvSpPr>
      </xdr:nvSpPr>
      <xdr:spPr bwMode="auto">
        <a:xfrm flipV="1">
          <a:off x="30194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18</xdr:row>
      <xdr:rowOff>0</xdr:rowOff>
    </xdr:from>
    <xdr:to>
      <xdr:col>3</xdr:col>
      <xdr:colOff>9525</xdr:colOff>
      <xdr:row>18</xdr:row>
      <xdr:rowOff>0</xdr:rowOff>
    </xdr:to>
    <xdr:sp macro="" textlink="">
      <xdr:nvSpPr>
        <xdr:cNvPr id="33104" name="Line 336">
          <a:extLst>
            <a:ext uri="{FF2B5EF4-FFF2-40B4-BE49-F238E27FC236}">
              <a16:creationId xmlns:a16="http://schemas.microsoft.com/office/drawing/2014/main" id="{9FAF5F44-0C94-43B3-ADF3-F2DBC7323E8F}"/>
            </a:ext>
          </a:extLst>
        </xdr:cNvPr>
        <xdr:cNvSpPr>
          <a:spLocks noChangeShapeType="1"/>
        </xdr:cNvSpPr>
      </xdr:nvSpPr>
      <xdr:spPr bwMode="auto">
        <a:xfrm>
          <a:off x="14573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238125</xdr:colOff>
      <xdr:row>16</xdr:row>
      <xdr:rowOff>0</xdr:rowOff>
    </xdr:from>
    <xdr:ext cx="457200" cy="171450"/>
    <xdr:sp macro="" textlink="">
      <xdr:nvSpPr>
        <xdr:cNvPr id="33107" name="Text Box 339">
          <a:extLst>
            <a:ext uri="{FF2B5EF4-FFF2-40B4-BE49-F238E27FC236}">
              <a16:creationId xmlns:a16="http://schemas.microsoft.com/office/drawing/2014/main" id="{5B2450B4-300B-86E3-DBA2-89955AF88450}"/>
            </a:ext>
          </a:extLst>
        </xdr:cNvPr>
        <xdr:cNvSpPr txBox="1">
          <a:spLocks noChangeArrowheads="1"/>
        </xdr:cNvSpPr>
      </xdr:nvSpPr>
      <xdr:spPr bwMode="auto">
        <a:xfrm>
          <a:off x="3686175" y="36195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133350</xdr:colOff>
      <xdr:row>16</xdr:row>
      <xdr:rowOff>9525</xdr:rowOff>
    </xdr:from>
    <xdr:to>
      <xdr:col>2</xdr:col>
      <xdr:colOff>0</xdr:colOff>
      <xdr:row>16</xdr:row>
      <xdr:rowOff>171450</xdr:rowOff>
    </xdr:to>
    <xdr:sp macro="" textlink="">
      <xdr:nvSpPr>
        <xdr:cNvPr id="33108" name="Text Box 340">
          <a:extLst>
            <a:ext uri="{FF2B5EF4-FFF2-40B4-BE49-F238E27FC236}">
              <a16:creationId xmlns:a16="http://schemas.microsoft.com/office/drawing/2014/main" id="{62907B03-0F61-8BED-48D0-543F13FDEC3B}"/>
            </a:ext>
          </a:extLst>
        </xdr:cNvPr>
        <xdr:cNvSpPr txBox="1">
          <a:spLocks noChangeArrowheads="1"/>
        </xdr:cNvSpPr>
      </xdr:nvSpPr>
      <xdr:spPr bwMode="auto">
        <a:xfrm>
          <a:off x="876300" y="3629025"/>
          <a:ext cx="56197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371475</xdr:colOff>
      <xdr:row>17</xdr:row>
      <xdr:rowOff>152400</xdr:rowOff>
    </xdr:from>
    <xdr:to>
      <xdr:col>5</xdr:col>
      <xdr:colOff>9525</xdr:colOff>
      <xdr:row>19</xdr:row>
      <xdr:rowOff>180975</xdr:rowOff>
    </xdr:to>
    <xdr:sp macro="" textlink="">
      <xdr:nvSpPr>
        <xdr:cNvPr id="33110" name="Line 342">
          <a:extLst>
            <a:ext uri="{FF2B5EF4-FFF2-40B4-BE49-F238E27FC236}">
              <a16:creationId xmlns:a16="http://schemas.microsoft.com/office/drawing/2014/main" id="{7EAFC721-8EBD-FB06-02B7-A86AE96C3230}"/>
            </a:ext>
          </a:extLst>
        </xdr:cNvPr>
        <xdr:cNvSpPr>
          <a:spLocks noChangeShapeType="1"/>
        </xdr:cNvSpPr>
      </xdr:nvSpPr>
      <xdr:spPr bwMode="auto">
        <a:xfrm rot="334948828" flipH="1" flipV="1">
          <a:off x="2990850" y="4257675"/>
          <a:ext cx="19050" cy="3619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514350</xdr:colOff>
      <xdr:row>17</xdr:row>
      <xdr:rowOff>161925</xdr:rowOff>
    </xdr:from>
    <xdr:to>
      <xdr:col>3</xdr:col>
      <xdr:colOff>171450</xdr:colOff>
      <xdr:row>17</xdr:row>
      <xdr:rowOff>171450</xdr:rowOff>
    </xdr:to>
    <xdr:sp macro="" textlink="">
      <xdr:nvSpPr>
        <xdr:cNvPr id="33111" name="Line 343">
          <a:extLst>
            <a:ext uri="{FF2B5EF4-FFF2-40B4-BE49-F238E27FC236}">
              <a16:creationId xmlns:a16="http://schemas.microsoft.com/office/drawing/2014/main" id="{BC9003CB-D8D5-8558-A91C-5B99676A58C0}"/>
            </a:ext>
          </a:extLst>
        </xdr:cNvPr>
        <xdr:cNvSpPr>
          <a:spLocks noChangeShapeType="1"/>
        </xdr:cNvSpPr>
      </xdr:nvSpPr>
      <xdr:spPr bwMode="auto">
        <a:xfrm rot="16019238" flipV="1">
          <a:off x="2114550" y="4105275"/>
          <a:ext cx="9525" cy="333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638175</xdr:colOff>
      <xdr:row>17</xdr:row>
      <xdr:rowOff>161925</xdr:rowOff>
    </xdr:from>
    <xdr:to>
      <xdr:col>3</xdr:col>
      <xdr:colOff>38100</xdr:colOff>
      <xdr:row>18</xdr:row>
      <xdr:rowOff>47625</xdr:rowOff>
    </xdr:to>
    <xdr:sp macro="[0]!LINE2ARROWROTATATEHOTSPOT" textlink="">
      <xdr:nvSpPr>
        <xdr:cNvPr id="33112" name="Oval 344">
          <a:extLst>
            <a:ext uri="{FF2B5EF4-FFF2-40B4-BE49-F238E27FC236}">
              <a16:creationId xmlns:a16="http://schemas.microsoft.com/office/drawing/2014/main" id="{ED5D793E-D388-C765-FEE1-DF1D3092DDD8}"/>
            </a:ext>
          </a:extLst>
        </xdr:cNvPr>
        <xdr:cNvSpPr>
          <a:spLocks noChangeArrowheads="1"/>
        </xdr:cNvSpPr>
      </xdr:nvSpPr>
      <xdr:spPr bwMode="auto">
        <a:xfrm>
          <a:off x="2076450" y="42672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352425</xdr:colOff>
      <xdr:row>17</xdr:row>
      <xdr:rowOff>142875</xdr:rowOff>
    </xdr:from>
    <xdr:to>
      <xdr:col>5</xdr:col>
      <xdr:colOff>47625</xdr:colOff>
      <xdr:row>18</xdr:row>
      <xdr:rowOff>28575</xdr:rowOff>
    </xdr:to>
    <xdr:sp macro="[0]!LINE1VALVEROTATEHOTSPOT" textlink="">
      <xdr:nvSpPr>
        <xdr:cNvPr id="33113" name="Oval 345">
          <a:extLst>
            <a:ext uri="{FF2B5EF4-FFF2-40B4-BE49-F238E27FC236}">
              <a16:creationId xmlns:a16="http://schemas.microsoft.com/office/drawing/2014/main" id="{4502E32F-A4EE-8BDA-FE35-4B2BDDEF110F}"/>
            </a:ext>
          </a:extLst>
        </xdr:cNvPr>
        <xdr:cNvSpPr>
          <a:spLocks noChangeArrowheads="1"/>
        </xdr:cNvSpPr>
      </xdr:nvSpPr>
      <xdr:spPr bwMode="auto">
        <a:xfrm>
          <a:off x="2971800" y="424815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20</xdr:row>
      <xdr:rowOff>104775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>
          <a:extLst>
            <a:ext uri="{FF2B5EF4-FFF2-40B4-BE49-F238E27FC236}">
              <a16:creationId xmlns:a16="http://schemas.microsoft.com/office/drawing/2014/main" id="{D6703F26-8A0B-FCD3-1FA3-FEDEF47B6300}"/>
            </a:ext>
          </a:extLst>
        </xdr:cNvPr>
        <xdr:cNvSpPr>
          <a:spLocks noChangeArrowheads="1"/>
        </xdr:cNvSpPr>
      </xdr:nvSpPr>
      <xdr:spPr bwMode="auto">
        <a:xfrm>
          <a:off x="2962275" y="47625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638175</xdr:colOff>
      <xdr:row>20</xdr:row>
      <xdr:rowOff>114300</xdr:rowOff>
    </xdr:from>
    <xdr:to>
      <xdr:col>3</xdr:col>
      <xdr:colOff>38100</xdr:colOff>
      <xdr:row>21</xdr:row>
      <xdr:rowOff>47625</xdr:rowOff>
    </xdr:to>
    <xdr:sp macro="[0]!LINE2SOUTHVALVEROTATEHOTSPOT" textlink="">
      <xdr:nvSpPr>
        <xdr:cNvPr id="33115" name="Oval 347">
          <a:extLst>
            <a:ext uri="{FF2B5EF4-FFF2-40B4-BE49-F238E27FC236}">
              <a16:creationId xmlns:a16="http://schemas.microsoft.com/office/drawing/2014/main" id="{D2938DDE-77FA-D4C1-44FB-2A2CD0E061CA}"/>
            </a:ext>
          </a:extLst>
        </xdr:cNvPr>
        <xdr:cNvSpPr>
          <a:spLocks noChangeArrowheads="1"/>
        </xdr:cNvSpPr>
      </xdr:nvSpPr>
      <xdr:spPr bwMode="auto">
        <a:xfrm>
          <a:off x="2076450" y="4772025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>
          <a:extLst>
            <a:ext uri="{FF2B5EF4-FFF2-40B4-BE49-F238E27FC236}">
              <a16:creationId xmlns:a16="http://schemas.microsoft.com/office/drawing/2014/main" id="{39017C03-779E-5B1B-2ABF-6028831EDDAC}"/>
            </a:ext>
          </a:extLst>
        </xdr:cNvPr>
        <xdr:cNvSpPr>
          <a:spLocks noChangeShapeType="1"/>
        </xdr:cNvSpPr>
      </xdr:nvSpPr>
      <xdr:spPr bwMode="auto">
        <a:xfrm>
          <a:off x="742950" y="5334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>
          <a:extLst>
            <a:ext uri="{FF2B5EF4-FFF2-40B4-BE49-F238E27FC236}">
              <a16:creationId xmlns:a16="http://schemas.microsoft.com/office/drawing/2014/main" id="{C492A42F-B1E6-B8E3-3A1D-FA70CEE37067}"/>
            </a:ext>
          </a:extLst>
        </xdr:cNvPr>
        <xdr:cNvSpPr>
          <a:spLocks noChangeShapeType="1"/>
        </xdr:cNvSpPr>
      </xdr:nvSpPr>
      <xdr:spPr bwMode="auto">
        <a:xfrm>
          <a:off x="752475" y="13335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123825</xdr:rowOff>
    </xdr:from>
    <xdr:to>
      <xdr:col>3</xdr:col>
      <xdr:colOff>0</xdr:colOff>
      <xdr:row>8</xdr:row>
      <xdr:rowOff>133350</xdr:rowOff>
    </xdr:to>
    <xdr:sp macro="" textlink="">
      <xdr:nvSpPr>
        <xdr:cNvPr id="33148" name="Line 380">
          <a:extLst>
            <a:ext uri="{FF2B5EF4-FFF2-40B4-BE49-F238E27FC236}">
              <a16:creationId xmlns:a16="http://schemas.microsoft.com/office/drawing/2014/main" id="{8126B614-A774-1578-719C-43A83ABF2136}"/>
            </a:ext>
          </a:extLst>
        </xdr:cNvPr>
        <xdr:cNvSpPr>
          <a:spLocks noChangeShapeType="1"/>
        </xdr:cNvSpPr>
      </xdr:nvSpPr>
      <xdr:spPr bwMode="auto">
        <a:xfrm flipV="1">
          <a:off x="2114550" y="169545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333375</xdr:colOff>
      <xdr:row>2</xdr:row>
      <xdr:rowOff>0</xdr:rowOff>
    </xdr:from>
    <xdr:to>
      <xdr:col>10</xdr:col>
      <xdr:colOff>161925</xdr:colOff>
      <xdr:row>3</xdr:row>
      <xdr:rowOff>28575</xdr:rowOff>
    </xdr:to>
    <xdr:sp macro="" textlink="">
      <xdr:nvSpPr>
        <xdr:cNvPr id="33162" name="Line 394">
          <a:extLst>
            <a:ext uri="{FF2B5EF4-FFF2-40B4-BE49-F238E27FC236}">
              <a16:creationId xmlns:a16="http://schemas.microsoft.com/office/drawing/2014/main" id="{0AA95FA7-FC23-3359-5830-3B35919E4F93}"/>
            </a:ext>
          </a:extLst>
        </xdr:cNvPr>
        <xdr:cNvSpPr>
          <a:spLocks noChangeShapeType="1"/>
        </xdr:cNvSpPr>
      </xdr:nvSpPr>
      <xdr:spPr bwMode="auto">
        <a:xfrm>
          <a:off x="6076950" y="495300"/>
          <a:ext cx="59055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400050</xdr:colOff>
      <xdr:row>4</xdr:row>
      <xdr:rowOff>0</xdr:rowOff>
    </xdr:from>
    <xdr:to>
      <xdr:col>10</xdr:col>
      <xdr:colOff>400050</xdr:colOff>
      <xdr:row>5</xdr:row>
      <xdr:rowOff>0</xdr:rowOff>
    </xdr:to>
    <xdr:sp macro="" textlink="">
      <xdr:nvSpPr>
        <xdr:cNvPr id="33163" name="Line 395">
          <a:extLst>
            <a:ext uri="{FF2B5EF4-FFF2-40B4-BE49-F238E27FC236}">
              <a16:creationId xmlns:a16="http://schemas.microsoft.com/office/drawing/2014/main" id="{385F7370-438A-1739-98AC-1A13D18D5512}"/>
            </a:ext>
          </a:extLst>
        </xdr:cNvPr>
        <xdr:cNvSpPr>
          <a:spLocks noChangeShapeType="1"/>
        </xdr:cNvSpPr>
      </xdr:nvSpPr>
      <xdr:spPr bwMode="auto">
        <a:xfrm>
          <a:off x="6905625" y="9144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9525</xdr:rowOff>
    </xdr:from>
    <xdr:to>
      <xdr:col>9</xdr:col>
      <xdr:colOff>0</xdr:colOff>
      <xdr:row>14</xdr:row>
      <xdr:rowOff>180975</xdr:rowOff>
    </xdr:to>
    <xdr:sp macro="" textlink="">
      <xdr:nvSpPr>
        <xdr:cNvPr id="33164" name="Line 396">
          <a:extLst>
            <a:ext uri="{FF2B5EF4-FFF2-40B4-BE49-F238E27FC236}">
              <a16:creationId xmlns:a16="http://schemas.microsoft.com/office/drawing/2014/main" id="{8D0B090B-0720-C005-D285-672463C00C71}"/>
            </a:ext>
          </a:extLst>
        </xdr:cNvPr>
        <xdr:cNvSpPr>
          <a:spLocks noChangeShapeType="1"/>
        </xdr:cNvSpPr>
      </xdr:nvSpPr>
      <xdr:spPr bwMode="auto">
        <a:xfrm>
          <a:off x="5743575" y="1133475"/>
          <a:ext cx="0" cy="193357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495300</xdr:colOff>
      <xdr:row>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65" name="Line 397">
          <a:extLst>
            <a:ext uri="{FF2B5EF4-FFF2-40B4-BE49-F238E27FC236}">
              <a16:creationId xmlns:a16="http://schemas.microsoft.com/office/drawing/2014/main" id="{FA6BA2D1-6721-4B81-DC8E-5834E8BB4563}"/>
            </a:ext>
          </a:extLst>
        </xdr:cNvPr>
        <xdr:cNvSpPr>
          <a:spLocks noChangeShapeType="1"/>
        </xdr:cNvSpPr>
      </xdr:nvSpPr>
      <xdr:spPr bwMode="auto">
        <a:xfrm>
          <a:off x="9029700" y="1123950"/>
          <a:ext cx="0" cy="19526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9525</xdr:colOff>
      <xdr:row>8</xdr:row>
      <xdr:rowOff>104775</xdr:rowOff>
    </xdr:from>
    <xdr:to>
      <xdr:col>9</xdr:col>
      <xdr:colOff>0</xdr:colOff>
      <xdr:row>8</xdr:row>
      <xdr:rowOff>104775</xdr:rowOff>
    </xdr:to>
    <xdr:sp macro="" textlink="">
      <xdr:nvSpPr>
        <xdr:cNvPr id="33166" name="Line 398">
          <a:extLst>
            <a:ext uri="{FF2B5EF4-FFF2-40B4-BE49-F238E27FC236}">
              <a16:creationId xmlns:a16="http://schemas.microsoft.com/office/drawing/2014/main" id="{B3D42878-BFB7-A8F1-649E-7DFD04D21732}"/>
            </a:ext>
          </a:extLst>
        </xdr:cNvPr>
        <xdr:cNvSpPr>
          <a:spLocks noChangeShapeType="1"/>
        </xdr:cNvSpPr>
      </xdr:nvSpPr>
      <xdr:spPr bwMode="auto">
        <a:xfrm>
          <a:off x="4991100" y="1857375"/>
          <a:ext cx="752475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457200</xdr:colOff>
      <xdr:row>17</xdr:row>
      <xdr:rowOff>0</xdr:rowOff>
    </xdr:from>
    <xdr:to>
      <xdr:col>10</xdr:col>
      <xdr:colOff>457200</xdr:colOff>
      <xdr:row>18</xdr:row>
      <xdr:rowOff>0</xdr:rowOff>
    </xdr:to>
    <xdr:sp macro="" textlink="">
      <xdr:nvSpPr>
        <xdr:cNvPr id="33167" name="Line 399">
          <a:extLst>
            <a:ext uri="{FF2B5EF4-FFF2-40B4-BE49-F238E27FC236}">
              <a16:creationId xmlns:a16="http://schemas.microsoft.com/office/drawing/2014/main" id="{3CA878A0-02AF-6CCA-DC9A-EF9B4BFE509B}"/>
            </a:ext>
          </a:extLst>
        </xdr:cNvPr>
        <xdr:cNvSpPr>
          <a:spLocks noChangeShapeType="1"/>
        </xdr:cNvSpPr>
      </xdr:nvSpPr>
      <xdr:spPr bwMode="auto">
        <a:xfrm flipV="1">
          <a:off x="6962775" y="4105275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447675</xdr:colOff>
      <xdr:row>15</xdr:row>
      <xdr:rowOff>0</xdr:rowOff>
    </xdr:from>
    <xdr:to>
      <xdr:col>10</xdr:col>
      <xdr:colOff>447675</xdr:colOff>
      <xdr:row>16</xdr:row>
      <xdr:rowOff>228600</xdr:rowOff>
    </xdr:to>
    <xdr:sp macro="" textlink="">
      <xdr:nvSpPr>
        <xdr:cNvPr id="33168" name="Line 400">
          <a:extLst>
            <a:ext uri="{FF2B5EF4-FFF2-40B4-BE49-F238E27FC236}">
              <a16:creationId xmlns:a16="http://schemas.microsoft.com/office/drawing/2014/main" id="{13FD0218-A831-741A-A56D-FDECF7536663}"/>
            </a:ext>
          </a:extLst>
        </xdr:cNvPr>
        <xdr:cNvSpPr>
          <a:spLocks noChangeShapeType="1"/>
        </xdr:cNvSpPr>
      </xdr:nvSpPr>
      <xdr:spPr bwMode="auto">
        <a:xfrm flipV="1">
          <a:off x="6953250" y="3076575"/>
          <a:ext cx="0" cy="7715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742950</xdr:colOff>
      <xdr:row>9</xdr:row>
      <xdr:rowOff>85725</xdr:rowOff>
    </xdr:from>
    <xdr:to>
      <xdr:col>8</xdr:col>
      <xdr:colOff>733425</xdr:colOff>
      <xdr:row>10</xdr:row>
      <xdr:rowOff>104775</xdr:rowOff>
    </xdr:to>
    <xdr:sp macro="" textlink="">
      <xdr:nvSpPr>
        <xdr:cNvPr id="33169" name="Line 401">
          <a:extLst>
            <a:ext uri="{FF2B5EF4-FFF2-40B4-BE49-F238E27FC236}">
              <a16:creationId xmlns:a16="http://schemas.microsoft.com/office/drawing/2014/main" id="{8F346790-65B3-F834-7D07-564E9543791B}"/>
            </a:ext>
          </a:extLst>
        </xdr:cNvPr>
        <xdr:cNvSpPr>
          <a:spLocks noChangeShapeType="1"/>
        </xdr:cNvSpPr>
      </xdr:nvSpPr>
      <xdr:spPr bwMode="auto">
        <a:xfrm flipV="1">
          <a:off x="4962525" y="2019300"/>
          <a:ext cx="752475" cy="24765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752475</xdr:colOff>
      <xdr:row>5</xdr:row>
      <xdr:rowOff>0</xdr:rowOff>
    </xdr:from>
    <xdr:to>
      <xdr:col>12</xdr:col>
      <xdr:colOff>485775</xdr:colOff>
      <xdr:row>5</xdr:row>
      <xdr:rowOff>0</xdr:rowOff>
    </xdr:to>
    <xdr:sp macro="" textlink="">
      <xdr:nvSpPr>
        <xdr:cNvPr id="33170" name="Line 402">
          <a:extLst>
            <a:ext uri="{FF2B5EF4-FFF2-40B4-BE49-F238E27FC236}">
              <a16:creationId xmlns:a16="http://schemas.microsoft.com/office/drawing/2014/main" id="{C71F871B-A928-7812-B8C9-EF17E6E87D21}"/>
            </a:ext>
          </a:extLst>
        </xdr:cNvPr>
        <xdr:cNvSpPr>
          <a:spLocks noChangeShapeType="1"/>
        </xdr:cNvSpPr>
      </xdr:nvSpPr>
      <xdr:spPr bwMode="auto">
        <a:xfrm>
          <a:off x="5734050" y="1123950"/>
          <a:ext cx="329565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9525</xdr:colOff>
      <xdr:row>15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71" name="Line 403">
          <a:extLst>
            <a:ext uri="{FF2B5EF4-FFF2-40B4-BE49-F238E27FC236}">
              <a16:creationId xmlns:a16="http://schemas.microsoft.com/office/drawing/2014/main" id="{BA576536-FE5F-C38B-5249-9A50557B0AD3}"/>
            </a:ext>
          </a:extLst>
        </xdr:cNvPr>
        <xdr:cNvSpPr>
          <a:spLocks noChangeShapeType="1"/>
        </xdr:cNvSpPr>
      </xdr:nvSpPr>
      <xdr:spPr bwMode="auto">
        <a:xfrm>
          <a:off x="5753100" y="3076575"/>
          <a:ext cx="327660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15</xdr:row>
      <xdr:rowOff>219075</xdr:rowOff>
    </xdr:from>
    <xdr:to>
      <xdr:col>4</xdr:col>
      <xdr:colOff>371475</xdr:colOff>
      <xdr:row>16</xdr:row>
      <xdr:rowOff>247650</xdr:rowOff>
    </xdr:to>
    <xdr:sp macro="" textlink="">
      <xdr:nvSpPr>
        <xdr:cNvPr id="33181" name="Text Box 413">
          <a:extLst>
            <a:ext uri="{FF2B5EF4-FFF2-40B4-BE49-F238E27FC236}">
              <a16:creationId xmlns:a16="http://schemas.microsoft.com/office/drawing/2014/main" id="{33939EED-0D43-D8BB-7B37-097152D4B4D7}"/>
            </a:ext>
          </a:extLst>
        </xdr:cNvPr>
        <xdr:cNvSpPr txBox="1">
          <a:spLocks noChangeArrowheads="1"/>
        </xdr:cNvSpPr>
      </xdr:nvSpPr>
      <xdr:spPr bwMode="auto">
        <a:xfrm>
          <a:off x="2124075" y="3295650"/>
          <a:ext cx="86677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9525</xdr:colOff>
      <xdr:row>13</xdr:row>
      <xdr:rowOff>0</xdr:rowOff>
    </xdr:from>
    <xdr:to>
      <xdr:col>5</xdr:col>
      <xdr:colOff>9525</xdr:colOff>
      <xdr:row>13</xdr:row>
      <xdr:rowOff>0</xdr:rowOff>
    </xdr:to>
    <xdr:sp macro="" textlink="">
      <xdr:nvSpPr>
        <xdr:cNvPr id="33185" name="Line 417">
          <a:extLst>
            <a:ext uri="{FF2B5EF4-FFF2-40B4-BE49-F238E27FC236}">
              <a16:creationId xmlns:a16="http://schemas.microsoft.com/office/drawing/2014/main" id="{09D9045D-3700-DCB6-E9F4-D7126330FAC7}"/>
            </a:ext>
          </a:extLst>
        </xdr:cNvPr>
        <xdr:cNvSpPr>
          <a:spLocks noChangeShapeType="1"/>
        </xdr:cNvSpPr>
      </xdr:nvSpPr>
      <xdr:spPr bwMode="auto">
        <a:xfrm>
          <a:off x="9525" y="2705100"/>
          <a:ext cx="30003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9525</xdr:rowOff>
    </xdr:from>
    <xdr:to>
      <xdr:col>3</xdr:col>
      <xdr:colOff>0</xdr:colOff>
      <xdr:row>12</xdr:row>
      <xdr:rowOff>9525</xdr:rowOff>
    </xdr:to>
    <xdr:sp macro="" textlink="">
      <xdr:nvSpPr>
        <xdr:cNvPr id="33186" name="Line 418">
          <a:extLst>
            <a:ext uri="{FF2B5EF4-FFF2-40B4-BE49-F238E27FC236}">
              <a16:creationId xmlns:a16="http://schemas.microsoft.com/office/drawing/2014/main" id="{2A8595F1-7F75-EC27-44C4-49A6D3503A39}"/>
            </a:ext>
          </a:extLst>
        </xdr:cNvPr>
        <xdr:cNvSpPr>
          <a:spLocks noChangeShapeType="1"/>
        </xdr:cNvSpPr>
      </xdr:nvSpPr>
      <xdr:spPr bwMode="auto">
        <a:xfrm>
          <a:off x="752475" y="2533650"/>
          <a:ext cx="13620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28575</xdr:rowOff>
    </xdr:from>
    <xdr:to>
      <xdr:col>1</xdr:col>
      <xdr:colOff>9525</xdr:colOff>
      <xdr:row>13</xdr:row>
      <xdr:rowOff>0</xdr:rowOff>
    </xdr:to>
    <xdr:sp macro="" textlink="">
      <xdr:nvSpPr>
        <xdr:cNvPr id="33187" name="Line 419">
          <a:extLst>
            <a:ext uri="{FF2B5EF4-FFF2-40B4-BE49-F238E27FC236}">
              <a16:creationId xmlns:a16="http://schemas.microsoft.com/office/drawing/2014/main" id="{6568BDF2-177A-89E9-9782-3015EA7ABFB2}"/>
            </a:ext>
          </a:extLst>
        </xdr:cNvPr>
        <xdr:cNvSpPr>
          <a:spLocks noChangeShapeType="1"/>
        </xdr:cNvSpPr>
      </xdr:nvSpPr>
      <xdr:spPr bwMode="auto">
        <a:xfrm>
          <a:off x="752475" y="25527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466725</xdr:colOff>
      <xdr:row>11</xdr:row>
      <xdr:rowOff>66675</xdr:rowOff>
    </xdr:from>
    <xdr:to>
      <xdr:col>2</xdr:col>
      <xdr:colOff>285750</xdr:colOff>
      <xdr:row>12</xdr:row>
      <xdr:rowOff>9525</xdr:rowOff>
    </xdr:to>
    <xdr:sp macro="" textlink="">
      <xdr:nvSpPr>
        <xdr:cNvPr id="33188" name="Text Box 420">
          <a:extLst>
            <a:ext uri="{FF2B5EF4-FFF2-40B4-BE49-F238E27FC236}">
              <a16:creationId xmlns:a16="http://schemas.microsoft.com/office/drawing/2014/main" id="{29613A2E-4925-B9FF-5BA8-419B5E500E1B}"/>
            </a:ext>
          </a:extLst>
        </xdr:cNvPr>
        <xdr:cNvSpPr txBox="1">
          <a:spLocks noChangeArrowheads="1"/>
        </xdr:cNvSpPr>
      </xdr:nvSpPr>
      <xdr:spPr bwMode="auto">
        <a:xfrm>
          <a:off x="1209675" y="2409825"/>
          <a:ext cx="514350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304800</xdr:colOff>
      <xdr:row>12</xdr:row>
      <xdr:rowOff>47625</xdr:rowOff>
    </xdr:from>
    <xdr:to>
      <xdr:col>4</xdr:col>
      <xdr:colOff>209550</xdr:colOff>
      <xdr:row>13</xdr:row>
      <xdr:rowOff>0</xdr:rowOff>
    </xdr:to>
    <xdr:sp macro="" textlink="">
      <xdr:nvSpPr>
        <xdr:cNvPr id="33189" name="Text Box 421">
          <a:extLst>
            <a:ext uri="{FF2B5EF4-FFF2-40B4-BE49-F238E27FC236}">
              <a16:creationId xmlns:a16="http://schemas.microsoft.com/office/drawing/2014/main" id="{A4B30BB6-418A-91A8-B9C4-561AD5E44818}"/>
            </a:ext>
          </a:extLst>
        </xdr:cNvPr>
        <xdr:cNvSpPr txBox="1">
          <a:spLocks noChangeArrowheads="1"/>
        </xdr:cNvSpPr>
      </xdr:nvSpPr>
      <xdr:spPr bwMode="auto">
        <a:xfrm>
          <a:off x="2419350" y="2571750"/>
          <a:ext cx="4095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>
      <selection activeCell="B4" sqref="B4"/>
    </sheetView>
  </sheetViews>
  <sheetFormatPr defaultRowHeight="15"/>
  <cols>
    <col min="2" max="2" width="9" customWidth="1"/>
    <col min="5" max="5" width="9" customWidth="1"/>
    <col min="88" max="88" width="17.44140625" bestFit="1" customWidth="1"/>
  </cols>
  <sheetData>
    <row r="1" spans="1:88">
      <c r="A1" s="1111" t="s">
        <v>11</v>
      </c>
      <c r="B1" s="812"/>
    </row>
    <row r="2" spans="1:88">
      <c r="A2" s="1111" t="s">
        <v>11</v>
      </c>
      <c r="B2" t="s">
        <v>11</v>
      </c>
    </row>
    <row r="3" spans="1:88" ht="15.75" thickBot="1">
      <c r="A3" s="1110" t="s">
        <v>701</v>
      </c>
      <c r="B3" t="s">
        <v>11</v>
      </c>
      <c r="C3" s="6" t="s">
        <v>12</v>
      </c>
      <c r="D3" s="6"/>
      <c r="E3" s="6"/>
      <c r="F3" s="6"/>
      <c r="G3" s="6"/>
      <c r="H3" s="6"/>
      <c r="I3" t="s">
        <v>11</v>
      </c>
      <c r="K3" t="s">
        <v>11</v>
      </c>
    </row>
    <row r="4" spans="1:88" ht="15.75" thickBot="1">
      <c r="A4" s="455"/>
      <c r="B4" s="812" t="s">
        <v>172</v>
      </c>
      <c r="H4" t="s">
        <v>11</v>
      </c>
      <c r="I4" t="s">
        <v>11</v>
      </c>
      <c r="J4" t="s">
        <v>11</v>
      </c>
      <c r="CJ4" s="463" t="s">
        <v>11</v>
      </c>
    </row>
    <row r="5" spans="1:88">
      <c r="A5" t="s">
        <v>719</v>
      </c>
      <c r="B5" s="778" t="s">
        <v>11</v>
      </c>
      <c r="C5" t="s">
        <v>11</v>
      </c>
      <c r="I5" t="s">
        <v>11</v>
      </c>
      <c r="J5" t="s">
        <v>11</v>
      </c>
      <c r="K5" t="s">
        <v>11</v>
      </c>
    </row>
    <row r="6" spans="1:88">
      <c r="A6" t="s">
        <v>11</v>
      </c>
      <c r="C6" t="s">
        <v>172</v>
      </c>
      <c r="H6" t="s">
        <v>11</v>
      </c>
      <c r="J6" t="s">
        <v>172</v>
      </c>
      <c r="K6" t="s">
        <v>411</v>
      </c>
    </row>
    <row r="7" spans="1:88">
      <c r="A7" t="s">
        <v>11</v>
      </c>
      <c r="B7" t="s">
        <v>11</v>
      </c>
      <c r="H7" t="s">
        <v>172</v>
      </c>
      <c r="I7" t="s">
        <v>11</v>
      </c>
      <c r="J7" t="s">
        <v>11</v>
      </c>
      <c r="K7" t="s">
        <v>11</v>
      </c>
    </row>
    <row r="8" spans="1:88">
      <c r="A8" t="s">
        <v>11</v>
      </c>
      <c r="B8" t="s">
        <v>11</v>
      </c>
      <c r="C8" t="s">
        <v>11</v>
      </c>
      <c r="H8" t="s">
        <v>11</v>
      </c>
      <c r="I8" t="s">
        <v>11</v>
      </c>
      <c r="J8" t="s">
        <v>11</v>
      </c>
      <c r="K8" s="1109" t="s">
        <v>701</v>
      </c>
      <c r="L8" t="s">
        <v>11</v>
      </c>
      <c r="M8" t="s">
        <v>11</v>
      </c>
    </row>
    <row r="9" spans="1:88">
      <c r="A9" t="s">
        <v>11</v>
      </c>
      <c r="B9" t="s">
        <v>11</v>
      </c>
      <c r="H9" t="s">
        <v>11</v>
      </c>
      <c r="I9" t="s">
        <v>11</v>
      </c>
      <c r="J9" t="s">
        <v>172</v>
      </c>
      <c r="K9" t="s">
        <v>11</v>
      </c>
      <c r="L9" t="s">
        <v>11</v>
      </c>
      <c r="M9" t="s">
        <v>11</v>
      </c>
    </row>
    <row r="10" spans="1:88">
      <c r="A10" t="s">
        <v>11</v>
      </c>
      <c r="B10" t="s">
        <v>11</v>
      </c>
      <c r="C10" t="s">
        <v>11</v>
      </c>
      <c r="D10" t="s">
        <v>172</v>
      </c>
      <c r="I10" t="s">
        <v>11</v>
      </c>
      <c r="J10" t="s">
        <v>172</v>
      </c>
      <c r="K10" t="s">
        <v>11</v>
      </c>
      <c r="L10" t="s">
        <v>632</v>
      </c>
    </row>
    <row r="11" spans="1:88">
      <c r="A11" t="s">
        <v>11</v>
      </c>
      <c r="B11" s="812" t="s">
        <v>11</v>
      </c>
      <c r="C11" s="417"/>
      <c r="H11" t="s">
        <v>11</v>
      </c>
      <c r="I11" t="s">
        <v>11</v>
      </c>
      <c r="J11" t="s">
        <v>11</v>
      </c>
      <c r="K11" t="s">
        <v>11</v>
      </c>
      <c r="L11" t="s">
        <v>11</v>
      </c>
    </row>
    <row r="12" spans="1:88">
      <c r="A12" t="s">
        <v>11</v>
      </c>
      <c r="B12" t="s">
        <v>11</v>
      </c>
      <c r="I12" t="s">
        <v>11</v>
      </c>
      <c r="J12" t="s">
        <v>11</v>
      </c>
      <c r="K12" t="s">
        <v>11</v>
      </c>
      <c r="L12" t="s">
        <v>11</v>
      </c>
    </row>
    <row r="13" spans="1:88">
      <c r="A13" t="s">
        <v>11</v>
      </c>
      <c r="B13" s="164" t="s">
        <v>11</v>
      </c>
      <c r="H13" t="s">
        <v>11</v>
      </c>
      <c r="I13" t="s">
        <v>11</v>
      </c>
      <c r="J13" t="s">
        <v>11</v>
      </c>
      <c r="K13" t="s">
        <v>11</v>
      </c>
      <c r="L13" t="s">
        <v>632</v>
      </c>
    </row>
    <row r="14" spans="1:88">
      <c r="A14" t="s">
        <v>11</v>
      </c>
      <c r="B14" t="s">
        <v>11</v>
      </c>
      <c r="H14" t="s">
        <v>11</v>
      </c>
      <c r="I14" t="s">
        <v>11</v>
      </c>
      <c r="J14" t="s">
        <v>11</v>
      </c>
      <c r="K14" t="s">
        <v>172</v>
      </c>
      <c r="L14" t="s">
        <v>11</v>
      </c>
    </row>
    <row r="15" spans="1:88">
      <c r="A15" s="459" t="s">
        <v>11</v>
      </c>
      <c r="B15" t="s">
        <v>172</v>
      </c>
      <c r="I15" t="s">
        <v>11</v>
      </c>
      <c r="J15" t="s">
        <v>11</v>
      </c>
      <c r="K15" t="s">
        <v>11</v>
      </c>
      <c r="L15" t="s">
        <v>11</v>
      </c>
    </row>
    <row r="16" spans="1:88">
      <c r="A16" t="s">
        <v>11</v>
      </c>
      <c r="B16" t="s">
        <v>11</v>
      </c>
      <c r="C16" t="s">
        <v>11</v>
      </c>
      <c r="G16" t="s">
        <v>11</v>
      </c>
      <c r="H16" t="s">
        <v>172</v>
      </c>
      <c r="J16" t="s">
        <v>11</v>
      </c>
      <c r="K16" t="s">
        <v>11</v>
      </c>
      <c r="L16" t="s">
        <v>11</v>
      </c>
    </row>
    <row r="17" spans="1:13">
      <c r="A17" t="s">
        <v>11</v>
      </c>
      <c r="B17" t="s">
        <v>11</v>
      </c>
      <c r="E17" t="s">
        <v>11</v>
      </c>
      <c r="H17" t="s">
        <v>11</v>
      </c>
      <c r="I17" t="s">
        <v>11</v>
      </c>
      <c r="J17" t="s">
        <v>11</v>
      </c>
      <c r="K17" t="s">
        <v>785</v>
      </c>
      <c r="L17" t="s">
        <v>11</v>
      </c>
    </row>
    <row r="18" spans="1:13">
      <c r="A18" t="s">
        <v>172</v>
      </c>
      <c r="B18" t="s">
        <v>11</v>
      </c>
      <c r="C18" t="s">
        <v>11</v>
      </c>
      <c r="E18" s="125" t="s">
        <v>11</v>
      </c>
      <c r="F18" t="s">
        <v>11</v>
      </c>
      <c r="H18" t="s">
        <v>11</v>
      </c>
      <c r="I18" t="s">
        <v>11</v>
      </c>
      <c r="J18" t="s">
        <v>11</v>
      </c>
      <c r="K18" t="s">
        <v>11</v>
      </c>
    </row>
    <row r="19" spans="1:13">
      <c r="B19" t="s">
        <v>11</v>
      </c>
      <c r="C19" t="s">
        <v>11</v>
      </c>
      <c r="G19" t="s">
        <v>11</v>
      </c>
      <c r="H19" t="s">
        <v>11</v>
      </c>
      <c r="I19" t="s">
        <v>11</v>
      </c>
      <c r="J19" t="s">
        <v>11</v>
      </c>
      <c r="K19" t="s">
        <v>11</v>
      </c>
      <c r="L19" t="s">
        <v>629</v>
      </c>
    </row>
    <row r="20" spans="1:13">
      <c r="A20" t="s">
        <v>11</v>
      </c>
      <c r="B20" t="s">
        <v>11</v>
      </c>
      <c r="C20" t="s">
        <v>11</v>
      </c>
      <c r="H20" t="s">
        <v>11</v>
      </c>
      <c r="I20" t="s">
        <v>11</v>
      </c>
      <c r="J20" t="s">
        <v>11</v>
      </c>
      <c r="K20" t="s">
        <v>11</v>
      </c>
      <c r="L20" t="s">
        <v>11</v>
      </c>
    </row>
    <row r="21" spans="1:13">
      <c r="B21" t="s">
        <v>11</v>
      </c>
      <c r="D21" t="s">
        <v>11</v>
      </c>
      <c r="F21" t="s">
        <v>11</v>
      </c>
      <c r="H21" t="s">
        <v>11</v>
      </c>
      <c r="I21" t="s">
        <v>11</v>
      </c>
      <c r="J21" t="s">
        <v>629</v>
      </c>
      <c r="K21" t="s">
        <v>11</v>
      </c>
      <c r="L21" t="s">
        <v>11</v>
      </c>
    </row>
    <row r="22" spans="1:13">
      <c r="C22" t="s">
        <v>11</v>
      </c>
      <c r="H22" t="s">
        <v>11</v>
      </c>
      <c r="I22" t="s">
        <v>11</v>
      </c>
      <c r="J22" t="s">
        <v>11</v>
      </c>
      <c r="K22" t="s">
        <v>11</v>
      </c>
    </row>
    <row r="23" spans="1:13">
      <c r="A23" t="s">
        <v>11</v>
      </c>
      <c r="B23" t="s">
        <v>11</v>
      </c>
      <c r="C23" t="s">
        <v>11</v>
      </c>
      <c r="D23" s="198" t="s">
        <v>11</v>
      </c>
      <c r="G23" t="s">
        <v>11</v>
      </c>
      <c r="H23" t="s">
        <v>11</v>
      </c>
      <c r="I23" t="s">
        <v>11</v>
      </c>
      <c r="J23" t="s">
        <v>11</v>
      </c>
      <c r="K23" t="s">
        <v>11</v>
      </c>
      <c r="L23" t="s">
        <v>11</v>
      </c>
    </row>
    <row r="24" spans="1:13">
      <c r="A24" t="s">
        <v>11</v>
      </c>
      <c r="B24" t="s">
        <v>11</v>
      </c>
      <c r="C24" t="s">
        <v>11</v>
      </c>
      <c r="E24" t="s">
        <v>11</v>
      </c>
      <c r="G24" t="s">
        <v>11</v>
      </c>
      <c r="H24" t="s">
        <v>11</v>
      </c>
      <c r="I24" t="s">
        <v>11</v>
      </c>
      <c r="J24" t="s">
        <v>11</v>
      </c>
      <c r="K24" t="s">
        <v>11</v>
      </c>
    </row>
    <row r="25" spans="1:13">
      <c r="B25" s="778" t="s">
        <v>172</v>
      </c>
      <c r="C25" t="s">
        <v>11</v>
      </c>
      <c r="E25" t="s">
        <v>11</v>
      </c>
      <c r="G25" s="454"/>
      <c r="H25" t="s">
        <v>11</v>
      </c>
      <c r="I25" t="s">
        <v>11</v>
      </c>
      <c r="J25" t="s">
        <v>11</v>
      </c>
      <c r="K25" t="s">
        <v>632</v>
      </c>
    </row>
    <row r="26" spans="1:13">
      <c r="A26" t="s">
        <v>11</v>
      </c>
      <c r="B26" t="s">
        <v>11</v>
      </c>
      <c r="C26" t="s">
        <v>172</v>
      </c>
      <c r="G26" s="454"/>
      <c r="H26" t="s">
        <v>11</v>
      </c>
      <c r="I26" t="s">
        <v>11</v>
      </c>
      <c r="J26" t="s">
        <v>11</v>
      </c>
      <c r="K26" t="s">
        <v>11</v>
      </c>
    </row>
    <row r="27" spans="1:13">
      <c r="A27" t="s">
        <v>11</v>
      </c>
      <c r="B27" t="s">
        <v>11</v>
      </c>
      <c r="C27" t="s">
        <v>632</v>
      </c>
      <c r="D27" t="s">
        <v>11</v>
      </c>
      <c r="G27" s="454"/>
      <c r="H27" t="s">
        <v>11</v>
      </c>
      <c r="I27" t="s">
        <v>11</v>
      </c>
      <c r="J27" s="125" t="s">
        <v>11</v>
      </c>
      <c r="K27" t="s">
        <v>11</v>
      </c>
      <c r="L27" t="s">
        <v>172</v>
      </c>
    </row>
    <row r="28" spans="1:13">
      <c r="G28" s="454"/>
      <c r="H28" t="s">
        <v>11</v>
      </c>
      <c r="I28" t="s">
        <v>11</v>
      </c>
      <c r="J28" t="s">
        <v>11</v>
      </c>
      <c r="K28" t="s">
        <v>11</v>
      </c>
      <c r="L28" t="s">
        <v>11</v>
      </c>
      <c r="M28" t="s">
        <v>11</v>
      </c>
    </row>
    <row r="29" spans="1:13">
      <c r="G29" s="454"/>
      <c r="H29" t="s">
        <v>11</v>
      </c>
      <c r="I29" t="s">
        <v>11</v>
      </c>
      <c r="J29" t="s">
        <v>11</v>
      </c>
      <c r="K29" t="s">
        <v>11</v>
      </c>
    </row>
    <row r="30" spans="1:13">
      <c r="H30" t="s">
        <v>11</v>
      </c>
      <c r="I30" t="s">
        <v>11</v>
      </c>
      <c r="J30" t="s">
        <v>11</v>
      </c>
      <c r="K30" t="s">
        <v>11</v>
      </c>
    </row>
    <row r="31" spans="1:13">
      <c r="H31" t="s">
        <v>11</v>
      </c>
      <c r="I31" t="s">
        <v>11</v>
      </c>
      <c r="J31" t="s">
        <v>11</v>
      </c>
      <c r="K31" t="s">
        <v>11</v>
      </c>
    </row>
    <row r="32" spans="1:13">
      <c r="A32" t="s">
        <v>11</v>
      </c>
      <c r="H32" t="s">
        <v>11</v>
      </c>
      <c r="I32" t="s">
        <v>11</v>
      </c>
      <c r="J32" t="s">
        <v>11</v>
      </c>
      <c r="K32" t="s">
        <v>11</v>
      </c>
    </row>
    <row r="33" spans="3:11">
      <c r="C33" t="s">
        <v>11</v>
      </c>
      <c r="H33" t="s">
        <v>11</v>
      </c>
      <c r="I33" t="s">
        <v>11</v>
      </c>
      <c r="J33" t="s">
        <v>11</v>
      </c>
      <c r="K33" t="s">
        <v>11</v>
      </c>
    </row>
    <row r="34" spans="3:11">
      <c r="H34" t="s">
        <v>11</v>
      </c>
      <c r="I34" t="s">
        <v>11</v>
      </c>
      <c r="J34" t="s">
        <v>11</v>
      </c>
      <c r="K34" t="s">
        <v>11</v>
      </c>
    </row>
    <row r="35" spans="3:11">
      <c r="H35" t="s">
        <v>11</v>
      </c>
      <c r="I35" t="s">
        <v>11</v>
      </c>
      <c r="J35" t="s">
        <v>11</v>
      </c>
      <c r="K35" t="s">
        <v>11</v>
      </c>
    </row>
    <row r="83" spans="1:9">
      <c r="A83" t="s">
        <v>11</v>
      </c>
    </row>
    <row r="86" spans="1:9">
      <c r="I86" t="s">
        <v>11</v>
      </c>
    </row>
    <row r="90" spans="1:9">
      <c r="A90" t="s">
        <v>172</v>
      </c>
    </row>
    <row r="142" spans="2:2">
      <c r="B142" t="s">
        <v>11</v>
      </c>
    </row>
    <row r="293" spans="1:1">
      <c r="A293" t="s">
        <v>11</v>
      </c>
    </row>
    <row r="958" spans="1:1">
      <c r="A958" t="s">
        <v>172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542925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533400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542925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542925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542925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9525</xdr:colOff>
                    <xdr:row>13</xdr:row>
                    <xdr:rowOff>0</xdr:rowOff>
                  </from>
                  <to>
                    <xdr:col>4</xdr:col>
                    <xdr:colOff>561975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28575</xdr:colOff>
                    <xdr:row>13</xdr:row>
                    <xdr:rowOff>0</xdr:rowOff>
                  </from>
                  <to>
                    <xdr:col>6</xdr:col>
                    <xdr:colOff>571500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542925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28575</xdr:rowOff>
                  </from>
                  <to>
                    <xdr:col>6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28575</xdr:rowOff>
                  </from>
                  <to>
                    <xdr:col>4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9525</xdr:colOff>
                    <xdr:row>22</xdr:row>
                    <xdr:rowOff>104775</xdr:rowOff>
                  </from>
                  <to>
                    <xdr:col>4</xdr:col>
                    <xdr:colOff>552450</xdr:colOff>
                    <xdr:row>24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49"/>
  <sheetViews>
    <sheetView zoomScale="75" workbookViewId="0">
      <selection sqref="A1:I42"/>
    </sheetView>
  </sheetViews>
  <sheetFormatPr defaultRowHeight="15"/>
  <cols>
    <col min="1" max="1" width="23.21875" style="114" customWidth="1"/>
    <col min="2" max="2" width="8.88671875" style="114"/>
    <col min="3" max="3" width="17" style="114" customWidth="1"/>
    <col min="4" max="4" width="8.6640625" style="114" customWidth="1"/>
    <col min="5" max="5" width="8.5546875" style="114" customWidth="1"/>
    <col min="6" max="6" width="8.6640625" style="114" customWidth="1"/>
    <col min="7" max="7" width="8.5546875" style="114" customWidth="1"/>
    <col min="8" max="9" width="8.6640625" style="114" customWidth="1"/>
    <col min="10" max="16384" width="8.88671875" style="114"/>
  </cols>
  <sheetData>
    <row r="1" spans="1:10" ht="20.100000000000001" customHeight="1" thickTop="1">
      <c r="A1" s="878" t="s">
        <v>651</v>
      </c>
      <c r="B1" s="836"/>
      <c r="C1" s="836"/>
      <c r="D1" s="836"/>
      <c r="E1" s="836"/>
      <c r="F1" s="836"/>
      <c r="G1" s="836" t="s">
        <v>135</v>
      </c>
      <c r="H1" s="879" t="str">
        <f>D3</f>
        <v>SAT</v>
      </c>
      <c r="I1" s="880">
        <f>D4</f>
        <v>37009</v>
      </c>
      <c r="J1" s="112"/>
    </row>
    <row r="2" spans="1:10" ht="20.100000000000001" customHeight="1">
      <c r="A2" s="839" t="s">
        <v>163</v>
      </c>
      <c r="B2" s="840"/>
      <c r="C2" s="840"/>
      <c r="D2" s="840"/>
      <c r="E2" s="840"/>
      <c r="F2" s="840"/>
      <c r="G2" s="840"/>
      <c r="H2" s="840"/>
      <c r="I2" s="841"/>
      <c r="J2" s="112"/>
    </row>
    <row r="3" spans="1:10" ht="20.100000000000001" customHeight="1" thickBot="1">
      <c r="A3" s="842"/>
      <c r="B3" s="840"/>
      <c r="C3" s="840"/>
      <c r="D3" s="843" t="str">
        <f t="shared" ref="D3:I3" si="0">CHOOSE(WEEKDAY(D4),"SUN","MON","TUE","WED","THU","FRI","SAT")</f>
        <v>SAT</v>
      </c>
      <c r="E3" s="843" t="str">
        <f t="shared" si="0"/>
        <v>SUN</v>
      </c>
      <c r="F3" s="843" t="str">
        <f t="shared" si="0"/>
        <v>MON</v>
      </c>
      <c r="G3" s="843" t="str">
        <f t="shared" si="0"/>
        <v>TUE</v>
      </c>
      <c r="H3" s="843" t="str">
        <f t="shared" si="0"/>
        <v>WED</v>
      </c>
      <c r="I3" s="844" t="str">
        <f t="shared" si="0"/>
        <v>THU</v>
      </c>
      <c r="J3" s="112"/>
    </row>
    <row r="4" spans="1:10" ht="20.100000000000001" customHeight="1" thickBot="1">
      <c r="A4" s="845" t="s">
        <v>164</v>
      </c>
      <c r="B4" s="846"/>
      <c r="C4" s="846"/>
      <c r="D4" s="847">
        <f>Weather_Input!A5</f>
        <v>37009</v>
      </c>
      <c r="E4" s="847">
        <f>Weather_Input!A6</f>
        <v>37010</v>
      </c>
      <c r="F4" s="847">
        <f>Weather_Input!A7</f>
        <v>37011</v>
      </c>
      <c r="G4" s="847">
        <f>Weather_Input!A8</f>
        <v>37012</v>
      </c>
      <c r="H4" s="847">
        <f>Weather_Input!A9</f>
        <v>37013</v>
      </c>
      <c r="I4" s="848">
        <f>Weather_Input!A10</f>
        <v>37014</v>
      </c>
      <c r="J4" s="112"/>
    </row>
    <row r="5" spans="1:10" s="113" customFormat="1" ht="20.100000000000001" customHeight="1" thickTop="1">
      <c r="A5" s="849" t="s">
        <v>137</v>
      </c>
      <c r="B5" s="840"/>
      <c r="C5" s="840" t="s">
        <v>138</v>
      </c>
      <c r="D5" s="881" t="str">
        <f>TEXT(Weather_Input!B5,"0")&amp;"/"&amp;TEXT(Weather_Input!C5,"0") &amp; "/" &amp; TEXT((Weather_Input!B5+Weather_Input!C5)/2,"0")</f>
        <v>65/46/56</v>
      </c>
      <c r="E5" s="881" t="str">
        <f>TEXT(Weather_Input!B6,"0")&amp;"/"&amp;TEXT(Weather_Input!C6,"0") &amp; "/" &amp; TEXT((Weather_Input!B6+Weather_Input!C6)/2,"0")</f>
        <v>78/56/67</v>
      </c>
      <c r="F5" s="881" t="str">
        <f>TEXT(Weather_Input!B7,"0")&amp;"/"&amp;TEXT(Weather_Input!C7,"0") &amp; "/" &amp; TEXT((Weather_Input!B7+Weather_Input!C7)/2,"0")</f>
        <v>82/58/70</v>
      </c>
      <c r="G5" s="881" t="str">
        <f>TEXT(Weather_Input!B8,"0")&amp;"/"&amp;TEXT(Weather_Input!C8,"0") &amp; "/" &amp; TEXT((Weather_Input!B8+Weather_Input!C8)/2,"0")</f>
        <v>84/63/74</v>
      </c>
      <c r="H5" s="881" t="str">
        <f>TEXT(Weather_Input!B9,"0")&amp;"/"&amp;TEXT(Weather_Input!C9,"0") &amp; "/" &amp; TEXT((Weather_Input!B9+Weather_Input!C9)/2,"0")</f>
        <v>84/63/74</v>
      </c>
      <c r="I5" s="882" t="str">
        <f>TEXT(Weather_Input!B10,"0")&amp;"/"&amp;TEXT(Weather_Input!C10,"0") &amp; "/" &amp; TEXT((Weather_Input!B10+Weather_Input!C10)/2,"0")</f>
        <v>80/65/73</v>
      </c>
      <c r="J5" s="112"/>
    </row>
    <row r="6" spans="1:10" ht="20.100000000000001" customHeight="1">
      <c r="A6" s="852" t="s">
        <v>139</v>
      </c>
      <c r="B6" s="840"/>
      <c r="C6" s="840"/>
      <c r="D6" s="850">
        <f ca="1">VLOOKUP(D4,NSG_Sendouts,CELL("Col",NSG_Deliveries!C5),FALSE)/1000</f>
        <v>56</v>
      </c>
      <c r="E6" s="850">
        <f ca="1">VLOOKUP(E4,NSG_Sendouts,CELL("Col",NSG_Deliveries!C6),FALSE)/1000</f>
        <v>47</v>
      </c>
      <c r="F6" s="850">
        <f ca="1">VLOOKUP(F4,NSG_Sendouts,CELL("Col",NSG_Deliveries!C7),FALSE)/1000</f>
        <v>46</v>
      </c>
      <c r="G6" s="850">
        <f ca="1">VLOOKUP(G4,NSG_Sendouts,CELL("Col",NSG_Deliveries!C8),FALSE)/1000</f>
        <v>42</v>
      </c>
      <c r="H6" s="850">
        <f ca="1">VLOOKUP(H4,NSG_Sendouts,CELL("Col",NSG_Deliveries!C9),FALSE)/1000</f>
        <v>42</v>
      </c>
      <c r="I6" s="855">
        <f ca="1">VLOOKUP(I4,NSG_Sendouts,CELL("Col",NSG_Deliveries!C10),FALSE)/1000</f>
        <v>43</v>
      </c>
      <c r="J6" s="113"/>
    </row>
    <row r="7" spans="1:10" ht="20.100000000000001" customHeight="1">
      <c r="A7" s="849" t="s">
        <v>140</v>
      </c>
      <c r="B7" s="840" t="s">
        <v>141</v>
      </c>
      <c r="C7" s="840"/>
      <c r="D7" s="850">
        <f>NSG_Requirements!C7/1000</f>
        <v>0</v>
      </c>
      <c r="E7" s="850">
        <f>NSG_Requirements!C8/1000</f>
        <v>0</v>
      </c>
      <c r="F7" s="850">
        <f>NSG_Requirements!C9/1000</f>
        <v>0</v>
      </c>
      <c r="G7" s="850">
        <f>NSG_Requirements!C10/1000</f>
        <v>0</v>
      </c>
      <c r="H7" s="850">
        <f>NSG_Requirements!C11/1000</f>
        <v>0</v>
      </c>
      <c r="I7" s="851">
        <f>NSG_Requirements!C12/1000</f>
        <v>0</v>
      </c>
      <c r="J7" s="112"/>
    </row>
    <row r="8" spans="1:10" ht="20.100000000000001" customHeight="1">
      <c r="A8" s="849"/>
      <c r="B8" s="840" t="s">
        <v>143</v>
      </c>
      <c r="C8" s="840"/>
      <c r="D8" s="850">
        <f>NSG_Requirements!D7/1000</f>
        <v>0</v>
      </c>
      <c r="E8" s="850">
        <f>NSG_Requirements!D8/1000</f>
        <v>0</v>
      </c>
      <c r="F8" s="850">
        <f>NSG_Requirements!D9/1000</f>
        <v>0</v>
      </c>
      <c r="G8" s="850">
        <f>NSG_Requirements!D10/1000</f>
        <v>0</v>
      </c>
      <c r="H8" s="850">
        <f>NSG_Requirements!D11/1000</f>
        <v>0</v>
      </c>
      <c r="I8" s="855">
        <f>NSG_Requirements!D11/1000</f>
        <v>0</v>
      </c>
      <c r="J8" s="113"/>
    </row>
    <row r="9" spans="1:10" ht="20.100000000000001" customHeight="1">
      <c r="A9" s="849"/>
      <c r="B9" s="840" t="s">
        <v>147</v>
      </c>
      <c r="C9" s="840"/>
      <c r="D9" s="850">
        <f>NSG_Requirements!E7/1000</f>
        <v>0</v>
      </c>
      <c r="E9" s="850">
        <f>NSG_Requirements!E8/1000</f>
        <v>0</v>
      </c>
      <c r="F9" s="850">
        <f>NSG_Requirements!E9/1000</f>
        <v>0</v>
      </c>
      <c r="G9" s="850">
        <f>NSG_Requirements!E10/1000</f>
        <v>0</v>
      </c>
      <c r="H9" s="850">
        <f>NSG_Requirements!E11/1000</f>
        <v>0</v>
      </c>
      <c r="I9" s="855">
        <f>NSG_Requirements!E12/1000</f>
        <v>0</v>
      </c>
      <c r="J9" s="113"/>
    </row>
    <row r="10" spans="1:10" ht="20.100000000000001" customHeight="1">
      <c r="A10" s="849"/>
      <c r="B10" s="840" t="s">
        <v>416</v>
      </c>
      <c r="C10" s="840"/>
      <c r="D10" s="850">
        <f>NSG_Requirements!F7/1000</f>
        <v>0</v>
      </c>
      <c r="E10" s="850">
        <f>NSG_Requirements!F8/1000</f>
        <v>0</v>
      </c>
      <c r="F10" s="850">
        <f>NSG_Requirements!F9/1000</f>
        <v>0</v>
      </c>
      <c r="G10" s="850">
        <f>NSG_Requirements!F10/1000</f>
        <v>0</v>
      </c>
      <c r="H10" s="850">
        <f>NSG_Requirements!F11/1000</f>
        <v>0</v>
      </c>
      <c r="I10" s="855">
        <f>NSG_Requirements!F12/1000</f>
        <v>0</v>
      </c>
      <c r="J10" s="113"/>
    </row>
    <row r="11" spans="1:10" ht="20.100000000000001" customHeight="1">
      <c r="A11" s="849" t="s">
        <v>144</v>
      </c>
      <c r="B11" s="840" t="s">
        <v>145</v>
      </c>
      <c r="C11" s="840" t="s">
        <v>60</v>
      </c>
      <c r="D11" s="850">
        <f>(NSG_Requirements!$K$7+NSG_Requirements!$L$7+NSG_Requirements!$M$7+NSG_Requirements!$N$7)/1000</f>
        <v>0</v>
      </c>
      <c r="E11" s="850">
        <f>(NSG_Requirements!$K$8+NSG_Requirements!$L$8+NSG_Requirements!$M$8+NSG_Requirements!$N$8)/1000</f>
        <v>0</v>
      </c>
      <c r="F11" s="850">
        <f>(NSG_Requirements!$K$9+NSG_Requirements!$L$9+NSG_Requirements!$M$9+NSG_Requirements!$N$9)/1000</f>
        <v>0</v>
      </c>
      <c r="G11" s="850">
        <f>(NSG_Requirements!$K$10+NSG_Requirements!$L$10+NSG_Requirements!$M$10+NSG_Requirements!$N$10)/1000</f>
        <v>0</v>
      </c>
      <c r="H11" s="850">
        <f>(NSG_Requirements!$K$11+NSG_Requirements!$L$11+NSG_Requirements!$M$11+NSG_Requirements!$N$11)/1000</f>
        <v>0</v>
      </c>
      <c r="I11" s="855">
        <f>(NSG_Requirements!$K$12+NSG_Requirements!$L$12+NSG_Requirements!$M$12+NSG_Requirements!$N$12)/1000</f>
        <v>0</v>
      </c>
      <c r="J11" s="113"/>
    </row>
    <row r="12" spans="1:10" ht="20.100000000000001" customHeight="1">
      <c r="A12" s="849"/>
      <c r="B12" s="840" t="s">
        <v>143</v>
      </c>
      <c r="C12" s="854" t="s">
        <v>90</v>
      </c>
      <c r="D12" s="850">
        <f>NSG_Requirements!J7/1000</f>
        <v>20</v>
      </c>
      <c r="E12" s="850">
        <f>NSG_Requirements!J8/1000</f>
        <v>20</v>
      </c>
      <c r="F12" s="850">
        <f>NSG_Requirements!J9/1000</f>
        <v>20</v>
      </c>
      <c r="G12" s="850">
        <f>NSG_Requirements!J10/1000</f>
        <v>20</v>
      </c>
      <c r="H12" s="850">
        <f>NSG_Requirements!J11/1000</f>
        <v>20</v>
      </c>
      <c r="I12" s="851">
        <f>NSG_Requirements!J12/1000</f>
        <v>20</v>
      </c>
      <c r="J12" s="112"/>
    </row>
    <row r="13" spans="1:10" ht="20.100000000000001" customHeight="1">
      <c r="A13" s="849"/>
      <c r="B13" s="840" t="s">
        <v>141</v>
      </c>
      <c r="C13" s="854" t="s">
        <v>90</v>
      </c>
      <c r="D13" s="850">
        <f>NSG_Requirements!H7/1000</f>
        <v>0</v>
      </c>
      <c r="E13" s="850">
        <f>NSG_Requirements!H8/1000</f>
        <v>2.7589999999999999</v>
      </c>
      <c r="F13" s="850">
        <f>NSG_Requirements!H9/1000</f>
        <v>0</v>
      </c>
      <c r="G13" s="850">
        <f>NSG_Requirements!H10/1000</f>
        <v>0</v>
      </c>
      <c r="H13" s="850">
        <f>NSG_Requirements!H11/1000</f>
        <v>0</v>
      </c>
      <c r="I13" s="851">
        <f>NSG_Requirements!H12/1000</f>
        <v>0</v>
      </c>
      <c r="J13" s="112"/>
    </row>
    <row r="14" spans="1:10" ht="20.100000000000001" customHeight="1">
      <c r="A14" s="849"/>
      <c r="B14" s="840" t="s">
        <v>143</v>
      </c>
      <c r="C14" s="840"/>
      <c r="D14" s="850">
        <f>(NSG_Requirements!$S$7+NSG_Requirements!$T$7+NSG_Requirements!$U$7)/1000</f>
        <v>0</v>
      </c>
      <c r="E14" s="850">
        <f>(NSG_Requirements!$S$8+NSG_Requirements!$T$8+NSG_Requirements!$U$8)/1000</f>
        <v>0</v>
      </c>
      <c r="F14" s="850">
        <f>(NSG_Requirements!$S$9+NSG_Requirements!$T$9+NSG_Requirements!$U$9)/1000</f>
        <v>0</v>
      </c>
      <c r="G14" s="850">
        <f>(NSG_Requirements!$S$10+NSG_Requirements!$T$10+NSG_Requirements!$U$10)/1000</f>
        <v>0</v>
      </c>
      <c r="H14" s="850">
        <f>(NSG_Requirements!$S$11+NSG_Requirements!$T$11+NSG_Requirements!$U$11)/1000</f>
        <v>0</v>
      </c>
      <c r="I14" s="855">
        <f>(NSG_Requirements!$S$12+NSG_Requirements!$T$12+NSG_Requirements!$U$12)/1000</f>
        <v>0</v>
      </c>
      <c r="J14" s="112"/>
    </row>
    <row r="15" spans="1:10" ht="20.100000000000001" customHeight="1">
      <c r="A15" s="849"/>
      <c r="B15" s="840" t="s">
        <v>141</v>
      </c>
      <c r="C15" s="840"/>
      <c r="D15" s="850">
        <f>(NSG_Requirements!$Y$7+NSG_Requirements!$Z$7+NSG_Requirements!$AA$7)/1000</f>
        <v>0</v>
      </c>
      <c r="E15" s="850">
        <f>(NSG_Requirements!$Y$8+NSG_Requirements!$Z$8+NSG_Requirements!$AA$8)/1000</f>
        <v>0</v>
      </c>
      <c r="F15" s="850">
        <f>(NSG_Requirements!$Y$9+NSG_Requirements!$Z$9+NSG_Requirements!$AA$9)/1000</f>
        <v>0</v>
      </c>
      <c r="G15" s="850">
        <f>(NSG_Requirements!$Y$10+NSG_Requirements!$Z$10+NSG_Requirements!$AA$10)/1000</f>
        <v>0</v>
      </c>
      <c r="H15" s="850">
        <f>(NSG_Requirements!$Y$11+NSG_Requirements!$Z$11+NSG_Requirements!$AA$11)/1000</f>
        <v>0</v>
      </c>
      <c r="I15" s="855">
        <f>(NSG_Requirements!$Y$12+NSG_Requirements!$Z$12+NSG_Requirements!$AA$12)/1000</f>
        <v>0</v>
      </c>
      <c r="J15" s="113"/>
    </row>
    <row r="16" spans="1:10" ht="20.100000000000001" customHeight="1">
      <c r="A16" s="849"/>
      <c r="B16" s="840" t="s">
        <v>147</v>
      </c>
      <c r="C16" s="854"/>
      <c r="D16" s="850">
        <f>(NSG_Requirements!$V$7+NSG_Requirements!$W$7+NSG_Requirements!$X$7)/1000</f>
        <v>0</v>
      </c>
      <c r="E16" s="850">
        <f>(NSG_Requirements!$V$8+NSG_Requirements!$W$8+NSG_Requirements!$X$8)/1000</f>
        <v>0</v>
      </c>
      <c r="F16" s="850">
        <f>(NSG_Requirements!$V$9+NSG_Requirements!$W$9+NSG_Requirements!$X$9)/1000</f>
        <v>0</v>
      </c>
      <c r="G16" s="850">
        <f>(NSG_Requirements!$V$10+NSG_Requirements!$W$10+NSG_Requirements!$X$10)/1000</f>
        <v>0</v>
      </c>
      <c r="H16" s="850">
        <f>(NSG_Requirements!$V$11+NSG_Requirements!$W$11+NSG_Requirements!$X$11)/1000</f>
        <v>0</v>
      </c>
      <c r="I16" s="855">
        <f>(NSG_Requirements!$V$12+NSG_Requirements!$W$12+NSG_Requirements!$X$12)/1000</f>
        <v>0</v>
      </c>
      <c r="J16" s="113"/>
    </row>
    <row r="17" spans="1:10" ht="20.100000000000001" customHeight="1">
      <c r="A17" s="849"/>
      <c r="B17" s="840" t="s">
        <v>416</v>
      </c>
      <c r="C17" s="840"/>
      <c r="D17" s="850">
        <f>(NSG_Requirements!$AB$7+NSG_Requirements!$AC$7+NSG_Requirements!$AD$7+NSG_Requirements!$AE$7)/1000</f>
        <v>0</v>
      </c>
      <c r="E17" s="850">
        <f>(NSG_Requirements!$AB$8+NSG_Requirements!$AC$8+NSG_Requirements!$AD$8+NSG_Requirements!$AE$8)/1000</f>
        <v>0</v>
      </c>
      <c r="F17" s="850">
        <f>(NSG_Requirements!$AB$9+NSG_Requirements!$AC9+NSG_Requirements!$AD$9+NSG_Requirements!$AE$9)/1000</f>
        <v>0</v>
      </c>
      <c r="G17" s="850">
        <f>(NSG_Requirements!$AB$10+NSG_Requirements!$AC$10+NSG_Requirements!$AD$10+NSG_Requirements!$AE$10)/1000</f>
        <v>0</v>
      </c>
      <c r="H17" s="850">
        <f>(NSG_Requirements!$Y$11+NSG_Requirements!$Z$11+NSG_Requirements!$AA$11+NSG_Requirements!$AE$11)/1000</f>
        <v>0</v>
      </c>
      <c r="I17" s="855">
        <f>(NSG_Requirements!$Y$12+NSG_Requirements!$Z$12+NSG_Requirements!$AA$12+NSG_Requirements!$AE$12)/1000</f>
        <v>0</v>
      </c>
      <c r="J17" s="113"/>
    </row>
    <row r="18" spans="1:10" ht="20.100000000000001" customHeight="1">
      <c r="A18" s="867" t="s">
        <v>165</v>
      </c>
      <c r="B18" s="868" t="s">
        <v>401</v>
      </c>
      <c r="C18" s="868"/>
      <c r="D18" s="883">
        <f>NSG_Requirements!B7/1000</f>
        <v>0</v>
      </c>
      <c r="E18" s="883">
        <f>NSG_Requirements!B8/1000</f>
        <v>0</v>
      </c>
      <c r="F18" s="883">
        <f>NSG_Requirements!B9/1000</f>
        <v>0</v>
      </c>
      <c r="G18" s="883">
        <f>NSG_Requirements!B10/1000</f>
        <v>0</v>
      </c>
      <c r="H18" s="883">
        <f>NSG_Requirements!B11/1000</f>
        <v>0</v>
      </c>
      <c r="I18" s="884">
        <f>NSG_Requirements!B12/1000</f>
        <v>0</v>
      </c>
      <c r="J18" s="112"/>
    </row>
    <row r="19" spans="1:10" ht="20.100000000000001" customHeight="1" thickBot="1">
      <c r="A19" s="885" t="s">
        <v>151</v>
      </c>
      <c r="B19" s="875"/>
      <c r="C19" s="875"/>
      <c r="D19" s="859">
        <f t="shared" ref="D19:I19" ca="1" si="1">SUM(D6:D18)</f>
        <v>76</v>
      </c>
      <c r="E19" s="859">
        <f t="shared" ca="1" si="1"/>
        <v>69.759</v>
      </c>
      <c r="F19" s="859">
        <f t="shared" ca="1" si="1"/>
        <v>66</v>
      </c>
      <c r="G19" s="859">
        <f t="shared" ca="1" si="1"/>
        <v>62</v>
      </c>
      <c r="H19" s="859">
        <f t="shared" ca="1" si="1"/>
        <v>62</v>
      </c>
      <c r="I19" s="860">
        <f t="shared" ca="1" si="1"/>
        <v>63</v>
      </c>
      <c r="J19" s="112"/>
    </row>
    <row r="20" spans="1:10" ht="20.100000000000001" customHeight="1" thickTop="1" thickBot="1">
      <c r="A20" s="886"/>
      <c r="B20" s="887"/>
      <c r="C20" s="887"/>
      <c r="D20" s="888"/>
      <c r="E20" s="888"/>
      <c r="F20" s="888"/>
      <c r="G20" s="888"/>
      <c r="H20" s="888"/>
      <c r="I20" s="888"/>
      <c r="J20" s="113"/>
    </row>
    <row r="21" spans="1:10" ht="20.100000000000001" customHeight="1" thickTop="1" thickBot="1">
      <c r="A21" s="889" t="s">
        <v>152</v>
      </c>
      <c r="B21" s="863"/>
      <c r="C21" s="863"/>
      <c r="D21" s="864"/>
      <c r="E21" s="864"/>
      <c r="F21" s="864"/>
      <c r="G21" s="864"/>
      <c r="H21" s="864"/>
      <c r="I21" s="865"/>
      <c r="J21" s="112"/>
    </row>
    <row r="22" spans="1:10" ht="20.100000000000001" customHeight="1" thickTop="1">
      <c r="A22" s="849" t="s">
        <v>775</v>
      </c>
      <c r="B22" s="840" t="s">
        <v>145</v>
      </c>
      <c r="C22" s="840" t="s">
        <v>166</v>
      </c>
      <c r="D22" s="850">
        <f>NSG_Supplies!H7/1000</f>
        <v>0</v>
      </c>
      <c r="E22" s="850">
        <f>NSG_Supplies!H8/1000</f>
        <v>0</v>
      </c>
      <c r="F22" s="850">
        <f>NSG_Supplies!H9/1000</f>
        <v>0</v>
      </c>
      <c r="G22" s="850">
        <f>NSG_Supplies!H10/1000</f>
        <v>0</v>
      </c>
      <c r="H22" s="850">
        <f>NSG_Supplies!H11/1000</f>
        <v>0</v>
      </c>
      <c r="I22" s="851">
        <f>NSG_Supplies!H12/1000</f>
        <v>0</v>
      </c>
      <c r="J22" s="112"/>
    </row>
    <row r="23" spans="1:10" ht="20.100000000000001" customHeight="1">
      <c r="A23" s="849"/>
      <c r="B23" s="840" t="s">
        <v>143</v>
      </c>
      <c r="C23" s="840" t="s">
        <v>154</v>
      </c>
      <c r="D23" s="850">
        <f>NSG_Supplies!L7/1000</f>
        <v>0</v>
      </c>
      <c r="E23" s="850">
        <f>NSG_Supplies!L8/1000</f>
        <v>0</v>
      </c>
      <c r="F23" s="850">
        <f>NSG_Supplies!L9/1000</f>
        <v>0</v>
      </c>
      <c r="G23" s="850">
        <f>NSG_Supplies!L10/1000</f>
        <v>0</v>
      </c>
      <c r="H23" s="850">
        <f>NSG_Supplies!L11/1000</f>
        <v>0</v>
      </c>
      <c r="I23" s="851">
        <f>NSG_Supplies!L12/1000</f>
        <v>0</v>
      </c>
      <c r="J23" s="112"/>
    </row>
    <row r="24" spans="1:10" ht="20.100000000000001" customHeight="1">
      <c r="A24" s="849"/>
      <c r="B24" s="840"/>
      <c r="C24" s="840" t="s">
        <v>10</v>
      </c>
      <c r="D24" s="850">
        <f>NSG_Supplies!E7/1000</f>
        <v>0</v>
      </c>
      <c r="E24" s="850">
        <f>NSG_Supplies!E8/1000</f>
        <v>0</v>
      </c>
      <c r="F24" s="850">
        <f>NSG_Supplies!E9/1000</f>
        <v>0</v>
      </c>
      <c r="G24" s="850">
        <f>NSG_Supplies!E10/1000</f>
        <v>0</v>
      </c>
      <c r="H24" s="850">
        <f>NSG_Supplies!E11/1000</f>
        <v>0</v>
      </c>
      <c r="I24" s="855">
        <f>NSG_Supplies!E12/1000</f>
        <v>0</v>
      </c>
      <c r="J24" s="113"/>
    </row>
    <row r="25" spans="1:10" ht="20.100000000000001" customHeight="1">
      <c r="A25" s="849"/>
      <c r="B25" s="840" t="s">
        <v>141</v>
      </c>
      <c r="C25" s="854" t="s">
        <v>90</v>
      </c>
      <c r="D25" s="850">
        <f>NSG_Supplies!F7/1000</f>
        <v>6.25</v>
      </c>
      <c r="E25" s="850">
        <f>NSG_Supplies!F8/1000</f>
        <v>0</v>
      </c>
      <c r="F25" s="850">
        <f>NSG_Supplies!F9/1000</f>
        <v>0</v>
      </c>
      <c r="G25" s="850">
        <f>NSG_Supplies!F10/1000</f>
        <v>0</v>
      </c>
      <c r="H25" s="850">
        <f>NSG_Supplies!F11/1000</f>
        <v>0</v>
      </c>
      <c r="I25" s="855">
        <f>NSG_Supplies!F12/1000</f>
        <v>0</v>
      </c>
      <c r="J25" s="113"/>
    </row>
    <row r="26" spans="1:10" ht="20.100000000000001" customHeight="1">
      <c r="A26" s="849"/>
      <c r="B26" s="840" t="s">
        <v>83</v>
      </c>
      <c r="C26" s="840" t="s">
        <v>776</v>
      </c>
      <c r="D26" s="850">
        <f>NSG_Supplies!U7/1000</f>
        <v>0</v>
      </c>
      <c r="E26" s="850">
        <f>NSG_Supplies!U8/1000</f>
        <v>0</v>
      </c>
      <c r="F26" s="850">
        <f>NSG_Supplies!U9/1000</f>
        <v>0</v>
      </c>
      <c r="G26" s="850">
        <f>NSG_Supplies!U10/1000</f>
        <v>0</v>
      </c>
      <c r="H26" s="850">
        <f>NSG_Supplies!U11/1000</f>
        <v>0</v>
      </c>
      <c r="I26" s="855">
        <f>NSG_Supplies!U12/1000</f>
        <v>0</v>
      </c>
      <c r="J26" s="113"/>
    </row>
    <row r="27" spans="1:10" ht="20.100000000000001" customHeight="1">
      <c r="A27" s="852" t="s">
        <v>167</v>
      </c>
      <c r="B27" s="856" t="s">
        <v>143</v>
      </c>
      <c r="C27" s="856"/>
      <c r="D27" s="850">
        <f>(PGL_Requirements!$V$7+PGL_Requirements!$W$7+PGL_Requirements!$X$7)/1000</f>
        <v>0</v>
      </c>
      <c r="E27" s="850">
        <f>(PGL_Requirements!$V$8+PGL_Requirements!$W$8+PGL_Requirements!$X$8)/1000</f>
        <v>0</v>
      </c>
      <c r="F27" s="850">
        <f>(PGL_Requirements!$V$9+PGL_Requirements!$W$9+PGL_Requirements!$X$9)/1000</f>
        <v>0</v>
      </c>
      <c r="G27" s="850">
        <f>(PGL_Requirements!$V$10+PGL_Requirements!$W$10+PGL_Requirements!$X$10)/1000</f>
        <v>0</v>
      </c>
      <c r="H27" s="850">
        <f>(PGL_Requirements!$V$11+PGL_Requirements!$W$11+PGL_Requirements!$X$11)/1000</f>
        <v>0</v>
      </c>
      <c r="I27" s="851">
        <f>(PGL_Requirements!$V$12+PGL_Requirements!$W$12+PGL_Requirements!$X$12)/1000</f>
        <v>0</v>
      </c>
      <c r="J27" s="112"/>
    </row>
    <row r="28" spans="1:10" ht="20.100000000000001" customHeight="1">
      <c r="A28" s="849"/>
      <c r="B28" s="856" t="s">
        <v>141</v>
      </c>
      <c r="C28" s="856"/>
      <c r="D28" s="850">
        <f>(PGL_Requirements!$Y$7+PGL_Requirements!$AA$7+PGL_Requirements!$Z$7+PGL_Requirements!$AB$7)/1000</f>
        <v>0</v>
      </c>
      <c r="E28" s="850">
        <f>(PGL_Requirements!$Y$8+PGL_Requirements!$AA$8+PGL_Requirements!$Z$8+PGL_Requirements!$AB$8)/1000</f>
        <v>0</v>
      </c>
      <c r="F28" s="850">
        <f>(PGL_Requirements!$Y$9+PGL_Requirements!$AA$9+PGL_Requirements!$Z$9+PGL_Requirements!$AB$9)/1000</f>
        <v>0</v>
      </c>
      <c r="G28" s="850">
        <f>(PGL_Requirements!$Y$10+PGL_Requirements!$AA$10+PGL_Requirements!$Z$10+PGL_Requirements!$AB$10)/1000</f>
        <v>0</v>
      </c>
      <c r="H28" s="850">
        <f>(PGL_Requirements!$Y$11+PGL_Requirements!$AA$11+PGL_Requirements!$Z$11+PGL_Requirements!$AB$11)/1000</f>
        <v>0</v>
      </c>
      <c r="I28" s="851">
        <f>(PGL_Requirements!$Y$12+PGL_Requirements!$AA$12+PGL_Requirements!$Z$12+PGL_Requirements!$AB$12)/1000</f>
        <v>0</v>
      </c>
      <c r="J28" s="112"/>
    </row>
    <row r="29" spans="1:10" ht="20.100000000000001" customHeight="1">
      <c r="A29" s="849"/>
      <c r="B29" s="856" t="s">
        <v>147</v>
      </c>
      <c r="C29" s="840"/>
      <c r="D29" s="850">
        <f>(PGL_Requirements!$AC$7+PGL_Requirements!$AD$7+PGL_Requirements!$AE$7)/1000</f>
        <v>0</v>
      </c>
      <c r="E29" s="850">
        <f>(PGL_Requirements!$AC$8+PGL_Requirements!$AD$8+PGL_Requirements!$AE$8)/1000</f>
        <v>0</v>
      </c>
      <c r="F29" s="850">
        <f>(PGL_Requirements!$AC$9+PGL_Requirements!$AD$9+PGL_Requirements!$AE$9)/1000</f>
        <v>0</v>
      </c>
      <c r="G29" s="850">
        <f>(PGL_Requirements!$AC$10+PGL_Requirements!$AD$10+PGL_Requirements!$AE$10)/1000</f>
        <v>0</v>
      </c>
      <c r="H29" s="850">
        <f>(PGL_Requirements!$AC$11+PGL_Requirements!$AD$11+PGL_Requirements!$AE$11)/1000</f>
        <v>0</v>
      </c>
      <c r="I29" s="851">
        <f>(PGL_Requirements!$AC$12+PGL_Requirements!$AD$12+PGL_Requirements!$AE$12)/1000</f>
        <v>0</v>
      </c>
      <c r="J29" s="112"/>
    </row>
    <row r="30" spans="1:10" ht="20.100000000000001" customHeight="1">
      <c r="A30" s="849"/>
      <c r="B30" s="840" t="s">
        <v>416</v>
      </c>
      <c r="C30" s="840"/>
      <c r="D30" s="850">
        <v>0</v>
      </c>
      <c r="E30" s="850">
        <v>0</v>
      </c>
      <c r="F30" s="850">
        <v>0</v>
      </c>
      <c r="G30" s="850">
        <v>0</v>
      </c>
      <c r="H30" s="850">
        <v>0</v>
      </c>
      <c r="I30" s="851">
        <v>0</v>
      </c>
      <c r="J30" s="112"/>
    </row>
    <row r="31" spans="1:10" ht="20.100000000000001" customHeight="1">
      <c r="A31" s="849" t="s">
        <v>168</v>
      </c>
      <c r="B31" s="840" t="s">
        <v>143</v>
      </c>
      <c r="C31" s="840" t="s">
        <v>169</v>
      </c>
      <c r="D31" s="850">
        <f>NSG_Supplies!P7/1000</f>
        <v>0</v>
      </c>
      <c r="E31" s="850">
        <f>NSG_Supplies!P8/1000</f>
        <v>0</v>
      </c>
      <c r="F31" s="850">
        <f>NSG_Supplies!P9/1000</f>
        <v>0</v>
      </c>
      <c r="G31" s="850">
        <f>NSG_Supplies!P10/1000</f>
        <v>0</v>
      </c>
      <c r="H31" s="850">
        <f>NSG_Supplies!P11/1000</f>
        <v>0</v>
      </c>
      <c r="I31" s="851">
        <f>NSG_Supplies!P12/1000</f>
        <v>0</v>
      </c>
      <c r="J31" s="112"/>
    </row>
    <row r="32" spans="1:10" ht="20.100000000000001" customHeight="1">
      <c r="A32" s="849"/>
      <c r="B32" s="840" t="s">
        <v>141</v>
      </c>
      <c r="C32" s="1170" t="s">
        <v>777</v>
      </c>
      <c r="D32" s="850">
        <f>NSG_Supplies!R7/1000</f>
        <v>49.755000000000003</v>
      </c>
      <c r="E32" s="850">
        <f>NSG_Supplies!R8/1000</f>
        <v>49.755000000000003</v>
      </c>
      <c r="F32" s="850">
        <f>NSG_Supplies!R9/1000</f>
        <v>49.755000000000003</v>
      </c>
      <c r="G32" s="850">
        <f>NSG_Supplies!R10/1000</f>
        <v>49.755000000000003</v>
      </c>
      <c r="H32" s="850">
        <f>NSG_Supplies!R11/1000</f>
        <v>49.755000000000003</v>
      </c>
      <c r="I32" s="851">
        <f>NSG_Supplies!R12/1000</f>
        <v>49.755000000000003</v>
      </c>
      <c r="J32" s="112"/>
    </row>
    <row r="33" spans="1:13" ht="20.100000000000001" customHeight="1">
      <c r="A33" s="849"/>
      <c r="B33" s="840" t="s">
        <v>143</v>
      </c>
      <c r="C33" s="840" t="s">
        <v>640</v>
      </c>
      <c r="D33" s="850">
        <f>NSG_Supplies!Q7/1000</f>
        <v>20</v>
      </c>
      <c r="E33" s="850">
        <f>NSG_Supplies!Q8/1000</f>
        <v>20</v>
      </c>
      <c r="F33" s="850">
        <f>NSG_Supplies!Q9/1000</f>
        <v>20</v>
      </c>
      <c r="G33" s="850">
        <f>NSG_Supplies!Q10/1000</f>
        <v>20</v>
      </c>
      <c r="H33" s="850">
        <f>NSG_Supplies!Q11/1000</f>
        <v>20</v>
      </c>
      <c r="I33" s="851">
        <f>NSG_Supplies!Q12/1000</f>
        <v>20</v>
      </c>
      <c r="J33" s="112"/>
    </row>
    <row r="34" spans="1:13" ht="20.100000000000001" customHeight="1">
      <c r="A34" s="849" t="s">
        <v>160</v>
      </c>
      <c r="B34" s="840" t="s">
        <v>147</v>
      </c>
      <c r="C34" s="840" t="s">
        <v>170</v>
      </c>
      <c r="D34" s="850">
        <f>NSG_Supplies!O7/1000</f>
        <v>0</v>
      </c>
      <c r="E34" s="850">
        <f>NSG_Supplies!O8/1000</f>
        <v>0</v>
      </c>
      <c r="F34" s="850">
        <f>NSG_Supplies!O9/1000</f>
        <v>0</v>
      </c>
      <c r="G34" s="850">
        <f>NSG_Supplies!O10/1000</f>
        <v>0</v>
      </c>
      <c r="H34" s="850">
        <f>NSG_Supplies!O11/1000</f>
        <v>0</v>
      </c>
      <c r="I34" s="855">
        <f>NSG_Supplies!O12/1000</f>
        <v>0</v>
      </c>
      <c r="J34" s="112"/>
    </row>
    <row r="35" spans="1:13" ht="20.100000000000001" customHeight="1">
      <c r="A35" s="849"/>
      <c r="B35" s="840" t="s">
        <v>416</v>
      </c>
      <c r="C35" s="854" t="s">
        <v>524</v>
      </c>
      <c r="D35" s="850">
        <f>NSG_Supplies!N7/1000</f>
        <v>0</v>
      </c>
      <c r="E35" s="850">
        <f>NSG_Supplies!N8/1000</f>
        <v>0</v>
      </c>
      <c r="F35" s="850">
        <f>NSG_Supplies!N9/1000</f>
        <v>0</v>
      </c>
      <c r="G35" s="850">
        <f>NSG_Supplies!N10/1000</f>
        <v>0</v>
      </c>
      <c r="H35" s="850">
        <f>NSG_Supplies!N11/1000</f>
        <v>0</v>
      </c>
      <c r="I35" s="855">
        <f>NSG_Supplies!N12/1000</f>
        <v>0</v>
      </c>
      <c r="J35" s="112"/>
    </row>
    <row r="36" spans="1:13" ht="20.100000000000001" customHeight="1">
      <c r="A36" s="867"/>
      <c r="B36" s="868" t="s">
        <v>401</v>
      </c>
      <c r="C36" s="868"/>
      <c r="D36" s="883">
        <f>NSG_Supplies!B7/1000</f>
        <v>0</v>
      </c>
      <c r="E36" s="883">
        <f>NSG_Supplies!B8/1000</f>
        <v>0</v>
      </c>
      <c r="F36" s="883">
        <f>NSG_Supplies!B9/1000</f>
        <v>0</v>
      </c>
      <c r="G36" s="883">
        <f>NSG_Supplies!B10/1000</f>
        <v>0</v>
      </c>
      <c r="H36" s="883">
        <f>NSG_Supplies!B11/1000</f>
        <v>0</v>
      </c>
      <c r="I36" s="869">
        <f>NSG_Supplies!B12/1000</f>
        <v>0</v>
      </c>
      <c r="J36" s="112"/>
      <c r="K36" s="113"/>
      <c r="L36" s="95"/>
      <c r="M36" s="113"/>
    </row>
    <row r="37" spans="1:13" ht="20.100000000000001" customHeight="1" thickBot="1">
      <c r="A37" s="870" t="s">
        <v>160</v>
      </c>
      <c r="B37" s="871"/>
      <c r="C37" s="871"/>
      <c r="D37" s="890">
        <f t="shared" ref="D37:I37" si="2">SUM(D22:D36)</f>
        <v>76.004999999999995</v>
      </c>
      <c r="E37" s="890">
        <f t="shared" si="2"/>
        <v>69.754999999999995</v>
      </c>
      <c r="F37" s="890">
        <f t="shared" si="2"/>
        <v>69.754999999999995</v>
      </c>
      <c r="G37" s="890">
        <f t="shared" si="2"/>
        <v>69.754999999999995</v>
      </c>
      <c r="H37" s="890">
        <f t="shared" si="2"/>
        <v>69.754999999999995</v>
      </c>
      <c r="I37" s="891">
        <f t="shared" si="2"/>
        <v>69.754999999999995</v>
      </c>
      <c r="J37" s="112"/>
      <c r="K37" s="113"/>
      <c r="L37" s="95"/>
      <c r="M37" s="113"/>
    </row>
    <row r="38" spans="1:13" ht="20.100000000000001" customHeight="1">
      <c r="A38" s="892" t="s">
        <v>161</v>
      </c>
      <c r="B38" s="893"/>
      <c r="C38" s="893"/>
      <c r="D38" s="894">
        <f t="shared" ref="D38:I38" ca="1" si="3">IF(D37-D19&lt;0,0,D37-D19)</f>
        <v>4.9999999999954525E-3</v>
      </c>
      <c r="E38" s="894">
        <f t="shared" ca="1" si="3"/>
        <v>0</v>
      </c>
      <c r="F38" s="894">
        <f t="shared" ca="1" si="3"/>
        <v>3.7549999999999955</v>
      </c>
      <c r="G38" s="894">
        <f t="shared" ca="1" si="3"/>
        <v>7.7549999999999955</v>
      </c>
      <c r="H38" s="894">
        <f t="shared" ca="1" si="3"/>
        <v>7.7549999999999955</v>
      </c>
      <c r="I38" s="895">
        <f t="shared" ca="1" si="3"/>
        <v>6.7549999999999955</v>
      </c>
      <c r="J38" s="112"/>
      <c r="K38" s="113"/>
      <c r="L38" s="95"/>
      <c r="M38" s="113"/>
    </row>
    <row r="39" spans="1:13" ht="20.100000000000001" customHeight="1" thickBot="1">
      <c r="A39" s="896" t="s">
        <v>162</v>
      </c>
      <c r="B39" s="875"/>
      <c r="C39" s="875"/>
      <c r="D39" s="876">
        <f t="shared" ref="D39:I39" ca="1" si="4">IF(D19-D37&lt;0,0,D19-D37)</f>
        <v>0</v>
      </c>
      <c r="E39" s="876">
        <f t="shared" ca="1" si="4"/>
        <v>4.0000000000048885E-3</v>
      </c>
      <c r="F39" s="876">
        <f t="shared" ca="1" si="4"/>
        <v>0</v>
      </c>
      <c r="G39" s="876">
        <f t="shared" ca="1" si="4"/>
        <v>0</v>
      </c>
      <c r="H39" s="876">
        <f t="shared" ca="1" si="4"/>
        <v>0</v>
      </c>
      <c r="I39" s="877">
        <f t="shared" ca="1" si="4"/>
        <v>0</v>
      </c>
      <c r="J39" s="112"/>
      <c r="K39" s="113"/>
      <c r="L39" s="113"/>
      <c r="M39" s="113"/>
    </row>
    <row r="40" spans="1:13" ht="20.100000000000001" customHeight="1" thickTop="1" thickBot="1">
      <c r="A40" s="1171" t="s">
        <v>778</v>
      </c>
      <c r="B40" s="1172"/>
      <c r="C40" s="1172"/>
      <c r="D40" s="1173">
        <f>NSG_Supplies!S7/1000</f>
        <v>24.754999999999999</v>
      </c>
      <c r="E40" s="1173">
        <f>NSG_Supplies!S8/1000</f>
        <v>24.754999999999999</v>
      </c>
      <c r="F40" s="1173">
        <f>NSG_Supplies!S9/1000</f>
        <v>24.754999999999999</v>
      </c>
      <c r="G40" s="1173">
        <f>NSG_Supplies!S10/1000</f>
        <v>24.754999999999999</v>
      </c>
      <c r="H40" s="1173">
        <f>NSG_Supplies!S11/1000</f>
        <v>24.754999999999999</v>
      </c>
      <c r="I40" s="1174">
        <f>NSG_Supplies!S12/1000</f>
        <v>24.754999999999999</v>
      </c>
    </row>
    <row r="41" spans="1:13" ht="20.100000000000001" customHeight="1" thickTop="1" thickBot="1">
      <c r="B41" s="898"/>
      <c r="C41" s="898"/>
      <c r="D41" s="898"/>
      <c r="E41" s="898"/>
      <c r="F41" s="898"/>
      <c r="G41" s="897"/>
      <c r="H41" s="897"/>
      <c r="I41" s="897"/>
    </row>
    <row r="42" spans="1:13" ht="20.100000000000001" customHeight="1" thickTop="1" thickBot="1">
      <c r="A42" s="899" t="s">
        <v>171</v>
      </c>
      <c r="B42" s="900"/>
      <c r="C42" s="900"/>
      <c r="D42" s="901">
        <f>Weather_Input!D5</f>
        <v>8.6999999999999993</v>
      </c>
      <c r="E42" s="901">
        <f>Weather_Input!D6</f>
        <v>15</v>
      </c>
      <c r="F42" s="901">
        <f>Weather_Input!D7</f>
        <v>15</v>
      </c>
      <c r="G42" s="902"/>
      <c r="H42" s="897"/>
      <c r="I42" s="897"/>
    </row>
    <row r="43" spans="1:13" ht="15.75" thickTop="1">
      <c r="D43" s="114" t="s">
        <v>172</v>
      </c>
    </row>
    <row r="44" spans="1:13">
      <c r="D44" s="114" t="s">
        <v>11</v>
      </c>
    </row>
    <row r="49" spans="4:4">
      <c r="D49" s="114" t="s">
        <v>11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6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L71"/>
  <sheetViews>
    <sheetView zoomScale="75" workbookViewId="0"/>
  </sheetViews>
  <sheetFormatPr defaultColWidth="8.88671875" defaultRowHeight="15"/>
  <cols>
    <col min="1" max="1" width="22.77734375" customWidth="1"/>
    <col min="2" max="9" width="10.77734375" customWidth="1"/>
  </cols>
  <sheetData>
    <row r="1" spans="1:9" ht="18.75" thickTop="1">
      <c r="A1" s="587" t="s">
        <v>172</v>
      </c>
      <c r="B1" s="588"/>
      <c r="C1" s="588"/>
      <c r="D1" s="588"/>
      <c r="E1" s="589" t="s">
        <v>173</v>
      </c>
      <c r="F1" s="590">
        <f>Weather_Input!A5</f>
        <v>37009</v>
      </c>
      <c r="G1" s="770" t="str">
        <f>CHOOSE(WEEKDAY(F1),"SUN","MON","TUE","WED","THU","FRI","SAT")</f>
        <v>SAT</v>
      </c>
      <c r="H1" s="592" t="s">
        <v>258</v>
      </c>
      <c r="I1" s="593"/>
    </row>
    <row r="2" spans="1:9" ht="15.75">
      <c r="A2" s="258" t="s">
        <v>11</v>
      </c>
      <c r="B2" s="609" t="s">
        <v>691</v>
      </c>
      <c r="C2" s="962"/>
      <c r="D2" s="601" t="s">
        <v>557</v>
      </c>
      <c r="E2" s="608"/>
      <c r="F2" s="606" t="s">
        <v>558</v>
      </c>
      <c r="G2" s="607" t="s">
        <v>11</v>
      </c>
      <c r="H2" s="605" t="s">
        <v>174</v>
      </c>
      <c r="I2" s="260"/>
    </row>
    <row r="3" spans="1:9">
      <c r="A3" s="787" t="s">
        <v>535</v>
      </c>
      <c r="B3" s="600" t="s">
        <v>409</v>
      </c>
      <c r="C3" s="259" t="s">
        <v>11</v>
      </c>
      <c r="D3" s="600" t="s">
        <v>23</v>
      </c>
      <c r="E3" s="261" t="s">
        <v>176</v>
      </c>
      <c r="F3" s="603" t="s">
        <v>23</v>
      </c>
      <c r="G3" s="261" t="s">
        <v>176</v>
      </c>
      <c r="H3" s="600" t="s">
        <v>23</v>
      </c>
      <c r="I3" s="494" t="s">
        <v>176</v>
      </c>
    </row>
    <row r="4" spans="1:9" ht="15.75">
      <c r="A4" s="258" t="s">
        <v>11</v>
      </c>
      <c r="B4" s="963">
        <f>Weather_Input!B5</f>
        <v>65</v>
      </c>
      <c r="C4" s="964">
        <f>Weather_Input!C5</f>
        <v>46</v>
      </c>
      <c r="D4" s="602"/>
      <c r="E4" s="602"/>
      <c r="F4" s="604" t="s">
        <v>11</v>
      </c>
      <c r="G4" s="269" t="s">
        <v>11</v>
      </c>
      <c r="H4" s="269"/>
      <c r="I4" s="267"/>
    </row>
    <row r="5" spans="1:9" ht="15.75">
      <c r="A5" s="258" t="s">
        <v>630</v>
      </c>
      <c r="B5" s="965"/>
      <c r="C5" s="966">
        <f>PGL_Requirements!H7/1000</f>
        <v>20.364000000000001</v>
      </c>
      <c r="D5" s="620"/>
      <c r="E5" s="302"/>
      <c r="F5" s="620"/>
      <c r="G5" s="607"/>
      <c r="H5" s="302"/>
      <c r="I5" s="296"/>
    </row>
    <row r="6" spans="1:9" ht="15.75">
      <c r="A6" s="262" t="s">
        <v>419</v>
      </c>
      <c r="B6" s="1163" t="s">
        <v>11</v>
      </c>
      <c r="C6" s="967">
        <f>PGL_Deliveries!C5/1000</f>
        <v>288</v>
      </c>
      <c r="D6" s="1163" t="s">
        <v>11</v>
      </c>
      <c r="E6" s="269"/>
      <c r="F6" s="602"/>
      <c r="G6" s="269"/>
      <c r="H6" s="602"/>
      <c r="I6" s="267"/>
    </row>
    <row r="7" spans="1:9" ht="15.75" thickBot="1">
      <c r="A7" s="249" t="s">
        <v>772</v>
      </c>
      <c r="B7" s="1164"/>
      <c r="C7" s="1136">
        <f>PGL_Requirements!I7/1000</f>
        <v>0</v>
      </c>
      <c r="D7" s="122"/>
      <c r="E7" s="122"/>
      <c r="F7" s="1164"/>
      <c r="G7" s="1165"/>
      <c r="H7" s="122"/>
      <c r="I7" s="118"/>
    </row>
    <row r="8" spans="1:9" ht="16.5" thickBot="1">
      <c r="A8" s="496"/>
      <c r="B8" s="497" t="s">
        <v>11</v>
      </c>
      <c r="C8" s="497" t="s">
        <v>11</v>
      </c>
      <c r="D8" s="498"/>
      <c r="E8" s="498"/>
      <c r="F8" s="498"/>
      <c r="G8" s="498"/>
      <c r="H8" s="498"/>
      <c r="I8" s="499"/>
    </row>
    <row r="9" spans="1:9">
      <c r="A9" s="493" t="s">
        <v>561</v>
      </c>
      <c r="B9" s="293" t="s">
        <v>11</v>
      </c>
      <c r="C9" s="614">
        <f>I53</f>
        <v>0</v>
      </c>
      <c r="D9" s="619"/>
      <c r="E9" s="269"/>
      <c r="F9" s="619"/>
      <c r="G9" s="269"/>
      <c r="H9" s="619"/>
      <c r="I9" s="267" t="s">
        <v>11</v>
      </c>
    </row>
    <row r="10" spans="1:9">
      <c r="A10" s="249" t="s">
        <v>746</v>
      </c>
      <c r="B10" s="1115"/>
      <c r="C10" s="1132">
        <f>+B34</f>
        <v>159.39099999999999</v>
      </c>
      <c r="D10" s="1115"/>
      <c r="E10" s="434"/>
      <c r="F10" s="1115"/>
      <c r="G10" s="1119"/>
      <c r="H10" s="434"/>
      <c r="I10" s="285" t="s">
        <v>11</v>
      </c>
    </row>
    <row r="11" spans="1:9">
      <c r="A11" s="493" t="s">
        <v>562</v>
      </c>
      <c r="B11" s="282" t="s">
        <v>11</v>
      </c>
      <c r="C11" s="614">
        <f>B41</f>
        <v>0</v>
      </c>
      <c r="D11" s="602"/>
      <c r="E11" s="614" t="s">
        <v>11</v>
      </c>
      <c r="F11" s="602"/>
      <c r="G11" s="614" t="s">
        <v>11</v>
      </c>
      <c r="H11" s="602"/>
      <c r="I11" s="285" t="s">
        <v>11</v>
      </c>
    </row>
    <row r="12" spans="1:9">
      <c r="A12" s="493" t="s">
        <v>563</v>
      </c>
      <c r="B12" s="282" t="s">
        <v>11</v>
      </c>
      <c r="C12" s="614">
        <f>B55</f>
        <v>-187.27299999999997</v>
      </c>
      <c r="D12" s="602"/>
      <c r="E12" s="269"/>
      <c r="F12" s="602"/>
      <c r="G12" s="269" t="s">
        <v>11</v>
      </c>
      <c r="H12" s="602"/>
      <c r="I12" s="267"/>
    </row>
    <row r="13" spans="1:9">
      <c r="A13" s="493" t="s">
        <v>564</v>
      </c>
      <c r="B13" s="282" t="s">
        <v>11</v>
      </c>
      <c r="C13" s="614">
        <f>B47</f>
        <v>0</v>
      </c>
      <c r="D13" s="620"/>
      <c r="E13" s="269"/>
      <c r="F13" s="602"/>
      <c r="G13" s="269" t="s">
        <v>11</v>
      </c>
      <c r="H13" s="602"/>
      <c r="I13" s="267"/>
    </row>
    <row r="14" spans="1:9">
      <c r="A14" s="493" t="s">
        <v>565</v>
      </c>
      <c r="B14" s="286" t="s">
        <v>11</v>
      </c>
      <c r="C14" s="614">
        <f>I60</f>
        <v>232.60000000000002</v>
      </c>
      <c r="D14" s="602"/>
      <c r="E14" s="269"/>
      <c r="F14" s="602"/>
      <c r="G14" s="269" t="s">
        <v>11</v>
      </c>
      <c r="H14" s="602"/>
      <c r="I14" s="267"/>
    </row>
    <row r="15" spans="1:9">
      <c r="A15" s="493" t="s">
        <v>422</v>
      </c>
      <c r="B15" s="282" t="s">
        <v>11</v>
      </c>
      <c r="C15" s="968">
        <f>PGL_Supplies!I7/1000</f>
        <v>13.301</v>
      </c>
      <c r="D15" s="602" t="s">
        <v>11</v>
      </c>
      <c r="E15" s="269"/>
      <c r="F15" s="602"/>
      <c r="G15" s="269" t="s">
        <v>11</v>
      </c>
      <c r="H15" s="602"/>
      <c r="I15" s="267"/>
    </row>
    <row r="16" spans="1:9">
      <c r="A16" s="493" t="s">
        <v>566</v>
      </c>
      <c r="B16" s="282" t="s">
        <v>172</v>
      </c>
      <c r="C16" s="614">
        <f>+B63</f>
        <v>0</v>
      </c>
      <c r="D16" s="602"/>
      <c r="E16" s="269"/>
      <c r="F16" s="602"/>
      <c r="G16" s="269" t="s">
        <v>11</v>
      </c>
      <c r="H16" s="602"/>
      <c r="I16" s="267"/>
    </row>
    <row r="17" spans="1:12" ht="15" customHeight="1">
      <c r="A17" s="493" t="s">
        <v>567</v>
      </c>
      <c r="B17" s="282" t="s">
        <v>172</v>
      </c>
      <c r="C17" s="968">
        <f>PGL_Supplies!B7/1000</f>
        <v>0</v>
      </c>
      <c r="D17" s="620"/>
      <c r="E17" s="269"/>
      <c r="F17" s="602"/>
      <c r="G17" s="269" t="s">
        <v>11</v>
      </c>
      <c r="H17" s="602"/>
      <c r="I17" s="267"/>
    </row>
    <row r="18" spans="1:12" ht="15.75" thickBot="1">
      <c r="A18" s="292" t="s">
        <v>568</v>
      </c>
      <c r="B18" s="615" t="s">
        <v>11</v>
      </c>
      <c r="C18" s="1136">
        <f>PGL_Requirements!G7/1000</f>
        <v>0.61699999999999999</v>
      </c>
      <c r="D18" s="601"/>
      <c r="E18" s="269"/>
      <c r="F18" s="602"/>
      <c r="G18" s="269"/>
      <c r="H18" s="602"/>
      <c r="I18" s="267"/>
    </row>
    <row r="19" spans="1:12" ht="16.5" thickBot="1">
      <c r="A19" s="616" t="s">
        <v>700</v>
      </c>
      <c r="B19" s="617" t="s">
        <v>11</v>
      </c>
      <c r="C19" s="511">
        <f>SUM(C9:C17)-C18</f>
        <v>217.40200000000004</v>
      </c>
      <c r="D19" s="621" t="s">
        <v>11</v>
      </c>
      <c r="E19" s="618" t="s">
        <v>11</v>
      </c>
      <c r="F19" s="621" t="s">
        <v>11</v>
      </c>
      <c r="G19" s="511" t="s">
        <v>11</v>
      </c>
      <c r="H19" s="621" t="s">
        <v>11</v>
      </c>
      <c r="I19" s="622"/>
    </row>
    <row r="20" spans="1:12" ht="16.5" thickBot="1">
      <c r="A20" s="504" t="s">
        <v>38</v>
      </c>
      <c r="B20" s="505" t="s">
        <v>11</v>
      </c>
      <c r="C20" s="969"/>
      <c r="D20" s="507"/>
      <c r="E20" s="509"/>
      <c r="F20" s="507"/>
      <c r="G20" s="507" t="s">
        <v>645</v>
      </c>
      <c r="H20" s="507"/>
      <c r="I20" s="970"/>
    </row>
    <row r="21" spans="1:12">
      <c r="A21" s="493" t="s">
        <v>631</v>
      </c>
      <c r="B21" s="282" t="s">
        <v>11</v>
      </c>
      <c r="C21" s="971">
        <f>-PGL_Supplies!J7/1000</f>
        <v>0</v>
      </c>
      <c r="D21" s="266"/>
      <c r="E21" s="269"/>
      <c r="F21" s="266"/>
      <c r="G21" s="269"/>
      <c r="H21" s="266"/>
      <c r="I21" s="260"/>
    </row>
    <row r="22" spans="1:12">
      <c r="A22" s="493" t="s">
        <v>425</v>
      </c>
      <c r="B22" s="282" t="s">
        <v>11</v>
      </c>
      <c r="C22" s="614">
        <f>C6+C7-C19</f>
        <v>70.597999999999956</v>
      </c>
      <c r="D22" s="266"/>
      <c r="E22" s="269"/>
      <c r="F22" s="266"/>
      <c r="G22" s="614" t="s">
        <v>11</v>
      </c>
      <c r="H22" s="266"/>
      <c r="I22" s="296"/>
    </row>
    <row r="23" spans="1:12" ht="18" customHeight="1">
      <c r="A23" s="636" t="s">
        <v>426</v>
      </c>
      <c r="B23" s="282" t="s">
        <v>11</v>
      </c>
      <c r="C23" s="614"/>
      <c r="D23" s="266"/>
      <c r="E23" s="269"/>
      <c r="F23" s="297" t="s">
        <v>11</v>
      </c>
      <c r="G23" s="972"/>
      <c r="H23" s="297" t="s">
        <v>11</v>
      </c>
      <c r="I23" s="260"/>
    </row>
    <row r="24" spans="1:12" ht="16.5" thickBot="1">
      <c r="A24" s="493" t="s">
        <v>427</v>
      </c>
      <c r="B24" s="973" t="s">
        <v>11</v>
      </c>
      <c r="C24" s="974">
        <f>SUM(B54+B56+B57)</f>
        <v>2.8089</v>
      </c>
      <c r="D24" s="259"/>
      <c r="E24" s="271"/>
      <c r="F24" s="975"/>
      <c r="G24" s="271"/>
      <c r="H24" s="976" t="s">
        <v>11</v>
      </c>
      <c r="I24" s="977" t="s">
        <v>11</v>
      </c>
      <c r="K24" t="s">
        <v>11</v>
      </c>
    </row>
    <row r="25" spans="1:12" ht="17.25" thickTop="1" thickBot="1">
      <c r="A25" s="637" t="s">
        <v>428</v>
      </c>
      <c r="B25" s="978" t="s">
        <v>11</v>
      </c>
      <c r="C25" s="979">
        <f>SUM(C22:C24)</f>
        <v>73.406899999999951</v>
      </c>
      <c r="D25" s="978" t="str">
        <f>B25</f>
        <v xml:space="preserve"> </v>
      </c>
      <c r="E25" s="979" t="s">
        <v>11</v>
      </c>
      <c r="F25" s="978" t="s">
        <v>11</v>
      </c>
      <c r="G25" s="979" t="s">
        <v>11</v>
      </c>
      <c r="H25" s="980" t="s">
        <v>11</v>
      </c>
      <c r="I25" s="981" t="s">
        <v>11</v>
      </c>
    </row>
    <row r="26" spans="1:12" ht="15.75" thickTop="1">
      <c r="A26" s="332" t="s">
        <v>737</v>
      </c>
      <c r="B26" s="982"/>
      <c r="C26" s="971">
        <f>SUM(-PGL_Supplies!M7/1000)</f>
        <v>0</v>
      </c>
      <c r="D26" s="1104" t="s">
        <v>11</v>
      </c>
      <c r="E26" s="1103" t="s">
        <v>11</v>
      </c>
      <c r="F26" s="1105"/>
      <c r="G26" s="1106"/>
      <c r="H26" s="514"/>
      <c r="I26" s="987"/>
    </row>
    <row r="27" spans="1:12" ht="15" customHeight="1">
      <c r="A27" s="493" t="s">
        <v>436</v>
      </c>
      <c r="B27" s="988"/>
      <c r="C27" s="989">
        <f>PGL_Requirements!O7/1000</f>
        <v>49.384</v>
      </c>
      <c r="D27" s="983" t="s">
        <v>11</v>
      </c>
      <c r="E27" s="966" t="s">
        <v>11</v>
      </c>
      <c r="F27" s="307"/>
      <c r="G27" s="966" t="s">
        <v>11</v>
      </c>
      <c r="H27" s="514"/>
      <c r="I27" s="984" t="s">
        <v>11</v>
      </c>
      <c r="L27" s="122"/>
    </row>
    <row r="28" spans="1:12">
      <c r="A28" s="493" t="s">
        <v>437</v>
      </c>
      <c r="B28" s="990"/>
      <c r="C28" s="985">
        <f>-PGL_Supplies!L7/1000</f>
        <v>0</v>
      </c>
      <c r="D28" s="986" t="s">
        <v>11</v>
      </c>
      <c r="E28" s="985" t="s">
        <v>11</v>
      </c>
      <c r="F28" s="307"/>
      <c r="G28" s="985" t="s">
        <v>11</v>
      </c>
      <c r="H28" s="514"/>
      <c r="I28" s="991" t="s">
        <v>11</v>
      </c>
      <c r="L28" s="1102"/>
    </row>
    <row r="29" spans="1:12">
      <c r="A29" s="425" t="s">
        <v>197</v>
      </c>
      <c r="B29" s="992"/>
      <c r="C29" s="985">
        <f>-PGL_Supplies!AC7/1000</f>
        <v>-131.75</v>
      </c>
      <c r="D29" s="986" t="s">
        <v>11</v>
      </c>
      <c r="E29" s="985">
        <f>-PGL_Supplies!AC7/1000</f>
        <v>-131.75</v>
      </c>
      <c r="F29" s="307"/>
      <c r="G29" s="985">
        <f>-PGL_Supplies!AC7/1000</f>
        <v>-131.75</v>
      </c>
      <c r="H29" s="514"/>
      <c r="I29" s="987">
        <f>-PGL_Supplies!AC7/1000</f>
        <v>-131.75</v>
      </c>
      <c r="L29" s="1102"/>
    </row>
    <row r="30" spans="1:12" ht="16.5" thickBot="1">
      <c r="A30" s="326" t="s">
        <v>11</v>
      </c>
      <c r="B30" s="487" t="s">
        <v>11</v>
      </c>
      <c r="C30" s="1186" t="s">
        <v>746</v>
      </c>
      <c r="D30" s="486"/>
      <c r="E30" s="328"/>
      <c r="F30" s="329" t="s">
        <v>202</v>
      </c>
      <c r="G30" s="328"/>
      <c r="H30" s="993"/>
      <c r="I30" s="331"/>
      <c r="L30" s="594"/>
    </row>
    <row r="31" spans="1:12">
      <c r="A31" s="425" t="s">
        <v>750</v>
      </c>
      <c r="B31" s="324">
        <f>PGL_Requirements!J7/1000</f>
        <v>0</v>
      </c>
      <c r="C31" s="8"/>
      <c r="D31" s="613"/>
      <c r="E31" s="8"/>
      <c r="F31" s="332" t="s">
        <v>460</v>
      </c>
      <c r="G31" s="544"/>
      <c r="H31" s="523"/>
      <c r="I31" s="336"/>
      <c r="L31" s="1102"/>
    </row>
    <row r="32" spans="1:12">
      <c r="A32" s="425" t="s">
        <v>751</v>
      </c>
      <c r="B32" s="324">
        <f>PGL_Supplies!X7/1000</f>
        <v>0</v>
      </c>
      <c r="C32" s="315" t="s">
        <v>11</v>
      </c>
      <c r="D32" s="313"/>
      <c r="E32" s="333"/>
      <c r="F32" s="425" t="s">
        <v>461</v>
      </c>
      <c r="G32" s="544"/>
      <c r="H32" s="317"/>
      <c r="I32" s="336"/>
      <c r="L32" s="594"/>
    </row>
    <row r="33" spans="1:12" ht="15.75" thickBot="1">
      <c r="A33" s="1133" t="s">
        <v>4</v>
      </c>
      <c r="B33" s="324">
        <f>PGL_Supplies!Y7/1000</f>
        <v>159.39099999999999</v>
      </c>
      <c r="C33" s="1120" t="s">
        <v>11</v>
      </c>
      <c r="D33" s="349"/>
      <c r="E33" s="554"/>
      <c r="F33" s="425" t="s">
        <v>462</v>
      </c>
      <c r="G33" s="544"/>
      <c r="H33" s="317"/>
      <c r="I33" s="336"/>
      <c r="L33" s="1102"/>
    </row>
    <row r="34" spans="1:12" ht="16.5" thickBot="1">
      <c r="A34" s="559" t="s">
        <v>443</v>
      </c>
      <c r="B34" s="1124">
        <f>+B33+B32-B31</f>
        <v>159.39099999999999</v>
      </c>
      <c r="C34" s="1125" t="s">
        <v>11</v>
      </c>
      <c r="D34" s="531"/>
      <c r="E34" s="521"/>
      <c r="F34" s="425" t="s">
        <v>463</v>
      </c>
      <c r="G34" s="544"/>
      <c r="H34" s="317"/>
      <c r="I34" s="336"/>
      <c r="L34" s="1102"/>
    </row>
    <row r="35" spans="1:12" ht="16.5" thickBot="1">
      <c r="A35" s="326" t="s">
        <v>11</v>
      </c>
      <c r="B35" s="1121" t="s">
        <v>11</v>
      </c>
      <c r="C35" s="997" t="s">
        <v>68</v>
      </c>
      <c r="D35" s="1122"/>
      <c r="E35" s="1123"/>
      <c r="F35" s="425" t="s">
        <v>464</v>
      </c>
      <c r="G35" s="544"/>
      <c r="H35" s="317"/>
      <c r="I35" s="994" t="s">
        <v>692</v>
      </c>
      <c r="L35" s="1102"/>
    </row>
    <row r="36" spans="1:12">
      <c r="A36" s="425" t="s">
        <v>633</v>
      </c>
      <c r="B36" s="324">
        <f>PGL_Requirements!U7/1000</f>
        <v>40</v>
      </c>
      <c r="C36" s="594"/>
      <c r="D36" s="313"/>
      <c r="E36" s="333"/>
      <c r="F36" s="370" t="s">
        <v>465</v>
      </c>
      <c r="G36" s="544"/>
      <c r="H36" s="317"/>
      <c r="I36" s="995"/>
      <c r="L36" s="1102"/>
    </row>
    <row r="37" spans="1:12">
      <c r="A37" s="425" t="s">
        <v>716</v>
      </c>
      <c r="B37" s="324">
        <f>PGL_Supplies!R7/1000</f>
        <v>0</v>
      </c>
      <c r="C37" s="313"/>
      <c r="D37" s="313"/>
      <c r="E37" s="333"/>
      <c r="F37" s="425" t="s">
        <v>466</v>
      </c>
      <c r="G37" s="544"/>
      <c r="H37" s="317"/>
      <c r="I37" s="336"/>
      <c r="L37" s="1102"/>
    </row>
    <row r="38" spans="1:12">
      <c r="A38" s="425" t="s">
        <v>441</v>
      </c>
      <c r="B38" s="324">
        <f>PGL_Requirements!C7/1000</f>
        <v>0</v>
      </c>
      <c r="C38" s="1115"/>
      <c r="D38" s="1116"/>
      <c r="E38" s="1011"/>
      <c r="F38" s="425" t="s">
        <v>467</v>
      </c>
      <c r="G38" s="544"/>
      <c r="H38" s="317"/>
      <c r="I38" s="336"/>
      <c r="L38" s="1102"/>
    </row>
    <row r="39" spans="1:12">
      <c r="A39" s="425" t="s">
        <v>442</v>
      </c>
      <c r="B39" s="324">
        <f>PGL_Supplies!C7/1000</f>
        <v>0</v>
      </c>
      <c r="C39" s="1115"/>
      <c r="D39" s="1116"/>
      <c r="E39" s="813"/>
      <c r="F39" s="996" t="s">
        <v>468</v>
      </c>
      <c r="G39" s="122"/>
      <c r="H39" s="549"/>
      <c r="I39" s="336"/>
      <c r="L39" s="1102"/>
    </row>
    <row r="40" spans="1:12" ht="15.75" thickBot="1">
      <c r="A40" s="638" t="s">
        <v>698</v>
      </c>
      <c r="B40" s="324">
        <f>PGL_Supplies!Z7/1000</f>
        <v>40</v>
      </c>
      <c r="C40" s="122"/>
      <c r="D40" s="1114"/>
      <c r="E40" s="122"/>
      <c r="F40" s="547" t="s">
        <v>469</v>
      </c>
      <c r="G40" s="544"/>
      <c r="H40" s="350"/>
      <c r="I40" s="336"/>
      <c r="L40" s="594"/>
    </row>
    <row r="41" spans="1:12" ht="16.5" thickBot="1">
      <c r="A41" s="559" t="s">
        <v>443</v>
      </c>
      <c r="B41" s="566">
        <f>B40+B37-B36-B38+B39</f>
        <v>0</v>
      </c>
      <c r="C41" s="531"/>
      <c r="D41" s="531"/>
      <c r="E41" s="521"/>
      <c r="F41" s="425" t="s">
        <v>470</v>
      </c>
      <c r="G41" s="544"/>
      <c r="H41" s="352"/>
      <c r="I41" s="336"/>
      <c r="L41" s="594"/>
    </row>
    <row r="42" spans="1:12" ht="16.5" thickBot="1">
      <c r="A42" s="555" t="s">
        <v>11</v>
      </c>
      <c r="B42" s="556" t="s">
        <v>11</v>
      </c>
      <c r="C42" s="997" t="s">
        <v>69</v>
      </c>
      <c r="D42" s="558"/>
      <c r="E42" s="998" t="s">
        <v>11</v>
      </c>
      <c r="F42" s="425" t="s">
        <v>471</v>
      </c>
      <c r="G42" s="544"/>
      <c r="H42" s="317"/>
      <c r="I42" s="336"/>
    </row>
    <row r="43" spans="1:12">
      <c r="A43" s="425" t="s">
        <v>518</v>
      </c>
      <c r="B43" s="324">
        <f>NSG_Supplies!O7/1000+PGL_Supplies!AA7/1000</f>
        <v>4.62</v>
      </c>
      <c r="C43" s="352"/>
      <c r="D43" s="313"/>
      <c r="E43" s="351"/>
      <c r="F43" s="425" t="s">
        <v>403</v>
      </c>
      <c r="G43" s="544"/>
      <c r="H43" s="352"/>
      <c r="I43" s="336"/>
    </row>
    <row r="44" spans="1:12">
      <c r="A44" s="771" t="s">
        <v>519</v>
      </c>
      <c r="B44" s="324">
        <v>0</v>
      </c>
      <c r="C44" s="594"/>
      <c r="D44" s="313"/>
      <c r="E44" s="351"/>
      <c r="F44" s="370" t="s">
        <v>472</v>
      </c>
      <c r="G44" s="548"/>
      <c r="H44" s="539"/>
      <c r="I44" s="336"/>
    </row>
    <row r="45" spans="1:12" ht="15.75" thickBot="1">
      <c r="A45" s="425" t="s">
        <v>446</v>
      </c>
      <c r="B45" s="999">
        <f>PGL_Requirements!D7/1000</f>
        <v>4.62</v>
      </c>
      <c r="C45" s="352"/>
      <c r="D45" s="313"/>
      <c r="E45" s="351"/>
      <c r="F45" s="370" t="s">
        <v>473</v>
      </c>
      <c r="G45" s="548"/>
      <c r="H45" s="550"/>
      <c r="I45" s="336"/>
    </row>
    <row r="46" spans="1:12" ht="16.5" thickBot="1">
      <c r="A46" s="425" t="s">
        <v>447</v>
      </c>
      <c r="B46" s="324">
        <f>PGL_Supplies!D7/1000</f>
        <v>0</v>
      </c>
      <c r="C46" s="352"/>
      <c r="D46" s="313"/>
      <c r="E46" s="351"/>
      <c r="F46" s="551" t="s">
        <v>224</v>
      </c>
      <c r="G46" s="552"/>
      <c r="H46" s="553"/>
      <c r="I46" s="336"/>
    </row>
    <row r="47" spans="1:12" ht="16.5" thickBot="1">
      <c r="A47" s="559" t="s">
        <v>443</v>
      </c>
      <c r="B47" s="1000">
        <f>B43+B44-B45+B46</f>
        <v>0</v>
      </c>
      <c r="C47" s="1001"/>
      <c r="D47" s="531"/>
      <c r="E47" s="1002"/>
      <c r="F47" s="528" t="s">
        <v>11</v>
      </c>
      <c r="G47" s="529" t="s">
        <v>474</v>
      </c>
      <c r="H47" s="529" t="s">
        <v>11</v>
      </c>
      <c r="I47" s="360"/>
    </row>
    <row r="48" spans="1:12" ht="16.5" thickBot="1">
      <c r="A48" s="555" t="s">
        <v>11</v>
      </c>
      <c r="B48" s="560" t="s">
        <v>11</v>
      </c>
      <c r="C48" s="997" t="s">
        <v>60</v>
      </c>
      <c r="D48" s="558"/>
      <c r="E48" s="558"/>
      <c r="F48" s="568" t="s">
        <v>426</v>
      </c>
      <c r="G48" s="541"/>
      <c r="H48" s="563" t="s">
        <v>11</v>
      </c>
      <c r="I48" s="366" t="s">
        <v>11</v>
      </c>
    </row>
    <row r="49" spans="1:9">
      <c r="A49" s="425" t="s">
        <v>72</v>
      </c>
      <c r="B49" s="324">
        <f>PGL_Requirements!P7/1000</f>
        <v>187.26</v>
      </c>
      <c r="C49" s="313"/>
      <c r="D49" s="313"/>
      <c r="E49" s="313"/>
      <c r="F49" s="361" t="s">
        <v>475</v>
      </c>
      <c r="G49" s="313"/>
      <c r="H49" s="388" t="s">
        <v>11</v>
      </c>
      <c r="I49" s="366" t="s">
        <v>11</v>
      </c>
    </row>
    <row r="50" spans="1:9" ht="15.75" thickBot="1">
      <c r="A50" s="425" t="s">
        <v>448</v>
      </c>
      <c r="B50" s="324">
        <f>PGL_Supplies!M7/1000</f>
        <v>0</v>
      </c>
      <c r="C50" s="313"/>
      <c r="D50" s="313"/>
      <c r="E50" s="313"/>
      <c r="F50" s="537" t="s">
        <v>476</v>
      </c>
      <c r="G50" s="355"/>
      <c r="H50" s="526" t="s">
        <v>11</v>
      </c>
      <c r="I50" s="407"/>
    </row>
    <row r="51" spans="1:9" ht="15.75" thickBot="1">
      <c r="A51" s="425" t="s">
        <v>449</v>
      </c>
      <c r="B51" s="324">
        <f>SUM(PGL_Requirements!B7/1000)</f>
        <v>0</v>
      </c>
      <c r="C51" s="313"/>
      <c r="D51" s="313"/>
      <c r="E51" s="313"/>
      <c r="F51" s="565" t="s">
        <v>452</v>
      </c>
      <c r="G51" s="531"/>
      <c r="H51" s="566" t="s">
        <v>11</v>
      </c>
      <c r="I51" s="1003" t="s">
        <v>11</v>
      </c>
    </row>
    <row r="52" spans="1:9" ht="16.5" thickBot="1">
      <c r="A52" s="425" t="s">
        <v>450</v>
      </c>
      <c r="B52" s="324">
        <f>PGL_Supplies!H7/1000</f>
        <v>0.627</v>
      </c>
      <c r="C52" s="313"/>
      <c r="D52" s="313"/>
      <c r="E52" s="313"/>
      <c r="F52" s="358" t="s">
        <v>477</v>
      </c>
      <c r="G52" s="359"/>
      <c r="H52" s="359"/>
      <c r="I52" s="360"/>
    </row>
    <row r="53" spans="1:9">
      <c r="A53" s="370" t="s">
        <v>742</v>
      </c>
      <c r="B53" s="324">
        <f>PGL_Requirements!R7/1000</f>
        <v>0.64</v>
      </c>
      <c r="C53" s="313"/>
      <c r="D53" s="313"/>
      <c r="E53" s="313"/>
      <c r="F53" s="542" t="s">
        <v>478</v>
      </c>
      <c r="G53" s="543"/>
      <c r="H53" s="569" t="s">
        <v>11</v>
      </c>
      <c r="I53" s="570">
        <f>+PGL_Supplies!K7/1000</f>
        <v>0</v>
      </c>
    </row>
    <row r="54" spans="1:9" ht="16.5" thickBot="1">
      <c r="A54" s="425" t="s">
        <v>743</v>
      </c>
      <c r="B54" s="324">
        <f>PGL_Requirements!Q7/1000</f>
        <v>2.8089</v>
      </c>
      <c r="C54" s="349"/>
      <c r="D54" s="349"/>
      <c r="E54" s="349"/>
      <c r="F54" s="358" t="s">
        <v>421</v>
      </c>
      <c r="G54" s="359"/>
      <c r="H54" s="359"/>
      <c r="I54" s="360"/>
    </row>
    <row r="55" spans="1:9" ht="16.5" thickBot="1">
      <c r="A55" s="518" t="s">
        <v>452</v>
      </c>
      <c r="B55" s="519">
        <f>-B49+B50+B52+B56+B57-B53-B51</f>
        <v>-187.27299999999997</v>
      </c>
      <c r="C55" s="520"/>
      <c r="D55" s="520"/>
      <c r="E55" s="521"/>
      <c r="F55" s="547" t="s">
        <v>480</v>
      </c>
      <c r="G55" s="545"/>
      <c r="H55" s="540"/>
      <c r="I55" s="1004">
        <f>PGL_Requirements!E7/1000</f>
        <v>0</v>
      </c>
    </row>
    <row r="56" spans="1:9">
      <c r="A56" s="332" t="s">
        <v>218</v>
      </c>
      <c r="B56" s="324">
        <v>0</v>
      </c>
      <c r="C56" s="523"/>
      <c r="D56" s="523"/>
      <c r="E56" s="524"/>
      <c r="F56" s="370" t="s">
        <v>481</v>
      </c>
      <c r="G56" s="544"/>
      <c r="H56" s="1006">
        <f>PGL_Supplies!E7/1000</f>
        <v>0</v>
      </c>
      <c r="I56" s="1007" t="s">
        <v>11</v>
      </c>
    </row>
    <row r="57" spans="1:9" ht="15.75" thickBot="1">
      <c r="A57" s="425" t="s">
        <v>216</v>
      </c>
      <c r="B57" s="1005">
        <v>0</v>
      </c>
      <c r="C57" s="377"/>
      <c r="D57" s="377"/>
      <c r="E57" s="1118"/>
      <c r="F57" s="425" t="s">
        <v>109</v>
      </c>
      <c r="G57" s="573"/>
      <c r="H57" s="1006">
        <f>PGL_Supplies!AB7/1000+NSG_Supplies!N7/1000</f>
        <v>242.78200000000001</v>
      </c>
      <c r="I57" s="1007" t="s">
        <v>11</v>
      </c>
    </row>
    <row r="58" spans="1:9" ht="16.5" thickBot="1">
      <c r="A58" s="639" t="s">
        <v>11</v>
      </c>
      <c r="B58" s="1008"/>
      <c r="C58" s="1009" t="s">
        <v>37</v>
      </c>
      <c r="D58" s="1010"/>
      <c r="E58" s="1117"/>
      <c r="F58" s="122" t="s">
        <v>625</v>
      </c>
      <c r="G58" s="122"/>
      <c r="H58" s="1006">
        <f>PGL_Supplies!T7/1000</f>
        <v>0</v>
      </c>
      <c r="I58" s="1011"/>
    </row>
    <row r="59" spans="1:9" ht="15.75" thickBot="1">
      <c r="A59" s="425" t="s">
        <v>454</v>
      </c>
      <c r="B59" s="324">
        <f>PGL_Supplies!Q7/1000</f>
        <v>0</v>
      </c>
      <c r="C59" s="381" t="s">
        <v>11</v>
      </c>
      <c r="D59" s="313"/>
      <c r="E59" s="382"/>
      <c r="F59" s="122" t="s">
        <v>624</v>
      </c>
      <c r="G59" s="122"/>
      <c r="H59" s="1012"/>
      <c r="I59" s="1013">
        <f>PGL_Requirements!H7/1000*0.5</f>
        <v>10.182</v>
      </c>
    </row>
    <row r="60" spans="1:9" ht="16.5" thickBot="1">
      <c r="A60" s="425" t="s">
        <v>455</v>
      </c>
      <c r="B60" s="388">
        <f>PGL_Requirements!F7/1000</f>
        <v>0</v>
      </c>
      <c r="C60" s="381" t="s">
        <v>11</v>
      </c>
      <c r="D60" s="313"/>
      <c r="E60" s="382"/>
      <c r="F60" s="551" t="s">
        <v>693</v>
      </c>
      <c r="G60" s="430"/>
      <c r="H60" s="430"/>
      <c r="I60" s="1083">
        <f>SUM(H55:H59)-SUM(I55:I59)</f>
        <v>232.60000000000002</v>
      </c>
    </row>
    <row r="61" spans="1:9">
      <c r="A61" s="425" t="s">
        <v>456</v>
      </c>
      <c r="B61" s="324">
        <f>PGL_Supplies!G7/1000</f>
        <v>0</v>
      </c>
      <c r="C61" s="324"/>
      <c r="D61" s="313"/>
      <c r="E61" s="317"/>
      <c r="F61" s="1014" t="s">
        <v>694</v>
      </c>
      <c r="G61" s="1015"/>
      <c r="H61" s="1086"/>
      <c r="I61" s="1084">
        <v>0</v>
      </c>
    </row>
    <row r="62" spans="1:9" ht="15.75" thickBot="1">
      <c r="A62" s="425" t="s">
        <v>109</v>
      </c>
      <c r="B62" s="1017">
        <f>PGL_Supplies!AD7/1000</f>
        <v>0</v>
      </c>
      <c r="C62" s="527"/>
      <c r="D62" s="349"/>
      <c r="E62" s="525"/>
      <c r="F62" s="1016" t="s">
        <v>695</v>
      </c>
      <c r="G62" s="594"/>
      <c r="H62" s="1087" t="s">
        <v>11</v>
      </c>
      <c r="I62" s="1085">
        <f>H57-I59-I61</f>
        <v>232.60000000000002</v>
      </c>
    </row>
    <row r="63" spans="1:9" ht="16.5" thickBot="1">
      <c r="A63" s="799" t="s">
        <v>560</v>
      </c>
      <c r="B63" s="1019">
        <f>+B62+B61-B60+B59</f>
        <v>0</v>
      </c>
      <c r="C63" s="1000" t="s">
        <v>11</v>
      </c>
      <c r="D63" s="531"/>
      <c r="E63" s="521"/>
      <c r="F63" s="1018" t="s">
        <v>780</v>
      </c>
      <c r="G63" s="225"/>
      <c r="H63" s="1115"/>
      <c r="I63" s="1182">
        <f>I59</f>
        <v>10.182</v>
      </c>
    </row>
    <row r="64" spans="1:9" ht="15.75">
      <c r="A64" s="542" t="s">
        <v>733</v>
      </c>
      <c r="B64" s="1026"/>
      <c r="C64" s="1036" t="s">
        <v>11</v>
      </c>
      <c r="D64" s="1036" t="s">
        <v>11</v>
      </c>
      <c r="E64" s="1037" t="s">
        <v>11</v>
      </c>
      <c r="F64" s="1185" t="s">
        <v>782</v>
      </c>
      <c r="G64" s="434"/>
      <c r="H64" s="1116"/>
      <c r="I64" s="1182">
        <f>PGL_Requirements!H7/1000</f>
        <v>20.364000000000001</v>
      </c>
    </row>
    <row r="65" spans="1:9" ht="15.75">
      <c r="A65" s="370" t="s">
        <v>734</v>
      </c>
      <c r="B65" s="1029"/>
      <c r="C65" s="1035" t="s">
        <v>11</v>
      </c>
      <c r="D65" s="1035" t="s">
        <v>11</v>
      </c>
      <c r="E65" s="1183" t="s">
        <v>11</v>
      </c>
      <c r="F65" s="1184" t="s">
        <v>3</v>
      </c>
      <c r="H65" s="240"/>
      <c r="I65" s="1192">
        <f>I62+I63</f>
        <v>242.78200000000001</v>
      </c>
    </row>
    <row r="66" spans="1:9" ht="16.5" thickBot="1">
      <c r="A66" s="1188" t="s">
        <v>784</v>
      </c>
      <c r="B66" s="1027"/>
      <c r="C66" s="1038" t="s">
        <v>11</v>
      </c>
      <c r="D66" s="1038" t="s">
        <v>11</v>
      </c>
      <c r="E66" s="1039" t="s">
        <v>11</v>
      </c>
      <c r="F66" s="358" t="s">
        <v>749</v>
      </c>
      <c r="G66" s="359"/>
      <c r="H66" s="359"/>
      <c r="I66" s="360"/>
    </row>
    <row r="67" spans="1:9" ht="16.5" thickBot="1">
      <c r="A67" s="1024" t="s">
        <v>699</v>
      </c>
      <c r="B67" s="1031" t="s">
        <v>11</v>
      </c>
      <c r="C67" s="1098" t="s">
        <v>11</v>
      </c>
      <c r="D67" s="1098" t="s">
        <v>11</v>
      </c>
      <c r="E67" s="1099" t="s">
        <v>11</v>
      </c>
      <c r="F67" s="581" t="s">
        <v>484</v>
      </c>
      <c r="G67" s="541" t="s">
        <v>11</v>
      </c>
      <c r="H67" s="574" t="s">
        <v>11</v>
      </c>
      <c r="I67" s="586" t="s">
        <v>11</v>
      </c>
    </row>
    <row r="68" spans="1:9" ht="16.5" thickBot="1">
      <c r="A68" s="1107" t="s">
        <v>752</v>
      </c>
      <c r="B68" s="1100"/>
      <c r="C68" s="122"/>
      <c r="D68" s="1100"/>
      <c r="E68" s="122"/>
      <c r="F68" s="361" t="s">
        <v>485</v>
      </c>
      <c r="G68" s="313"/>
      <c r="H68" s="540"/>
      <c r="I68" s="1023"/>
    </row>
    <row r="69" spans="1:9" ht="16.5" thickBot="1">
      <c r="A69" s="518" t="s">
        <v>735</v>
      </c>
      <c r="B69" s="1030" t="s">
        <v>11</v>
      </c>
      <c r="C69" s="1032" t="s">
        <v>11</v>
      </c>
      <c r="D69" s="1032" t="s">
        <v>11</v>
      </c>
      <c r="E69" s="1032" t="s">
        <v>11</v>
      </c>
      <c r="F69" s="425"/>
      <c r="G69" s="350"/>
      <c r="H69" s="594"/>
      <c r="I69" s="1021"/>
    </row>
    <row r="70" spans="1:9" ht="16.5" thickBot="1">
      <c r="A70" s="1187" t="s">
        <v>783</v>
      </c>
      <c r="B70" s="1028" t="s">
        <v>11</v>
      </c>
      <c r="C70" s="1033" t="s">
        <v>11</v>
      </c>
      <c r="D70" s="1033" t="s">
        <v>11</v>
      </c>
      <c r="E70" s="1034" t="s">
        <v>11</v>
      </c>
      <c r="F70" s="1025" t="s">
        <v>486</v>
      </c>
      <c r="G70" s="120"/>
      <c r="H70" s="1022" t="s">
        <v>487</v>
      </c>
      <c r="I70" s="404" t="s">
        <v>11</v>
      </c>
    </row>
    <row r="71" spans="1:9" ht="15.75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5" orientation="portrait" horizontalDpi="4294967292" r:id="rId2"/>
  <headerFooter alignWithMargins="0">
    <oddFooter>&amp;R&amp;10Printed: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5"/>
  <sheetViews>
    <sheetView zoomScale="75" workbookViewId="0"/>
  </sheetViews>
  <sheetFormatPr defaultRowHeight="15"/>
  <cols>
    <col min="1" max="1" width="23.5546875" bestFit="1" customWidth="1"/>
    <col min="2" max="6" width="10.77734375" customWidth="1"/>
    <col min="7" max="7" width="10.88671875" customWidth="1"/>
    <col min="8" max="9" width="10.77734375" customWidth="1"/>
  </cols>
  <sheetData>
    <row r="1" spans="1:9" ht="21" thickTop="1">
      <c r="A1" s="1101" t="s">
        <v>11</v>
      </c>
      <c r="B1" s="640"/>
      <c r="C1" s="640" t="s">
        <v>11</v>
      </c>
      <c r="D1" s="641"/>
      <c r="E1" s="770" t="s">
        <v>173</v>
      </c>
      <c r="F1" s="770" t="str">
        <f>CHOOSE(WEEKDAY(G1),"SUN","MON","TUE","WED","THU","FRI","SAT")</f>
        <v>SAT</v>
      </c>
      <c r="G1" s="1082">
        <f>Weather_Input!A5</f>
        <v>37009</v>
      </c>
      <c r="H1" s="589" t="s">
        <v>258</v>
      </c>
      <c r="I1" s="593"/>
    </row>
    <row r="2" spans="1:9" ht="20.25">
      <c r="A2" s="642" t="s">
        <v>11</v>
      </c>
      <c r="B2" s="793" t="s">
        <v>556</v>
      </c>
      <c r="C2" s="953"/>
      <c r="D2" s="795" t="s">
        <v>557</v>
      </c>
      <c r="E2" s="794"/>
      <c r="F2" s="795" t="s">
        <v>558</v>
      </c>
      <c r="G2" s="794"/>
      <c r="H2" s="796" t="s">
        <v>496</v>
      </c>
      <c r="I2" s="645"/>
    </row>
    <row r="3" spans="1:9" ht="20.25">
      <c r="A3" s="1091" t="s">
        <v>497</v>
      </c>
      <c r="B3" s="646" t="s">
        <v>23</v>
      </c>
      <c r="C3" s="647"/>
      <c r="D3" s="648" t="s">
        <v>23</v>
      </c>
      <c r="E3" s="647" t="s">
        <v>24</v>
      </c>
      <c r="F3" s="648" t="s">
        <v>23</v>
      </c>
      <c r="G3" s="648" t="s">
        <v>24</v>
      </c>
      <c r="H3" s="646" t="s">
        <v>23</v>
      </c>
      <c r="I3" s="649" t="s">
        <v>24</v>
      </c>
    </row>
    <row r="4" spans="1:9" ht="21" thickBot="1">
      <c r="A4" s="650"/>
      <c r="B4" s="651">
        <f>Weather_Input!B5</f>
        <v>65</v>
      </c>
      <c r="C4" s="758">
        <f>Weather_Input!C5</f>
        <v>46</v>
      </c>
      <c r="D4" s="652"/>
      <c r="E4" s="653"/>
      <c r="F4" s="652"/>
      <c r="G4" s="653"/>
      <c r="H4" s="654"/>
      <c r="I4" s="655"/>
    </row>
    <row r="5" spans="1:9" ht="24" thickBot="1">
      <c r="A5" s="656" t="s">
        <v>139</v>
      </c>
      <c r="B5" s="657"/>
      <c r="C5" s="658">
        <f>NSG_Deliveries!C5/1000</f>
        <v>56</v>
      </c>
      <c r="D5" s="657"/>
      <c r="E5" s="659"/>
      <c r="F5" s="657"/>
      <c r="G5" s="659" t="s">
        <v>11</v>
      </c>
      <c r="H5" s="657"/>
      <c r="I5" s="660"/>
    </row>
    <row r="6" spans="1:9" ht="12" customHeight="1" thickBot="1">
      <c r="A6" s="661" t="s">
        <v>11</v>
      </c>
      <c r="B6" s="662"/>
      <c r="C6" s="663"/>
      <c r="D6" s="664"/>
      <c r="E6" s="663"/>
      <c r="F6" s="664"/>
      <c r="G6" s="664"/>
      <c r="H6" s="662"/>
      <c r="I6" s="665"/>
    </row>
    <row r="7" spans="1:9" ht="24" thickBot="1">
      <c r="A7" s="666" t="s">
        <v>86</v>
      </c>
      <c r="B7" s="657"/>
      <c r="C7" s="763">
        <f>C5-C9-C11-C12</f>
        <v>56</v>
      </c>
      <c r="D7" s="667"/>
      <c r="E7" s="659"/>
      <c r="F7" s="667"/>
      <c r="G7" s="667" t="s">
        <v>11</v>
      </c>
      <c r="H7" s="657"/>
      <c r="I7" s="660"/>
    </row>
    <row r="8" spans="1:9" ht="12" customHeight="1" thickBot="1">
      <c r="A8" s="661"/>
      <c r="B8" s="668"/>
      <c r="C8" s="663"/>
      <c r="D8" s="664"/>
      <c r="E8" s="663"/>
      <c r="F8" s="664"/>
      <c r="G8" s="664"/>
      <c r="H8" s="662"/>
      <c r="I8" s="665"/>
    </row>
    <row r="9" spans="1:9" s="114" customFormat="1" ht="21" customHeight="1" thickBot="1">
      <c r="A9" s="829" t="s">
        <v>641</v>
      </c>
      <c r="B9" s="675"/>
      <c r="C9" s="1113">
        <f>B46</f>
        <v>0</v>
      </c>
      <c r="D9" s="673"/>
      <c r="E9" s="674"/>
      <c r="F9" s="673"/>
      <c r="G9" s="673"/>
      <c r="H9" s="675"/>
      <c r="I9" s="676"/>
    </row>
    <row r="10" spans="1:9" ht="12" customHeight="1" thickBot="1">
      <c r="A10" s="825"/>
      <c r="B10" s="668"/>
      <c r="C10" s="663"/>
      <c r="D10" s="826"/>
      <c r="E10" s="669"/>
      <c r="F10" s="826"/>
      <c r="G10" s="826"/>
      <c r="H10" s="668"/>
      <c r="I10" s="827"/>
    </row>
    <row r="11" spans="1:9" ht="23.25">
      <c r="A11" s="670" t="s">
        <v>498</v>
      </c>
      <c r="B11" s="671"/>
      <c r="C11" s="672">
        <f>B38</f>
        <v>0</v>
      </c>
      <c r="D11" s="673"/>
      <c r="E11" s="674"/>
      <c r="F11" s="673"/>
      <c r="G11" s="673" t="s">
        <v>11</v>
      </c>
      <c r="H11" s="675"/>
      <c r="I11" s="676"/>
    </row>
    <row r="12" spans="1:9" ht="23.25">
      <c r="A12" s="677" t="s">
        <v>499</v>
      </c>
      <c r="B12" s="678"/>
      <c r="C12" s="679">
        <v>0</v>
      </c>
      <c r="D12" s="680"/>
      <c r="E12" s="681"/>
      <c r="F12" s="680"/>
      <c r="G12" s="680"/>
      <c r="H12" s="678"/>
      <c r="I12" s="682"/>
    </row>
    <row r="13" spans="1:9" ht="21" thickBot="1">
      <c r="A13" s="685" t="s">
        <v>99</v>
      </c>
      <c r="B13" s="683"/>
      <c r="C13" s="684"/>
      <c r="D13" s="680"/>
      <c r="E13" s="681"/>
      <c r="F13" s="680"/>
      <c r="G13" s="680"/>
      <c r="H13" s="678"/>
      <c r="I13" s="682"/>
    </row>
    <row r="14" spans="1:9" ht="21" thickBot="1">
      <c r="A14" s="685" t="s">
        <v>110</v>
      </c>
      <c r="B14" s="686"/>
      <c r="C14" s="687"/>
      <c r="D14" s="686"/>
      <c r="E14" s="687"/>
      <c r="F14" s="686"/>
      <c r="G14" s="686"/>
      <c r="H14" s="688"/>
      <c r="I14" s="689"/>
    </row>
    <row r="15" spans="1:9" ht="24" thickBot="1">
      <c r="A15" s="690" t="s">
        <v>500</v>
      </c>
      <c r="B15" s="691"/>
      <c r="C15" s="763">
        <v>0</v>
      </c>
      <c r="D15" s="693"/>
      <c r="E15" s="692"/>
      <c r="F15" s="693"/>
      <c r="G15" s="693" t="s">
        <v>11</v>
      </c>
      <c r="H15" s="691"/>
      <c r="I15" s="694"/>
    </row>
    <row r="16" spans="1:9" ht="21" thickBot="1">
      <c r="A16" s="695" t="s">
        <v>11</v>
      </c>
      <c r="B16" s="662"/>
      <c r="C16" s="663"/>
      <c r="D16" s="664"/>
      <c r="E16" s="663"/>
      <c r="F16" s="664"/>
      <c r="G16" s="664"/>
      <c r="H16" s="662"/>
      <c r="I16" s="665"/>
    </row>
    <row r="17" spans="1:9" ht="24" thickBot="1">
      <c r="A17" s="696" t="s">
        <v>501</v>
      </c>
      <c r="B17" s="697"/>
      <c r="C17" s="698" t="s">
        <v>11</v>
      </c>
      <c r="D17" s="699"/>
      <c r="E17" s="700"/>
      <c r="F17" s="699"/>
      <c r="G17" s="699"/>
      <c r="H17" s="697"/>
      <c r="I17" s="701"/>
    </row>
    <row r="18" spans="1:9" ht="21" thickBot="1">
      <c r="A18" s="702" t="s">
        <v>502</v>
      </c>
      <c r="B18" s="662"/>
      <c r="C18" s="663" t="s">
        <v>11</v>
      </c>
      <c r="D18" s="664"/>
      <c r="E18" s="663"/>
      <c r="F18" s="664"/>
      <c r="G18" s="507" t="s">
        <v>645</v>
      </c>
      <c r="H18" s="662"/>
      <c r="I18" s="830"/>
    </row>
    <row r="19" spans="1:9" ht="24" thickBot="1">
      <c r="A19" s="703" t="s">
        <v>428</v>
      </c>
      <c r="B19" s="704"/>
      <c r="C19" s="705">
        <f>C7+C12</f>
        <v>56</v>
      </c>
      <c r="D19" s="706"/>
      <c r="E19" s="707"/>
      <c r="F19" s="706"/>
      <c r="G19" s="706" t="s">
        <v>11</v>
      </c>
      <c r="H19" s="704"/>
      <c r="I19" s="708"/>
    </row>
    <row r="20" spans="1:9" ht="20.25">
      <c r="A20" s="709" t="s">
        <v>430</v>
      </c>
      <c r="B20" s="710"/>
      <c r="C20" s="711">
        <f>NSG_Requirements!C7/1000</f>
        <v>0</v>
      </c>
      <c r="D20" s="712"/>
      <c r="E20" s="711">
        <f>NSG_Requirements!C7/1000</f>
        <v>0</v>
      </c>
      <c r="F20" s="712"/>
      <c r="G20" s="711">
        <f>NSG_Requirements!C7/1000</f>
        <v>0</v>
      </c>
      <c r="H20" s="710"/>
      <c r="I20" s="774">
        <f>NSG_Requirements!C7/1000</f>
        <v>0</v>
      </c>
    </row>
    <row r="21" spans="1:9" ht="20.25">
      <c r="A21" s="713" t="s">
        <v>433</v>
      </c>
      <c r="B21" s="714"/>
      <c r="C21" s="711">
        <f>NSG_Requirements!R7/1000</f>
        <v>0</v>
      </c>
      <c r="D21" s="715"/>
      <c r="E21" s="711">
        <f>NSG_Requirements!R7/1000</f>
        <v>0</v>
      </c>
      <c r="F21" s="715"/>
      <c r="G21" s="711">
        <f>NSG_Requirements!R7/1000</f>
        <v>0</v>
      </c>
      <c r="H21" s="714"/>
      <c r="I21" s="775">
        <f>NSG_Requirements!R7/1000</f>
        <v>0</v>
      </c>
    </row>
    <row r="22" spans="1:9" ht="20.25">
      <c r="A22" s="713" t="s">
        <v>503</v>
      </c>
      <c r="B22" s="717"/>
      <c r="C22" s="711">
        <f>NSG_Supplies!K7/1000</f>
        <v>0</v>
      </c>
      <c r="D22" s="718"/>
      <c r="E22" s="711">
        <f>NSG_Supplies!K7/1000</f>
        <v>0</v>
      </c>
      <c r="F22" s="718"/>
      <c r="G22" s="711">
        <f>NSG_Supplies!K7/1000</f>
        <v>0</v>
      </c>
      <c r="H22" s="717"/>
      <c r="I22" s="776">
        <f>NSG_Supplies!K7/1000</f>
        <v>0</v>
      </c>
    </row>
    <row r="23" spans="1:9" ht="20.25">
      <c r="A23" s="709" t="s">
        <v>434</v>
      </c>
      <c r="B23" s="717"/>
      <c r="C23" s="792">
        <f>-(PGL_Requirements!$Y$7+PGL_Requirements!$Z$7+PGL_Requirements!$AA$7+PGL_Requirements!$AB$7)/1000+(NSG_Requirements!$Y$7+NSG_Requirements!$Z$7+NSG_Requirements!$AA$7)/1000</f>
        <v>0</v>
      </c>
      <c r="D23" s="643"/>
      <c r="E23" s="792">
        <f>-(PGL_Requirements!$Y$7+PGL_Requirements!$Z$7+PGL_Requirements!$AA$7+PGL_Requirements!$AB$7)/1000+(NSG_Requirements!$Y$7+NSG_Requirements!$Z$7+NSG_Requirements!$AA$7)/1000</f>
        <v>0</v>
      </c>
      <c r="F23" s="643"/>
      <c r="G23" s="792">
        <f>-(PGL_Requirements!$Y$7+PGL_Requirements!$Z$7+PGL_Requirements!$AA$7+PGL_Requirements!$AB$7)/1000+(NSG_Requirements!$Y$7+NSG_Requirements!$Z$7+NSG_Requirements!$AA$7)/1000</f>
        <v>0</v>
      </c>
      <c r="H23" s="714"/>
      <c r="I23" s="791">
        <f>-(PGL_Requirements!$Y$7+PGL_Requirements!$Z$7+PGL_Requirements!$AA$7+PGL_Requirements!$AB$7)/1000+(NSG_Requirements!$Y$7+NSG_Requirements!$Z$7+NSG_Requirements!$AA$7)/1000</f>
        <v>0</v>
      </c>
    </row>
    <row r="24" spans="1:9" ht="20.25">
      <c r="A24" s="709" t="s">
        <v>436</v>
      </c>
      <c r="B24" s="717"/>
      <c r="C24" s="711">
        <f>NSG_Requirements!H7/1000</f>
        <v>0</v>
      </c>
      <c r="D24" s="718"/>
      <c r="E24" s="711" t="s">
        <v>11</v>
      </c>
      <c r="F24" s="718"/>
      <c r="G24" s="711" t="s">
        <v>11</v>
      </c>
      <c r="H24" s="717"/>
      <c r="I24" s="711" t="s">
        <v>11</v>
      </c>
    </row>
    <row r="25" spans="1:9" ht="20.25">
      <c r="A25" s="709" t="s">
        <v>437</v>
      </c>
      <c r="B25" s="714"/>
      <c r="C25" s="711">
        <f>-NSG_Supplies!F7/1000</f>
        <v>-6.25</v>
      </c>
      <c r="D25" s="715"/>
      <c r="E25" s="711" t="s">
        <v>11</v>
      </c>
      <c r="F25" s="715"/>
      <c r="G25" s="711" t="s">
        <v>11</v>
      </c>
      <c r="H25" s="714"/>
      <c r="I25" s="711" t="s">
        <v>11</v>
      </c>
    </row>
    <row r="26" spans="1:9" ht="20.25">
      <c r="A26" s="709" t="s">
        <v>197</v>
      </c>
      <c r="B26" s="717"/>
      <c r="C26" s="711">
        <f>-NSG_Supplies!R7/1000</f>
        <v>-49.755000000000003</v>
      </c>
      <c r="D26" s="718"/>
      <c r="E26" s="711">
        <f>-NSG_Supplies!R7/1000</f>
        <v>-49.755000000000003</v>
      </c>
      <c r="F26" s="718"/>
      <c r="G26" s="711">
        <f>-NSG_Supplies!R7/1000</f>
        <v>-49.755000000000003</v>
      </c>
      <c r="H26" s="717"/>
      <c r="I26" s="776">
        <f>-NSG_Supplies!R7/1000</f>
        <v>-49.755000000000003</v>
      </c>
    </row>
    <row r="27" spans="1:9" ht="20.25">
      <c r="A27" s="709" t="s">
        <v>435</v>
      </c>
      <c r="B27" s="717"/>
      <c r="C27" s="711">
        <v>0</v>
      </c>
      <c r="D27" s="718"/>
      <c r="E27" s="711">
        <v>0</v>
      </c>
      <c r="F27" s="718"/>
      <c r="G27" s="711">
        <v>0</v>
      </c>
      <c r="H27" s="717"/>
      <c r="I27" s="776">
        <v>0</v>
      </c>
    </row>
    <row r="28" spans="1:9" ht="21" thickBot="1">
      <c r="A28" s="764" t="s">
        <v>532</v>
      </c>
      <c r="B28" s="720"/>
      <c r="C28" s="711">
        <f>-NSG_Supplies!H7/1000+NSG_Requirements!L7/1000</f>
        <v>0</v>
      </c>
      <c r="D28" s="715"/>
      <c r="E28" s="711">
        <f>-NSG_Supplies!H7/1000+NSG_Requirements!L7/1000</f>
        <v>0</v>
      </c>
      <c r="F28" s="715"/>
      <c r="G28" s="711">
        <f>-NSG_Supplies!H7/1000+NSG_Requirements!L7/1000</f>
        <v>0</v>
      </c>
      <c r="H28" s="720"/>
      <c r="I28" s="785">
        <f>-NSG_Supplies!H7/1000+NSG_Requirements!L7/1000</f>
        <v>0</v>
      </c>
    </row>
    <row r="29" spans="1:9" ht="24" thickBot="1">
      <c r="A29" s="722"/>
      <c r="B29" s="723"/>
      <c r="C29" s="724" t="s">
        <v>498</v>
      </c>
      <c r="D29" s="723"/>
      <c r="E29" s="725"/>
      <c r="F29" s="723"/>
      <c r="G29" s="726" t="s">
        <v>11</v>
      </c>
      <c r="H29" s="723"/>
      <c r="I29" s="727"/>
    </row>
    <row r="30" spans="1:9" ht="20.25">
      <c r="A30" s="783" t="s">
        <v>440</v>
      </c>
      <c r="B30" s="760">
        <f>NSG_Requirements!O7/1000</f>
        <v>0</v>
      </c>
      <c r="C30" s="729" t="s">
        <v>11</v>
      </c>
      <c r="D30" s="730"/>
      <c r="E30" s="731"/>
      <c r="F30" s="732" t="s">
        <v>283</v>
      </c>
      <c r="G30" s="733"/>
      <c r="H30" s="733"/>
      <c r="I30" s="734"/>
    </row>
    <row r="31" spans="1:9" ht="20.25">
      <c r="A31" s="784" t="s">
        <v>533</v>
      </c>
      <c r="B31" s="759">
        <f>NSG_Supplies!L7/1000+PGL_Requirements!V7/1000</f>
        <v>0</v>
      </c>
      <c r="C31" s="718"/>
      <c r="D31" s="736"/>
      <c r="E31" s="719"/>
      <c r="F31" s="643"/>
      <c r="G31" s="715"/>
      <c r="H31" s="715"/>
      <c r="I31" s="734"/>
    </row>
    <row r="32" spans="1:9" ht="20.25">
      <c r="A32" s="784" t="s">
        <v>534</v>
      </c>
      <c r="B32" s="759">
        <f>NSG_Supplies!M7/1000</f>
        <v>0</v>
      </c>
      <c r="C32" s="715"/>
      <c r="D32" s="737"/>
      <c r="E32" s="716"/>
      <c r="F32" s="643"/>
      <c r="G32" s="715"/>
      <c r="H32" s="715"/>
      <c r="I32" s="734"/>
    </row>
    <row r="33" spans="1:9" ht="20.25">
      <c r="A33" s="783" t="s">
        <v>504</v>
      </c>
      <c r="B33" s="761">
        <f>(NSG_Requirements!S7+NSG_Requirements!T7+NSG_Requirements!U7)/1000</f>
        <v>0</v>
      </c>
      <c r="C33" s="718"/>
      <c r="D33" s="736"/>
      <c r="E33" s="719"/>
      <c r="F33" s="643"/>
      <c r="G33" s="715"/>
      <c r="H33" s="715"/>
      <c r="I33" s="734"/>
    </row>
    <row r="34" spans="1:9" ht="20.25">
      <c r="A34" s="783" t="s">
        <v>89</v>
      </c>
      <c r="B34" s="759">
        <f>NSG_Requirements!D7/1000</f>
        <v>0</v>
      </c>
      <c r="C34" s="718"/>
      <c r="D34" s="736"/>
      <c r="E34" s="719"/>
      <c r="F34" s="643"/>
      <c r="G34" s="715"/>
      <c r="H34" s="715"/>
      <c r="I34" s="734"/>
    </row>
    <row r="35" spans="1:9" ht="20.25">
      <c r="A35" s="784" t="s">
        <v>516</v>
      </c>
      <c r="B35" s="761">
        <f>NSG_Requirements!B7/1000</f>
        <v>0</v>
      </c>
      <c r="C35" s="718"/>
      <c r="D35" s="736"/>
      <c r="E35" s="719"/>
      <c r="F35" s="643"/>
      <c r="G35" s="715"/>
      <c r="H35" s="715"/>
      <c r="I35" s="734"/>
    </row>
    <row r="36" spans="1:9" ht="20.25">
      <c r="A36" s="784" t="s">
        <v>517</v>
      </c>
      <c r="B36" s="761">
        <f>NSG_Supplies!B7/1000</f>
        <v>0</v>
      </c>
      <c r="C36" s="718"/>
      <c r="D36" s="736"/>
      <c r="E36" s="719"/>
      <c r="F36" s="643"/>
      <c r="G36" s="715"/>
      <c r="H36" s="715"/>
      <c r="I36" s="734"/>
    </row>
    <row r="37" spans="1:9" ht="21" thickBot="1">
      <c r="A37" s="783" t="s">
        <v>109</v>
      </c>
      <c r="B37" s="759">
        <f>NSG_Supplies!P7/1000</f>
        <v>0</v>
      </c>
      <c r="C37" s="739"/>
      <c r="D37" s="740"/>
      <c r="E37" s="721"/>
      <c r="F37" s="643"/>
      <c r="G37" s="715"/>
      <c r="H37" s="715"/>
      <c r="I37" s="734"/>
    </row>
    <row r="38" spans="1:9" ht="21" thickBot="1">
      <c r="A38" s="741" t="s">
        <v>505</v>
      </c>
      <c r="B38" s="762">
        <f>-B30+B31+B32-B33-B34-B35+B36+B37</f>
        <v>0</v>
      </c>
      <c r="C38" s="643"/>
      <c r="D38" s="742"/>
      <c r="E38" s="743"/>
      <c r="F38" s="643"/>
      <c r="G38" s="715"/>
      <c r="H38" s="715"/>
      <c r="I38" s="734"/>
    </row>
    <row r="39" spans="1:9" ht="24" thickBot="1">
      <c r="A39" s="722"/>
      <c r="B39" s="723"/>
      <c r="C39" s="831" t="s">
        <v>646</v>
      </c>
      <c r="D39" s="723"/>
      <c r="E39" s="725"/>
      <c r="F39" s="643"/>
      <c r="G39" s="715"/>
      <c r="H39" s="715"/>
      <c r="I39" s="734"/>
    </row>
    <row r="40" spans="1:9" ht="20.25">
      <c r="A40" s="709" t="s">
        <v>506</v>
      </c>
      <c r="B40" s="821">
        <v>0</v>
      </c>
      <c r="C40" s="643"/>
      <c r="D40" s="744"/>
      <c r="E40" s="745"/>
      <c r="F40" s="643"/>
      <c r="G40" s="715"/>
      <c r="H40" s="715"/>
      <c r="I40" s="734"/>
    </row>
    <row r="41" spans="1:9" ht="20.25">
      <c r="A41" s="709" t="s">
        <v>507</v>
      </c>
      <c r="B41" s="822">
        <f>NSG_Requirements!J7/1000</f>
        <v>20</v>
      </c>
      <c r="C41" s="718"/>
      <c r="D41" s="736"/>
      <c r="E41" s="719"/>
      <c r="F41" s="643"/>
      <c r="G41" s="715"/>
      <c r="H41" s="715"/>
      <c r="I41" s="734"/>
    </row>
    <row r="42" spans="1:9" ht="20.25">
      <c r="A42" s="709" t="s">
        <v>508</v>
      </c>
      <c r="B42" s="823">
        <f>NSG_Supplies!E7/1000</f>
        <v>0</v>
      </c>
      <c r="C42" s="643"/>
      <c r="D42" s="746"/>
      <c r="E42" s="747"/>
      <c r="F42" s="643"/>
      <c r="G42" s="715"/>
      <c r="H42" s="715"/>
      <c r="I42" s="734"/>
    </row>
    <row r="43" spans="1:9" ht="20.25">
      <c r="A43" s="709" t="s">
        <v>509</v>
      </c>
      <c r="B43" s="822">
        <v>0</v>
      </c>
      <c r="C43" s="718"/>
      <c r="D43" s="736"/>
      <c r="E43" s="719"/>
      <c r="F43" s="643"/>
      <c r="G43" s="715"/>
      <c r="H43" s="715"/>
      <c r="I43" s="734"/>
    </row>
    <row r="44" spans="1:9" ht="20.25">
      <c r="A44" s="709" t="s">
        <v>510</v>
      </c>
      <c r="B44" s="822">
        <v>0</v>
      </c>
      <c r="C44" s="718"/>
      <c r="D44" s="736"/>
      <c r="E44" s="719"/>
      <c r="F44" s="643"/>
      <c r="G44" s="715"/>
      <c r="H44" s="715"/>
      <c r="I44" s="734"/>
    </row>
    <row r="45" spans="1:9" ht="21" thickBot="1">
      <c r="A45" s="638" t="s">
        <v>642</v>
      </c>
      <c r="B45" s="823">
        <f>NSG_Supplies!Q7/1000</f>
        <v>20</v>
      </c>
      <c r="C45" s="643"/>
      <c r="D45" s="746"/>
      <c r="E45" s="747"/>
      <c r="F45" s="643"/>
      <c r="G45" s="715"/>
      <c r="H45" s="715"/>
      <c r="I45" s="734"/>
    </row>
    <row r="46" spans="1:9" ht="21" thickBot="1">
      <c r="A46" s="741" t="s">
        <v>505</v>
      </c>
      <c r="B46" s="824">
        <f>B45+B42-B41</f>
        <v>0</v>
      </c>
      <c r="C46" s="749"/>
      <c r="D46" s="748"/>
      <c r="E46" s="750"/>
      <c r="F46" s="643"/>
      <c r="G46" s="715"/>
      <c r="H46" s="715"/>
      <c r="I46" s="734"/>
    </row>
    <row r="47" spans="1:9" ht="24" thickBot="1">
      <c r="A47" s="722"/>
      <c r="B47" s="723"/>
      <c r="C47" s="724" t="s">
        <v>69</v>
      </c>
      <c r="D47" s="723"/>
      <c r="E47" s="725"/>
      <c r="F47" s="643"/>
      <c r="G47" s="715"/>
      <c r="H47" s="715"/>
      <c r="I47" s="734"/>
    </row>
    <row r="48" spans="1:9" ht="20.25">
      <c r="A48" s="709" t="s">
        <v>511</v>
      </c>
      <c r="B48" s="728">
        <f>(NSG_Requirements!V7+NSG_Requirements!W7+NSG_Requirements!X7)/1000</f>
        <v>0</v>
      </c>
      <c r="C48" s="751"/>
      <c r="D48" s="736"/>
      <c r="E48" s="719"/>
      <c r="F48" s="643"/>
      <c r="G48" s="715"/>
      <c r="H48" s="715"/>
      <c r="I48" s="734"/>
    </row>
    <row r="49" spans="1:9" ht="20.25">
      <c r="A49" s="709" t="s">
        <v>512</v>
      </c>
      <c r="B49" s="735">
        <f>NSG_Requirements!M7/1000</f>
        <v>0</v>
      </c>
      <c r="C49" s="755"/>
      <c r="D49" s="755"/>
      <c r="E49" s="644"/>
      <c r="F49" s="643"/>
      <c r="G49" s="715"/>
      <c r="H49" s="715"/>
      <c r="I49" s="734"/>
    </row>
    <row r="50" spans="1:9" ht="20.25">
      <c r="A50" s="709" t="s">
        <v>89</v>
      </c>
      <c r="B50" s="735">
        <f>NSG_Requirements!E7/1000</f>
        <v>0</v>
      </c>
      <c r="C50" s="752"/>
      <c r="D50" s="746"/>
      <c r="E50" s="747"/>
      <c r="F50" s="643"/>
      <c r="G50" s="715"/>
      <c r="H50" s="715"/>
      <c r="I50" s="734"/>
    </row>
    <row r="51" spans="1:9" ht="21" thickBot="1">
      <c r="A51" s="709" t="s">
        <v>109</v>
      </c>
      <c r="B51" s="738">
        <f>NSG_Supplies!O7/1000</f>
        <v>0</v>
      </c>
      <c r="C51" s="751"/>
      <c r="D51" s="736"/>
      <c r="E51" s="719"/>
      <c r="F51" s="643"/>
      <c r="G51" s="715"/>
      <c r="H51" s="715"/>
      <c r="I51" s="734"/>
    </row>
    <row r="52" spans="1:9" ht="24" thickBot="1">
      <c r="A52" s="722"/>
      <c r="B52" s="723"/>
      <c r="C52" s="724" t="s">
        <v>513</v>
      </c>
      <c r="D52" s="723"/>
      <c r="E52" s="725"/>
      <c r="F52" s="643"/>
      <c r="G52" s="715"/>
      <c r="H52" s="715"/>
      <c r="I52" s="734"/>
    </row>
    <row r="53" spans="1:9" ht="20.25">
      <c r="A53" s="753" t="s">
        <v>514</v>
      </c>
      <c r="B53" s="754"/>
      <c r="C53" s="643"/>
      <c r="D53" s="744"/>
      <c r="E53" s="745"/>
      <c r="F53" s="643"/>
      <c r="G53" s="715"/>
      <c r="H53" s="715"/>
      <c r="I53" s="734"/>
    </row>
    <row r="54" spans="1:9" ht="21" thickBot="1">
      <c r="A54" s="756" t="s">
        <v>515</v>
      </c>
      <c r="B54" s="765"/>
      <c r="C54" s="766"/>
      <c r="D54" s="767"/>
      <c r="E54" s="768"/>
      <c r="F54" s="757"/>
      <c r="G54" s="769"/>
      <c r="H54" s="1093"/>
      <c r="I54" s="1092"/>
    </row>
    <row r="55" spans="1:9" ht="15.75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RowHeight="12"/>
  <cols>
    <col min="1" max="1" width="24.77734375" style="2" customWidth="1"/>
    <col min="2" max="8" width="12.77734375" style="2" customWidth="1"/>
    <col min="9" max="9" width="14.109375" style="2" customWidth="1"/>
    <col min="10" max="11" width="8.88671875" style="2"/>
    <col min="12" max="12" width="24.77734375" style="2" customWidth="1"/>
    <col min="13" max="20" width="12.77734375" style="2" customWidth="1"/>
    <col min="21" max="16384" width="8.88671875" style="2"/>
  </cols>
  <sheetData>
    <row r="1" spans="1:9" ht="17.100000000000001" customHeight="1">
      <c r="A1" s="489" t="s">
        <v>11</v>
      </c>
      <c r="B1" s="254"/>
      <c r="C1" s="254"/>
      <c r="D1" s="254"/>
      <c r="E1" s="255" t="s">
        <v>173</v>
      </c>
      <c r="F1" s="462">
        <f>Weather_Input!A5</f>
        <v>37009</v>
      </c>
      <c r="G1" s="256" t="s">
        <v>11</v>
      </c>
      <c r="H1" s="254"/>
      <c r="I1" s="257"/>
    </row>
    <row r="2" spans="1:9" ht="17.100000000000001" customHeight="1">
      <c r="A2" s="258" t="s">
        <v>11</v>
      </c>
      <c r="B2" s="259"/>
      <c r="C2" s="259"/>
      <c r="D2" s="259" t="s">
        <v>11</v>
      </c>
      <c r="E2" s="259"/>
      <c r="F2" s="259"/>
      <c r="G2" s="259"/>
      <c r="H2" s="259" t="s">
        <v>11</v>
      </c>
      <c r="I2" s="260"/>
    </row>
    <row r="3" spans="1:9" ht="17.100000000000001" customHeight="1" thickBot="1">
      <c r="A3" s="258"/>
      <c r="B3" s="457" t="s">
        <v>536</v>
      </c>
      <c r="C3" s="453">
        <v>44</v>
      </c>
      <c r="D3" s="259"/>
      <c r="E3" s="259"/>
      <c r="F3" s="453" t="s">
        <v>396</v>
      </c>
      <c r="G3" s="453"/>
      <c r="H3" s="261" t="s">
        <v>174</v>
      </c>
      <c r="I3" s="260"/>
    </row>
    <row r="4" spans="1:9" ht="17.100000000000001" customHeight="1">
      <c r="A4" s="262" t="s">
        <v>175</v>
      </c>
      <c r="B4" s="262" t="s">
        <v>175</v>
      </c>
      <c r="C4" s="263" t="s">
        <v>176</v>
      </c>
      <c r="D4" s="263" t="s">
        <v>23</v>
      </c>
      <c r="E4" s="263" t="s">
        <v>176</v>
      </c>
      <c r="F4" s="263" t="s">
        <v>23</v>
      </c>
      <c r="G4" s="263" t="s">
        <v>176</v>
      </c>
      <c r="H4" s="263" t="s">
        <v>23</v>
      </c>
      <c r="I4" s="264" t="s">
        <v>176</v>
      </c>
    </row>
    <row r="5" spans="1:9" ht="17.100000000000001" customHeight="1">
      <c r="A5" s="265" t="s">
        <v>177</v>
      </c>
      <c r="B5" s="266">
        <f>Weather_Input!B5</f>
        <v>65</v>
      </c>
      <c r="C5" s="266">
        <f>Weather_Input!C5</f>
        <v>46</v>
      </c>
      <c r="D5" s="266"/>
      <c r="E5" s="266"/>
      <c r="F5" s="266"/>
      <c r="G5" s="266"/>
      <c r="H5" s="266"/>
      <c r="I5" s="267"/>
    </row>
    <row r="6" spans="1:9" ht="17.100000000000001" customHeight="1">
      <c r="A6" s="265" t="s">
        <v>178</v>
      </c>
      <c r="B6" s="268"/>
      <c r="C6" s="269"/>
      <c r="D6" s="269"/>
      <c r="E6" s="269"/>
      <c r="F6" s="269"/>
      <c r="G6" s="269"/>
      <c r="H6" s="269"/>
      <c r="I6" s="267"/>
    </row>
    <row r="7" spans="1:9" ht="17.100000000000001" customHeight="1" thickBot="1">
      <c r="A7" s="258" t="s">
        <v>179</v>
      </c>
      <c r="B7" s="270"/>
      <c r="C7" s="271"/>
      <c r="D7" s="259"/>
      <c r="E7" s="270"/>
      <c r="F7" s="271"/>
      <c r="G7" s="271"/>
      <c r="H7" s="271"/>
      <c r="I7" s="260"/>
    </row>
    <row r="8" spans="1:9" ht="17.100000000000001" customHeight="1" thickBot="1">
      <c r="A8" s="272" t="s">
        <v>180</v>
      </c>
      <c r="B8" s="273">
        <f>PGL_Deliveries!C5/1000</f>
        <v>288</v>
      </c>
      <c r="C8" s="274">
        <f>NSG_Deliveries!C5/1000</f>
        <v>56</v>
      </c>
      <c r="D8" s="273" t="s">
        <v>11</v>
      </c>
      <c r="E8" s="275"/>
      <c r="F8" s="276"/>
      <c r="G8" s="276"/>
      <c r="H8" s="276"/>
      <c r="I8" s="257"/>
    </row>
    <row r="9" spans="1:9" ht="17.100000000000001" customHeight="1" thickTop="1" thickBot="1">
      <c r="A9" s="277"/>
      <c r="B9" s="456" t="s">
        <v>55</v>
      </c>
      <c r="C9" s="278" t="s">
        <v>83</v>
      </c>
      <c r="D9" s="279"/>
      <c r="E9" s="279"/>
      <c r="F9" s="279"/>
      <c r="G9" s="279"/>
      <c r="H9" s="279"/>
      <c r="I9" s="280"/>
    </row>
    <row r="10" spans="1:9" ht="17.100000000000001" customHeight="1" thickTop="1">
      <c r="A10" s="281" t="s">
        <v>68</v>
      </c>
      <c r="B10" s="282">
        <f>B62</f>
        <v>0</v>
      </c>
      <c r="C10" s="268"/>
      <c r="D10" s="266"/>
      <c r="E10" s="268"/>
      <c r="F10" s="268"/>
      <c r="G10" s="268"/>
      <c r="H10" s="268"/>
      <c r="I10" s="267" t="s">
        <v>11</v>
      </c>
    </row>
    <row r="11" spans="1:9" ht="17.100000000000001" customHeight="1">
      <c r="A11" s="283" t="s">
        <v>181</v>
      </c>
      <c r="B11" s="282">
        <f>+B54</f>
        <v>225.38</v>
      </c>
      <c r="C11" s="284" t="s">
        <v>11</v>
      </c>
      <c r="D11" s="266"/>
      <c r="E11" s="284" t="str">
        <f>+C11</f>
        <v xml:space="preserve"> </v>
      </c>
      <c r="F11" s="268"/>
      <c r="G11" s="284" t="str">
        <f>+C11</f>
        <v xml:space="preserve"> </v>
      </c>
      <c r="H11" s="268"/>
      <c r="I11" s="285" t="str">
        <f>+C11</f>
        <v xml:space="preserve"> </v>
      </c>
    </row>
    <row r="12" spans="1:9" ht="17.100000000000001" customHeight="1">
      <c r="A12" s="258" t="s">
        <v>182</v>
      </c>
      <c r="B12" s="282">
        <f>PGL_Supplies!K7/1000</f>
        <v>0</v>
      </c>
      <c r="C12" s="284"/>
      <c r="D12" s="266"/>
      <c r="E12" s="268"/>
      <c r="F12" s="268"/>
      <c r="G12" s="268"/>
      <c r="H12" s="268"/>
      <c r="I12" s="267"/>
    </row>
    <row r="13" spans="1:9" ht="17.100000000000001" customHeight="1">
      <c r="A13" s="283" t="s">
        <v>74</v>
      </c>
      <c r="B13" s="282">
        <f>PGL_Supplies!I7/1000</f>
        <v>13.301</v>
      </c>
      <c r="C13" s="268"/>
      <c r="D13" s="461"/>
      <c r="E13" s="268"/>
      <c r="F13" s="268"/>
      <c r="G13" s="268"/>
      <c r="H13" s="268"/>
      <c r="I13" s="267"/>
    </row>
    <row r="14" spans="1:9" ht="17.100000000000001" customHeight="1">
      <c r="A14" s="283" t="s">
        <v>183</v>
      </c>
      <c r="B14" s="286">
        <f>+B72</f>
        <v>-27.869</v>
      </c>
      <c r="C14" s="268"/>
      <c r="D14" s="266"/>
      <c r="E14" s="268"/>
      <c r="F14" s="268"/>
      <c r="G14" s="268"/>
      <c r="H14" s="268"/>
      <c r="I14" s="267"/>
    </row>
    <row r="15" spans="1:9" ht="17.100000000000001" customHeight="1">
      <c r="A15" s="283" t="s">
        <v>184</v>
      </c>
      <c r="B15" s="282">
        <f>+B46</f>
        <v>0.627</v>
      </c>
      <c r="C15" s="268" t="s">
        <v>11</v>
      </c>
      <c r="D15" s="266" t="s">
        <v>11</v>
      </c>
      <c r="E15" s="268"/>
      <c r="F15" s="461"/>
      <c r="G15" s="268"/>
      <c r="H15" s="268"/>
      <c r="I15" s="267"/>
    </row>
    <row r="16" spans="1:9" ht="17.100000000000001" customHeight="1">
      <c r="A16" s="258" t="s">
        <v>185</v>
      </c>
      <c r="B16" s="282">
        <f>PGL_Requirements!G7/1000</f>
        <v>0.61699999999999999</v>
      </c>
      <c r="C16" s="268"/>
      <c r="D16" s="266"/>
      <c r="E16" s="268"/>
      <c r="F16" s="306" t="s">
        <v>11</v>
      </c>
      <c r="G16" s="268"/>
      <c r="H16" s="268"/>
      <c r="I16" s="267"/>
    </row>
    <row r="17" spans="1:9" ht="17.100000000000001" customHeight="1" thickBot="1">
      <c r="A17" s="283" t="s">
        <v>186</v>
      </c>
      <c r="B17" s="282">
        <f>PGL_Supplies!B7/1000</f>
        <v>0</v>
      </c>
      <c r="C17" s="268"/>
      <c r="D17" s="259"/>
      <c r="E17" s="268"/>
      <c r="F17" s="268"/>
      <c r="G17" s="268"/>
      <c r="H17" s="268"/>
      <c r="I17" s="287"/>
    </row>
    <row r="18" spans="1:9" ht="17.100000000000001" customHeight="1" thickBot="1">
      <c r="A18" s="288" t="s">
        <v>399</v>
      </c>
      <c r="B18" s="458">
        <f>-B10-B11-B12-B13-B14-B15+B16-B17</f>
        <v>-210.822</v>
      </c>
      <c r="C18" s="289">
        <f>-I63</f>
        <v>0</v>
      </c>
      <c r="D18" s="290" t="s">
        <v>11</v>
      </c>
      <c r="E18" s="289">
        <f>-I63</f>
        <v>0</v>
      </c>
      <c r="F18" s="290" t="s">
        <v>11</v>
      </c>
      <c r="G18" s="289">
        <f>-I63</f>
        <v>0</v>
      </c>
      <c r="H18" s="290" t="s">
        <v>11</v>
      </c>
      <c r="I18" s="291"/>
    </row>
    <row r="19" spans="1:9" ht="17.100000000000001" customHeight="1">
      <c r="A19" s="292" t="s">
        <v>61</v>
      </c>
      <c r="B19" s="293">
        <f>-PGL_Supplies!J7/1000</f>
        <v>0</v>
      </c>
      <c r="C19" s="294">
        <f>-NSG_Supplies!U7/1000</f>
        <v>0</v>
      </c>
      <c r="D19" s="254"/>
      <c r="E19" s="275"/>
      <c r="F19" s="254"/>
      <c r="G19" s="275"/>
      <c r="H19" s="276"/>
      <c r="I19" s="267"/>
    </row>
    <row r="20" spans="1:9" ht="17.100000000000001" customHeight="1">
      <c r="A20" s="292" t="s">
        <v>187</v>
      </c>
      <c r="B20" s="282">
        <f>B8+B18+B19</f>
        <v>77.177999999999997</v>
      </c>
      <c r="C20" s="295">
        <f>C8+C18+C19</f>
        <v>56</v>
      </c>
      <c r="D20" s="266"/>
      <c r="E20" s="268"/>
      <c r="F20" s="266"/>
      <c r="G20" s="268"/>
      <c r="H20" s="269"/>
      <c r="I20" s="260"/>
    </row>
    <row r="21" spans="1:9" ht="17.100000000000001" customHeight="1">
      <c r="A21" s="292" t="s">
        <v>188</v>
      </c>
      <c r="B21" s="282">
        <v>0</v>
      </c>
      <c r="C21" s="268"/>
      <c r="D21" s="266"/>
      <c r="E21" s="268"/>
      <c r="F21" s="266"/>
      <c r="G21" s="268"/>
      <c r="H21" s="269"/>
      <c r="I21" s="296"/>
    </row>
    <row r="22" spans="1:9" ht="17.100000000000001" customHeight="1">
      <c r="A22" s="292" t="s">
        <v>189</v>
      </c>
      <c r="B22" s="282">
        <f>+B44</f>
        <v>2.8089</v>
      </c>
      <c r="C22" s="268"/>
      <c r="D22" s="266"/>
      <c r="E22" s="268"/>
      <c r="F22" s="297" t="s">
        <v>11</v>
      </c>
      <c r="G22" s="306"/>
      <c r="H22" s="298" t="s">
        <v>11</v>
      </c>
      <c r="I22" s="260"/>
    </row>
    <row r="23" spans="1:9" ht="17.100000000000001" customHeight="1">
      <c r="A23" s="299" t="s">
        <v>190</v>
      </c>
      <c r="B23" s="300">
        <f>B20+B21+B22</f>
        <v>79.986899999999991</v>
      </c>
      <c r="C23" s="301">
        <f>C20</f>
        <v>56</v>
      </c>
      <c r="D23" s="266"/>
      <c r="E23" s="268"/>
      <c r="F23" s="302"/>
      <c r="G23" s="268"/>
      <c r="H23" s="303" t="s">
        <v>11</v>
      </c>
      <c r="I23" s="304" t="s">
        <v>11</v>
      </c>
    </row>
    <row r="24" spans="1:9" ht="17.100000000000001" customHeight="1" thickBot="1">
      <c r="A24" s="305" t="s">
        <v>191</v>
      </c>
      <c r="B24" s="306">
        <f>-NSG_Requirements!$L$7/1000</f>
        <v>0</v>
      </c>
      <c r="C24" s="306">
        <f>NSG_Requirements!$L$7/1000</f>
        <v>0</v>
      </c>
      <c r="D24" s="307">
        <f>B24</f>
        <v>0</v>
      </c>
      <c r="E24" s="306">
        <f>C24</f>
        <v>0</v>
      </c>
      <c r="F24" s="307">
        <f>B24</f>
        <v>0</v>
      </c>
      <c r="G24" s="306">
        <f>C24</f>
        <v>0</v>
      </c>
      <c r="H24" s="452">
        <f>B24</f>
        <v>0</v>
      </c>
      <c r="I24" s="308">
        <f>C24</f>
        <v>0</v>
      </c>
    </row>
    <row r="25" spans="1:9" ht="17.100000000000001" customHeight="1" thickTop="1" thickBot="1">
      <c r="A25" s="277"/>
      <c r="B25" s="279"/>
      <c r="C25" s="488" t="s">
        <v>11</v>
      </c>
      <c r="D25" s="279"/>
      <c r="E25" s="279"/>
      <c r="F25" s="279"/>
      <c r="G25" s="279"/>
      <c r="H25" s="279"/>
      <c r="I25" s="280"/>
    </row>
    <row r="26" spans="1:9" ht="17.25" customHeight="1" thickTop="1">
      <c r="A26" s="309" t="s">
        <v>192</v>
      </c>
      <c r="B26" s="310">
        <f>PGL_Requirements!L7/1000</f>
        <v>0</v>
      </c>
      <c r="C26" s="310">
        <f>NSG_Requirements!C7/1000</f>
        <v>0</v>
      </c>
      <c r="D26" s="310">
        <f>B26</f>
        <v>0</v>
      </c>
      <c r="E26" s="310">
        <f>+C26</f>
        <v>0</v>
      </c>
      <c r="F26" s="310">
        <f>B26</f>
        <v>0</v>
      </c>
      <c r="G26" s="310">
        <f>+C26</f>
        <v>0</v>
      </c>
      <c r="H26" s="311">
        <f>B26</f>
        <v>0</v>
      </c>
      <c r="I26" s="312">
        <f>+C26</f>
        <v>0</v>
      </c>
    </row>
    <row r="27" spans="1:9" ht="17.25" customHeight="1">
      <c r="A27" s="309" t="s">
        <v>193</v>
      </c>
      <c r="B27" s="310">
        <f>PGL_Requirements!R7/1000</f>
        <v>0.64</v>
      </c>
      <c r="C27" s="310">
        <f>NSG_Requirements!P7/1000</f>
        <v>0</v>
      </c>
      <c r="D27" s="310">
        <f>PGL_Requirements!R7/1000</f>
        <v>0.64</v>
      </c>
      <c r="E27" s="310">
        <f>NSG_Requirements!P7/1000</f>
        <v>0</v>
      </c>
      <c r="F27" s="310">
        <f>PGL_Requirements!R7/1000</f>
        <v>0.64</v>
      </c>
      <c r="G27" s="310">
        <f>NSG_Requirements!P7/1000</f>
        <v>0</v>
      </c>
      <c r="H27" s="311">
        <f>+B27</f>
        <v>0.64</v>
      </c>
      <c r="I27" s="312">
        <f>+C27</f>
        <v>0</v>
      </c>
    </row>
    <row r="28" spans="1:9" ht="17.100000000000001" customHeight="1">
      <c r="A28" s="322" t="s">
        <v>194</v>
      </c>
      <c r="B28" s="315">
        <v>0</v>
      </c>
      <c r="C28" s="315">
        <v>0</v>
      </c>
      <c r="D28" s="315">
        <v>0</v>
      </c>
      <c r="E28" s="315">
        <v>0</v>
      </c>
      <c r="F28" s="315">
        <v>0</v>
      </c>
      <c r="G28" s="315">
        <f>C28</f>
        <v>0</v>
      </c>
      <c r="H28" s="320">
        <f>B28</f>
        <v>0</v>
      </c>
      <c r="I28" s="321">
        <f>C28</f>
        <v>0</v>
      </c>
    </row>
    <row r="29" spans="1:9" ht="17.100000000000001" customHeight="1">
      <c r="A29" s="322" t="s">
        <v>195</v>
      </c>
      <c r="B29" s="419">
        <f>-PGL_Supplies!N7/1000</f>
        <v>0</v>
      </c>
      <c r="C29" s="419">
        <f>-NSG_Supplies!I7/1000</f>
        <v>0</v>
      </c>
      <c r="D29" s="315">
        <f>-PGL_Supplies!N7/1000</f>
        <v>0</v>
      </c>
      <c r="E29" s="315">
        <f>-NSG_Supplies!I7/1000</f>
        <v>0</v>
      </c>
      <c r="F29" s="315">
        <f>-PGL_Supplies!N7/1000</f>
        <v>0</v>
      </c>
      <c r="G29" s="315">
        <f>-NSG_Supplies!I7/1000</f>
        <v>0</v>
      </c>
      <c r="H29" s="320">
        <f>-PGL_Supplies!N7/1000</f>
        <v>0</v>
      </c>
      <c r="I29" s="321">
        <f>-NSG_Supplies!I7/1000</f>
        <v>0</v>
      </c>
    </row>
    <row r="30" spans="1:9" ht="17.100000000000001" customHeight="1">
      <c r="A30" s="319" t="s">
        <v>405</v>
      </c>
      <c r="B30" s="315">
        <f>-PGL_Supplies!O7/1000</f>
        <v>0</v>
      </c>
      <c r="C30" s="315">
        <f>-NSG_Supplies!J7/1000</f>
        <v>0</v>
      </c>
      <c r="D30" s="315">
        <f>-PGL_Supplies!O7/1000</f>
        <v>0</v>
      </c>
      <c r="E30" s="315">
        <f>-NSG_Supplies!J7/1000</f>
        <v>0</v>
      </c>
      <c r="F30" s="315">
        <f>-PGL_Supplies!O7/1000</f>
        <v>0</v>
      </c>
      <c r="G30" s="315">
        <f>-NSG_Supplies!J7/1000</f>
        <v>0</v>
      </c>
      <c r="H30" s="320">
        <f>-PGL_Supplies!O7/1000</f>
        <v>0</v>
      </c>
      <c r="I30" s="321">
        <f>-NSG_Supplies!J7/1000</f>
        <v>0</v>
      </c>
    </row>
    <row r="31" spans="1:9" ht="17.100000000000001" customHeight="1">
      <c r="A31" s="314" t="s">
        <v>196</v>
      </c>
      <c r="B31" s="420">
        <f>(PGL_Requirements!$Y$7+PGL_Requirements!$Z$7+PGL_Requirements!$AA$7)/1000+(NSG_Requirements!$Y$7+NSG_Requirements!$Z$7+NSG_Requirements!$AA$7)/1000</f>
        <v>0</v>
      </c>
      <c r="C31" s="420">
        <f>-(PGL_Requirements!$Y$7+PGL_Requirements!$Z$7+PGL_Requirements!$AA$7)/1000+(NSG_Requirements!$Y$7+NSG_Requirements!$Z$7+NSG_Requirements!$AA$7)/1000</f>
        <v>0</v>
      </c>
      <c r="D31" s="310">
        <f>+B31</f>
        <v>0</v>
      </c>
      <c r="E31" s="315">
        <f>+C31</f>
        <v>0</v>
      </c>
      <c r="F31" s="310">
        <f>+B31</f>
        <v>0</v>
      </c>
      <c r="G31" s="315">
        <f>+E31</f>
        <v>0</v>
      </c>
      <c r="H31" s="311">
        <f>+B31</f>
        <v>0</v>
      </c>
      <c r="I31" s="312">
        <f>+C31</f>
        <v>0</v>
      </c>
    </row>
    <row r="32" spans="1:9" ht="17.100000000000001" customHeight="1">
      <c r="A32" s="322" t="s">
        <v>197</v>
      </c>
      <c r="B32" s="315">
        <f>-PGL_Supplies!AC7/1000</f>
        <v>-131.75</v>
      </c>
      <c r="C32" s="315">
        <f>-NSG_Supplies!R7/1000</f>
        <v>-49.755000000000003</v>
      </c>
      <c r="D32" s="315">
        <f>B32</f>
        <v>-131.75</v>
      </c>
      <c r="E32" s="315">
        <f>C32</f>
        <v>-49.755000000000003</v>
      </c>
      <c r="F32" s="315">
        <f>B32</f>
        <v>-131.75</v>
      </c>
      <c r="G32" s="315">
        <f>C32</f>
        <v>-49.755000000000003</v>
      </c>
      <c r="H32" s="320">
        <f>B32</f>
        <v>-131.75</v>
      </c>
      <c r="I32" s="321">
        <f>C32</f>
        <v>-49.755000000000003</v>
      </c>
    </row>
    <row r="33" spans="1:9" ht="17.100000000000001" customHeight="1">
      <c r="A33" s="319" t="s">
        <v>393</v>
      </c>
      <c r="B33" s="315">
        <f>-PGL_Supplies!X7/1000</f>
        <v>0</v>
      </c>
      <c r="C33" s="315">
        <f>-NSG_Supplies!S7/1000</f>
        <v>-24.754999999999999</v>
      </c>
      <c r="D33" s="315">
        <f>B33</f>
        <v>0</v>
      </c>
      <c r="E33" s="315">
        <f>C33</f>
        <v>-24.754999999999999</v>
      </c>
      <c r="F33" s="315">
        <f>B33</f>
        <v>0</v>
      </c>
      <c r="G33" s="315">
        <f>C33</f>
        <v>-24.754999999999999</v>
      </c>
      <c r="H33" s="320">
        <f>B33</f>
        <v>0</v>
      </c>
      <c r="I33" s="321">
        <f>C33</f>
        <v>-24.754999999999999</v>
      </c>
    </row>
    <row r="34" spans="1:9" ht="17.100000000000001" customHeight="1">
      <c r="A34" s="309" t="s">
        <v>198</v>
      </c>
      <c r="B34" s="310">
        <f>PGL_Requirements!S7/1000</f>
        <v>0</v>
      </c>
      <c r="C34" s="310" t="s">
        <v>11</v>
      </c>
      <c r="D34" s="310">
        <f>+B34</f>
        <v>0</v>
      </c>
      <c r="E34" s="313"/>
      <c r="F34" s="310">
        <f>+D34</f>
        <v>0</v>
      </c>
      <c r="G34" s="313"/>
      <c r="H34" s="311">
        <f>+B34</f>
        <v>0</v>
      </c>
      <c r="I34" s="312" t="str">
        <f>+C34</f>
        <v xml:space="preserve"> </v>
      </c>
    </row>
    <row r="35" spans="1:9" ht="17.100000000000001" customHeight="1">
      <c r="A35" s="316" t="s">
        <v>199</v>
      </c>
      <c r="B35" s="310">
        <f>PGL_Requirements!O7/1000</f>
        <v>49.384</v>
      </c>
      <c r="C35" s="310">
        <f>NSG_Requirements!H7/1000</f>
        <v>0</v>
      </c>
      <c r="D35" s="313"/>
      <c r="E35" s="313"/>
      <c r="F35" s="313"/>
      <c r="G35" s="313"/>
      <c r="H35" s="317"/>
      <c r="I35" s="318"/>
    </row>
    <row r="36" spans="1:9" ht="17.100000000000001" customHeight="1">
      <c r="A36" s="316" t="s">
        <v>200</v>
      </c>
      <c r="B36" s="315">
        <f>-PGL_Supplies!L7/1000</f>
        <v>0</v>
      </c>
      <c r="C36" s="315">
        <f>-NSG_Supplies!F7/1000</f>
        <v>-6.25</v>
      </c>
      <c r="D36" s="313"/>
      <c r="E36" s="313"/>
      <c r="F36" s="313"/>
      <c r="G36" s="313"/>
      <c r="H36" s="317"/>
      <c r="I36" s="318"/>
    </row>
    <row r="37" spans="1:9" ht="17.100000000000001" customHeight="1">
      <c r="A37" s="319" t="s">
        <v>406</v>
      </c>
      <c r="B37" s="310">
        <f>PGL_Requirements!M7/1000</f>
        <v>0</v>
      </c>
      <c r="C37" s="323" t="s">
        <v>11</v>
      </c>
      <c r="D37" s="310">
        <f>PGL_Requirements!M7/1000</f>
        <v>0</v>
      </c>
      <c r="E37" s="313"/>
      <c r="F37" s="310">
        <f>PGL_Requirements!M7/1000</f>
        <v>0</v>
      </c>
      <c r="G37" s="310" t="s">
        <v>11</v>
      </c>
      <c r="H37" s="317"/>
      <c r="I37" s="333"/>
    </row>
    <row r="38" spans="1:9" ht="17.100000000000001" customHeight="1" thickBot="1">
      <c r="A38" s="325" t="s">
        <v>201</v>
      </c>
      <c r="B38" s="310" t="e">
        <f>PGL_Requirements!#REF!/1000</f>
        <v>#REF!</v>
      </c>
      <c r="C38" s="315">
        <f>NSG_Supplies!K7/1000</f>
        <v>0</v>
      </c>
      <c r="D38" s="313"/>
      <c r="E38" s="313"/>
      <c r="F38" s="313"/>
      <c r="G38" s="313"/>
      <c r="H38" s="324" t="e">
        <f>B38</f>
        <v>#REF!</v>
      </c>
      <c r="I38" s="333"/>
    </row>
    <row r="39" spans="1:9" ht="17.100000000000001" customHeight="1" thickBot="1">
      <c r="A39" s="326" t="s">
        <v>11</v>
      </c>
      <c r="B39" s="487" t="s">
        <v>413</v>
      </c>
      <c r="C39" s="485"/>
      <c r="D39" s="486"/>
      <c r="E39" s="328"/>
      <c r="F39" s="329" t="s">
        <v>202</v>
      </c>
      <c r="G39" s="328"/>
      <c r="H39" s="330"/>
      <c r="I39" s="331"/>
    </row>
    <row r="40" spans="1:9" ht="17.100000000000001" customHeight="1">
      <c r="A40" s="332" t="s">
        <v>203</v>
      </c>
      <c r="B40" s="315">
        <f>PGL_Requirements!P7/1000</f>
        <v>187.26</v>
      </c>
      <c r="C40" s="315" t="s">
        <v>11</v>
      </c>
      <c r="D40" s="396"/>
      <c r="E40" s="333"/>
      <c r="F40" s="334" t="s">
        <v>204</v>
      </c>
      <c r="G40" s="313"/>
      <c r="H40" s="335"/>
      <c r="I40" s="336"/>
    </row>
    <row r="41" spans="1:9" ht="17.100000000000001" customHeight="1">
      <c r="A41" s="332" t="s">
        <v>205</v>
      </c>
      <c r="B41" s="324">
        <f>PGL_Supplies!M7/1000</f>
        <v>0</v>
      </c>
      <c r="C41" s="315" t="s">
        <v>11</v>
      </c>
      <c r="D41" s="313"/>
      <c r="E41" s="333"/>
      <c r="F41" s="337" t="s">
        <v>206</v>
      </c>
      <c r="G41" s="313"/>
      <c r="H41" s="317"/>
      <c r="I41" s="336"/>
    </row>
    <row r="42" spans="1:9" ht="17.100000000000001" customHeight="1">
      <c r="A42" s="332" t="s">
        <v>207</v>
      </c>
      <c r="B42" s="315">
        <f>PGL_Requirements!B7/1000</f>
        <v>0</v>
      </c>
      <c r="C42" s="315" t="s">
        <v>11</v>
      </c>
      <c r="D42" s="313"/>
      <c r="E42" s="333"/>
      <c r="F42" s="337" t="s">
        <v>208</v>
      </c>
      <c r="G42" s="313"/>
      <c r="H42" s="317"/>
      <c r="I42" s="336"/>
    </row>
    <row r="43" spans="1:9" ht="17.100000000000001" customHeight="1">
      <c r="A43" s="332" t="s">
        <v>209</v>
      </c>
      <c r="B43" s="315">
        <f>PGL_Supplies!H7/1000</f>
        <v>0.627</v>
      </c>
      <c r="C43" s="313"/>
      <c r="D43" s="313"/>
      <c r="E43" s="333"/>
      <c r="F43" s="338" t="s">
        <v>210</v>
      </c>
      <c r="G43" s="313"/>
      <c r="H43" s="317"/>
      <c r="I43" s="336"/>
    </row>
    <row r="44" spans="1:9" ht="17.100000000000001" customHeight="1">
      <c r="A44" s="332" t="s">
        <v>189</v>
      </c>
      <c r="B44" s="339">
        <f>+B48+B47+B45</f>
        <v>2.8089</v>
      </c>
      <c r="C44" s="340"/>
      <c r="D44" s="313"/>
      <c r="E44" s="333"/>
      <c r="F44" s="337" t="s">
        <v>211</v>
      </c>
      <c r="G44" s="313"/>
      <c r="H44" s="317"/>
      <c r="I44" s="336"/>
    </row>
    <row r="45" spans="1:9" ht="17.100000000000001" customHeight="1">
      <c r="A45" s="332" t="s">
        <v>212</v>
      </c>
      <c r="B45" s="315">
        <f>PGL_Requirements!Q7/1000</f>
        <v>2.8089</v>
      </c>
      <c r="C45" s="313"/>
      <c r="D45" s="313"/>
      <c r="E45" s="333"/>
      <c r="F45" s="342" t="s">
        <v>213</v>
      </c>
      <c r="G45" s="313"/>
      <c r="H45" s="317"/>
      <c r="I45" s="336"/>
    </row>
    <row r="46" spans="1:9" ht="17.100000000000001" customHeight="1">
      <c r="A46" s="322" t="s">
        <v>214</v>
      </c>
      <c r="B46" s="315">
        <f>+B47+B43+B41</f>
        <v>0.627</v>
      </c>
      <c r="C46" s="313"/>
      <c r="D46" s="313"/>
      <c r="E46" s="333"/>
      <c r="F46" s="337" t="s">
        <v>215</v>
      </c>
      <c r="G46" s="313"/>
      <c r="H46" s="317"/>
      <c r="I46" s="336"/>
    </row>
    <row r="47" spans="1:9" ht="17.100000000000001" customHeight="1">
      <c r="A47" s="332" t="s">
        <v>216</v>
      </c>
      <c r="B47" s="341">
        <v>0</v>
      </c>
      <c r="C47" s="313"/>
      <c r="D47" s="313"/>
      <c r="E47" s="333"/>
      <c r="F47" s="337" t="s">
        <v>217</v>
      </c>
      <c r="G47" s="313"/>
      <c r="H47" s="317"/>
      <c r="I47" s="336"/>
    </row>
    <row r="48" spans="1:9" ht="17.100000000000001" customHeight="1" thickBot="1">
      <c r="A48" s="425" t="s">
        <v>218</v>
      </c>
      <c r="B48" s="343">
        <v>0</v>
      </c>
      <c r="C48" s="344"/>
      <c r="D48" s="344"/>
      <c r="E48" s="345"/>
      <c r="F48" s="338" t="s">
        <v>219</v>
      </c>
      <c r="G48" s="313"/>
      <c r="H48" s="317"/>
      <c r="I48" s="336"/>
    </row>
    <row r="49" spans="1:9" ht="17.100000000000001" customHeight="1" thickTop="1" thickBot="1">
      <c r="A49" s="346" t="s">
        <v>11</v>
      </c>
      <c r="B49" s="327" t="s">
        <v>370</v>
      </c>
      <c r="C49" s="347"/>
      <c r="D49" s="347"/>
      <c r="E49" s="347" t="s">
        <v>11</v>
      </c>
      <c r="F49" s="348" t="s">
        <v>220</v>
      </c>
      <c r="G49" s="349"/>
      <c r="H49" s="350"/>
      <c r="I49" s="336"/>
    </row>
    <row r="50" spans="1:9" ht="17.100000000000001" customHeight="1">
      <c r="A50" s="332" t="s">
        <v>410</v>
      </c>
      <c r="B50" s="324">
        <f>PGL_Supplies!V7/1000+PGL_Supplies!D7/1000</f>
        <v>220.76</v>
      </c>
      <c r="C50" s="313"/>
      <c r="D50" s="313"/>
      <c r="E50" s="313"/>
      <c r="F50" s="319" t="s">
        <v>402</v>
      </c>
      <c r="G50" s="351"/>
      <c r="H50" s="352"/>
      <c r="I50" s="336"/>
    </row>
    <row r="51" spans="1:9" ht="17.100000000000001" customHeight="1">
      <c r="A51" s="332" t="s">
        <v>221</v>
      </c>
      <c r="B51" s="324">
        <f>PGL_Supplies!AA7/1000</f>
        <v>4.62</v>
      </c>
      <c r="C51" s="340"/>
      <c r="D51" s="313"/>
      <c r="E51" s="313"/>
      <c r="F51" s="353" t="s">
        <v>222</v>
      </c>
      <c r="G51" s="351"/>
      <c r="H51" s="317"/>
      <c r="I51" s="336"/>
    </row>
    <row r="52" spans="1:9" ht="17.100000000000001" customHeight="1" thickBot="1">
      <c r="A52" s="332" t="s">
        <v>371</v>
      </c>
      <c r="B52" s="324">
        <f>NSG_Supplies!O7/1000+PGL_Supplies!Q7/1000</f>
        <v>0</v>
      </c>
      <c r="C52" s="313"/>
      <c r="D52" s="313"/>
      <c r="E52" s="313"/>
      <c r="F52" s="354" t="s">
        <v>223</v>
      </c>
      <c r="G52" s="355"/>
      <c r="H52" s="356"/>
      <c r="I52" s="336"/>
    </row>
    <row r="53" spans="1:9" ht="17.100000000000001" customHeight="1">
      <c r="A53" s="370" t="s">
        <v>233</v>
      </c>
      <c r="B53" s="324">
        <f>PGL_Requirements!J7/1000+NSG_Requirements!E7/1000</f>
        <v>0</v>
      </c>
      <c r="C53" s="313"/>
      <c r="D53" s="313"/>
      <c r="E53" s="313"/>
      <c r="F53" s="348" t="s">
        <v>224</v>
      </c>
      <c r="G53" s="357"/>
      <c r="H53" s="340"/>
      <c r="I53" s="336"/>
    </row>
    <row r="54" spans="1:9" ht="17.100000000000001" customHeight="1" thickBot="1">
      <c r="A54" s="322" t="s">
        <v>225</v>
      </c>
      <c r="B54" s="376">
        <f>SUM(B50+B51+B52-B53)</f>
        <v>225.38</v>
      </c>
      <c r="C54" s="324"/>
      <c r="D54" s="313"/>
      <c r="E54" s="313"/>
      <c r="F54" s="358" t="s">
        <v>226</v>
      </c>
      <c r="G54" s="359"/>
      <c r="H54" s="359"/>
      <c r="I54" s="360"/>
    </row>
    <row r="55" spans="1:9" ht="17.100000000000001" customHeight="1" thickBot="1">
      <c r="A55" s="346" t="s">
        <v>11</v>
      </c>
      <c r="B55" s="329" t="s">
        <v>68</v>
      </c>
      <c r="C55" s="347"/>
      <c r="D55" s="347"/>
      <c r="E55" s="347"/>
      <c r="F55" s="361" t="s">
        <v>227</v>
      </c>
      <c r="G55" s="313"/>
      <c r="H55" s="362"/>
      <c r="I55" s="321">
        <f>NSG_Supplies!P7/1000</f>
        <v>0</v>
      </c>
    </row>
    <row r="56" spans="1:9" ht="17.100000000000001" customHeight="1">
      <c r="A56" s="425" t="s">
        <v>393</v>
      </c>
      <c r="B56" s="324">
        <f>PGL_Supplies!U7/1000</f>
        <v>0</v>
      </c>
      <c r="C56" s="313"/>
      <c r="D56" s="313"/>
      <c r="E56" s="313"/>
      <c r="F56" s="361" t="s">
        <v>228</v>
      </c>
      <c r="G56" s="313"/>
      <c r="H56" s="363">
        <f>NSG_Requirements!B7/1000</f>
        <v>0</v>
      </c>
      <c r="I56" s="321">
        <f>NSG_Supplies!B7/1000</f>
        <v>0</v>
      </c>
    </row>
    <row r="57" spans="1:9" ht="17.100000000000001" customHeight="1">
      <c r="A57" s="332" t="s">
        <v>495</v>
      </c>
      <c r="B57" s="324">
        <f>PGL_Supplies!Z7/1000+PGL_Supplies!C7/1000-PGL_Requirements!C7/1000</f>
        <v>40</v>
      </c>
      <c r="C57" s="313"/>
      <c r="D57" s="313"/>
      <c r="E57" s="313"/>
      <c r="F57" s="361" t="s">
        <v>229</v>
      </c>
      <c r="G57" s="313"/>
      <c r="H57" s="363">
        <f>NSG_Requirements!S7/1000</f>
        <v>0</v>
      </c>
      <c r="I57" s="364"/>
    </row>
    <row r="58" spans="1:9" ht="17.100000000000001" customHeight="1">
      <c r="A58" s="332" t="s">
        <v>230</v>
      </c>
      <c r="B58" s="324">
        <f>PGL_Requirements!U7/1000</f>
        <v>40</v>
      </c>
      <c r="C58" s="313"/>
      <c r="D58" s="313"/>
      <c r="E58" s="313"/>
      <c r="F58" s="361" t="s">
        <v>231</v>
      </c>
      <c r="G58" s="313"/>
      <c r="H58" s="365"/>
      <c r="I58" s="366">
        <f>PGL_Requirements!V7/1000</f>
        <v>0</v>
      </c>
    </row>
    <row r="59" spans="1:9" ht="17.100000000000001" customHeight="1">
      <c r="A59" s="332" t="s">
        <v>232</v>
      </c>
      <c r="B59" s="324">
        <f>PGL_Supplies!R7/1000</f>
        <v>0</v>
      </c>
      <c r="C59" s="313"/>
      <c r="D59" s="313"/>
      <c r="E59" s="313"/>
      <c r="F59" s="367" t="s">
        <v>233</v>
      </c>
      <c r="G59" s="313"/>
      <c r="H59" s="368">
        <f>NSG_Requirements!D7/1000</f>
        <v>0</v>
      </c>
      <c r="I59" s="369"/>
    </row>
    <row r="60" spans="1:9" ht="17.100000000000001" customHeight="1">
      <c r="A60" s="370" t="s">
        <v>233</v>
      </c>
      <c r="B60" s="324">
        <f>PGL_Requirements!I7/1000</f>
        <v>0</v>
      </c>
      <c r="C60" s="313"/>
      <c r="D60" s="313"/>
      <c r="E60" s="313"/>
      <c r="F60" s="371" t="s">
        <v>234</v>
      </c>
      <c r="G60" s="351"/>
      <c r="H60" s="368">
        <f>NSG_Requirements!O7/1000</f>
        <v>0</v>
      </c>
      <c r="I60" s="321">
        <f>+NSG_Supplies!L7/1000</f>
        <v>0</v>
      </c>
    </row>
    <row r="61" spans="1:9" ht="17.100000000000001" customHeight="1" thickBot="1">
      <c r="A61" s="425" t="s">
        <v>415</v>
      </c>
      <c r="B61" s="372">
        <f>(NSG_Requirements!$S$7+NSG_Requirements!$T$7+NSG_Requirements!$U$7+NSG_Requirements!$N$7)/1000</f>
        <v>0</v>
      </c>
      <c r="C61" s="313"/>
      <c r="D61" s="313"/>
      <c r="E61" s="313"/>
      <c r="F61" s="373" t="s">
        <v>235</v>
      </c>
      <c r="G61" s="344"/>
      <c r="H61" s="374"/>
      <c r="I61" s="375">
        <f>NSG_Supplies!M7/1000</f>
        <v>0</v>
      </c>
    </row>
    <row r="62" spans="1:9" ht="17.100000000000001" customHeight="1" thickTop="1">
      <c r="A62" s="322" t="s">
        <v>225</v>
      </c>
      <c r="B62" s="376">
        <f>B56+B57-B58+B59-B60+B61</f>
        <v>0</v>
      </c>
      <c r="C62" s="377"/>
      <c r="D62" s="377"/>
      <c r="E62" s="377"/>
      <c r="F62" s="378" t="s">
        <v>236</v>
      </c>
      <c r="G62" s="313"/>
      <c r="H62" s="365"/>
      <c r="I62" s="379">
        <v>0</v>
      </c>
    </row>
    <row r="63" spans="1:9" ht="17.100000000000001" customHeight="1" thickBot="1">
      <c r="A63" s="346" t="s">
        <v>11</v>
      </c>
      <c r="B63" s="327"/>
      <c r="C63" s="327" t="s">
        <v>412</v>
      </c>
      <c r="D63" s="347"/>
      <c r="E63" s="483" t="s">
        <v>11</v>
      </c>
      <c r="F63" s="348" t="s">
        <v>237</v>
      </c>
      <c r="G63" s="313"/>
      <c r="H63" s="365"/>
      <c r="I63" s="312">
        <f>I58+I60+I56-H56</f>
        <v>0</v>
      </c>
    </row>
    <row r="64" spans="1:9" ht="17.100000000000001" customHeight="1" thickBot="1">
      <c r="A64" s="425" t="s">
        <v>393</v>
      </c>
      <c r="B64" s="324">
        <f>PGL_Supplies!Y7/1000</f>
        <v>159.39099999999999</v>
      </c>
      <c r="C64" s="313"/>
      <c r="D64" s="313"/>
      <c r="E64" s="380"/>
      <c r="F64" s="358" t="s">
        <v>238</v>
      </c>
      <c r="G64" s="359"/>
      <c r="H64" s="359"/>
      <c r="I64" s="360"/>
    </row>
    <row r="65" spans="1:10" ht="17.100000000000001" customHeight="1">
      <c r="A65" s="332" t="s">
        <v>494</v>
      </c>
      <c r="B65" s="324">
        <f>PGL_Supplies!AD7/1000+PGL_Supplies!G7/1000-PGL_Requirements!F7/1000</f>
        <v>0</v>
      </c>
      <c r="C65" s="381" t="s">
        <v>11</v>
      </c>
      <c r="D65" s="313"/>
      <c r="E65" s="382"/>
      <c r="F65" s="383" t="s">
        <v>239</v>
      </c>
      <c r="G65" s="384"/>
      <c r="H65" s="385"/>
      <c r="I65" s="386">
        <f>NSG_Supplies!O7/1000</f>
        <v>0</v>
      </c>
    </row>
    <row r="66" spans="1:10" ht="17.100000000000001" customHeight="1">
      <c r="A66" s="332" t="s">
        <v>240</v>
      </c>
      <c r="B66" s="324">
        <f>PGL_Supplies!AE7/1000</f>
        <v>0</v>
      </c>
      <c r="C66" s="381" t="s">
        <v>11</v>
      </c>
      <c r="D66" s="313"/>
      <c r="E66" s="382"/>
      <c r="F66" s="384" t="s">
        <v>241</v>
      </c>
      <c r="G66" s="384"/>
      <c r="H66" s="387">
        <f>NSG_Requirements!M7/1000</f>
        <v>0</v>
      </c>
      <c r="I66" s="364"/>
    </row>
    <row r="67" spans="1:10" ht="17.100000000000001" customHeight="1">
      <c r="A67" s="332" t="s">
        <v>242</v>
      </c>
      <c r="B67" s="388">
        <f>PGL_Requirements!T7/1000</f>
        <v>0</v>
      </c>
      <c r="C67" s="389" t="s">
        <v>11</v>
      </c>
      <c r="D67" s="313"/>
      <c r="E67" s="382"/>
      <c r="F67" s="384" t="s">
        <v>243</v>
      </c>
      <c r="G67" s="384"/>
      <c r="H67" s="390">
        <f>(NSG_Requirements!$Y$7+NSG_Requirements!$Z$7+NSG_Requirements!$AA$7)/1000</f>
        <v>0</v>
      </c>
      <c r="I67" s="391">
        <f>(PGL_Requirements!$AC$7+PGL_Requirements!$AD$7+PGL_Requirements!$AE$7)/1000</f>
        <v>0</v>
      </c>
    </row>
    <row r="68" spans="1:10" ht="17.100000000000001" customHeight="1" thickBot="1">
      <c r="A68" s="332" t="s">
        <v>244</v>
      </c>
      <c r="B68" s="324">
        <f>PGL_Supplies!P7/1000</f>
        <v>0</v>
      </c>
      <c r="C68" s="381" t="s">
        <v>11</v>
      </c>
      <c r="D68" s="313"/>
      <c r="E68" s="382"/>
      <c r="F68" s="392"/>
      <c r="G68" s="392"/>
      <c r="H68" s="393"/>
      <c r="I68" s="394"/>
    </row>
    <row r="69" spans="1:10" ht="17.100000000000001" customHeight="1">
      <c r="A69" s="370" t="s">
        <v>233</v>
      </c>
      <c r="B69" s="388">
        <f>PGL_Requirements!N7/1000</f>
        <v>0</v>
      </c>
      <c r="C69" s="389" t="s">
        <v>11</v>
      </c>
      <c r="D69" s="313"/>
      <c r="E69" s="491"/>
      <c r="F69" s="395" t="s">
        <v>245</v>
      </c>
      <c r="G69" s="385" t="s">
        <v>11</v>
      </c>
      <c r="H69" s="396" t="s">
        <v>398</v>
      </c>
      <c r="I69" s="382"/>
    </row>
    <row r="70" spans="1:10" ht="17.100000000000001" customHeight="1">
      <c r="A70" s="332" t="s">
        <v>246</v>
      </c>
      <c r="B70" s="388">
        <f>PGL_Requirements!P7/1000</f>
        <v>187.26</v>
      </c>
      <c r="C70" s="389" t="s">
        <v>11</v>
      </c>
      <c r="D70" s="313"/>
      <c r="E70" s="382"/>
      <c r="F70" s="395" t="s">
        <v>247</v>
      </c>
      <c r="G70" s="385" t="s">
        <v>11</v>
      </c>
      <c r="H70" s="424" t="s">
        <v>248</v>
      </c>
      <c r="I70" s="423"/>
    </row>
    <row r="71" spans="1:10" ht="17.100000000000001" customHeight="1">
      <c r="A71" s="332" t="s">
        <v>249</v>
      </c>
      <c r="B71" s="388">
        <f>PGL_Requirements!F7/1000</f>
        <v>0</v>
      </c>
      <c r="C71" s="381" t="s">
        <v>11</v>
      </c>
      <c r="D71" s="313"/>
      <c r="E71" s="382"/>
      <c r="F71" s="384" t="s">
        <v>250</v>
      </c>
      <c r="G71" s="385" t="s">
        <v>11</v>
      </c>
      <c r="H71" s="398"/>
      <c r="I71" s="382" t="s">
        <v>11</v>
      </c>
    </row>
    <row r="72" spans="1:10" ht="17.100000000000001" customHeight="1" thickBot="1">
      <c r="A72" s="399" t="s">
        <v>225</v>
      </c>
      <c r="B72" s="400">
        <f>+B65+B64+B66+B68-B67-B69-B70</f>
        <v>-27.869</v>
      </c>
      <c r="C72" s="400" t="s">
        <v>11</v>
      </c>
      <c r="D72" s="401"/>
      <c r="E72" s="402"/>
      <c r="F72" s="397"/>
      <c r="G72" s="492"/>
      <c r="H72" s="403"/>
      <c r="I72" s="404"/>
    </row>
    <row r="73" spans="1:10" ht="17.100000000000001" customHeight="1" thickBot="1">
      <c r="A73" s="358" t="s">
        <v>251</v>
      </c>
      <c r="B73" s="359"/>
      <c r="C73" s="360"/>
      <c r="D73" s="340"/>
      <c r="E73" s="340"/>
      <c r="F73" s="422" t="s">
        <v>252</v>
      </c>
      <c r="G73" s="405" t="str">
        <f>CHOOSE(WEEKDAY(H73),"SUN","MON","TUE","WED","THU","FRI","SAT")</f>
        <v>SAT</v>
      </c>
      <c r="H73" s="406">
        <f>Weather_Input!A5</f>
        <v>37009</v>
      </c>
      <c r="I73" s="407"/>
    </row>
    <row r="74" spans="1:10" ht="17.100000000000001" customHeight="1">
      <c r="A74" s="383" t="s">
        <v>253</v>
      </c>
      <c r="B74" s="313" t="s">
        <v>11</v>
      </c>
      <c r="C74" s="333"/>
      <c r="D74" s="408"/>
      <c r="E74" s="340"/>
      <c r="F74" s="340"/>
      <c r="G74" s="340"/>
      <c r="H74" s="340"/>
      <c r="I74" s="407"/>
    </row>
    <row r="75" spans="1:10" ht="17.100000000000001" customHeight="1">
      <c r="A75" s="361" t="s">
        <v>254</v>
      </c>
      <c r="B75" s="313"/>
      <c r="C75" s="333"/>
      <c r="D75" s="409"/>
      <c r="E75" s="384"/>
      <c r="F75" s="384"/>
      <c r="G75" s="384"/>
      <c r="H75" s="340"/>
      <c r="I75" s="407"/>
    </row>
    <row r="76" spans="1:10" ht="17.100000000000001" customHeight="1" thickBot="1">
      <c r="A76" s="410" t="s">
        <v>255</v>
      </c>
      <c r="B76" s="344"/>
      <c r="C76" s="345"/>
      <c r="D76" s="411" t="s">
        <v>256</v>
      </c>
      <c r="E76" s="412"/>
      <c r="F76" s="413" t="s">
        <v>257</v>
      </c>
      <c r="G76" s="414"/>
      <c r="H76" s="415" t="s">
        <v>258</v>
      </c>
      <c r="I76" s="416" t="s">
        <v>258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11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.75" thickBot="1">
      <c r="B89" s="8"/>
      <c r="C89" s="8"/>
      <c r="D89" s="8"/>
      <c r="E89" s="8"/>
      <c r="F89" s="8"/>
      <c r="G89" s="8"/>
    </row>
    <row r="90" spans="1:9" ht="16.5" thickTop="1">
      <c r="A90" s="587" t="s">
        <v>420</v>
      </c>
      <c r="B90" s="588"/>
      <c r="C90" s="588"/>
      <c r="D90" s="588"/>
      <c r="E90" s="589" t="s">
        <v>173</v>
      </c>
      <c r="F90" s="590">
        <f>Weather_Input!L5</f>
        <v>1</v>
      </c>
      <c r="G90" s="591" t="s">
        <v>11</v>
      </c>
      <c r="H90" s="592"/>
      <c r="I90" s="593"/>
    </row>
    <row r="91" spans="1:9" ht="15.75">
      <c r="A91" s="258"/>
      <c r="B91" s="609" t="s">
        <v>417</v>
      </c>
      <c r="C91" s="269" t="s">
        <v>11</v>
      </c>
      <c r="D91" s="601" t="s">
        <v>488</v>
      </c>
      <c r="E91" s="608"/>
      <c r="F91" s="606" t="s">
        <v>489</v>
      </c>
      <c r="G91" s="607"/>
      <c r="H91" s="605" t="s">
        <v>174</v>
      </c>
      <c r="I91" s="260"/>
    </row>
    <row r="92" spans="1:9" ht="15">
      <c r="A92" s="493" t="s">
        <v>418</v>
      </c>
      <c r="B92" s="600" t="s">
        <v>409</v>
      </c>
      <c r="C92" s="261" t="s">
        <v>176</v>
      </c>
      <c r="D92" s="600" t="s">
        <v>23</v>
      </c>
      <c r="E92" s="261" t="s">
        <v>176</v>
      </c>
      <c r="F92" s="603" t="s">
        <v>23</v>
      </c>
      <c r="G92" s="261" t="s">
        <v>176</v>
      </c>
      <c r="H92" s="600" t="s">
        <v>23</v>
      </c>
      <c r="I92" s="494" t="s">
        <v>176</v>
      </c>
    </row>
    <row r="93" spans="1:9" ht="15.75">
      <c r="A93" s="258" t="s">
        <v>11</v>
      </c>
      <c r="B93" s="268"/>
      <c r="C93" s="266"/>
      <c r="D93" s="602"/>
      <c r="E93" s="602"/>
      <c r="F93" s="604"/>
      <c r="G93" s="269"/>
      <c r="H93" s="269"/>
      <c r="I93" s="267"/>
    </row>
    <row r="94" spans="1:9" ht="16.5" thickBot="1">
      <c r="A94" s="258" t="s">
        <v>419</v>
      </c>
      <c r="B94" s="501" t="s">
        <v>11</v>
      </c>
      <c r="C94" s="500" t="s">
        <v>11</v>
      </c>
      <c r="D94" s="495" t="s">
        <v>11</v>
      </c>
      <c r="E94" s="502"/>
      <c r="F94" s="503"/>
      <c r="G94" s="271"/>
      <c r="H94" s="503"/>
      <c r="I94" s="260"/>
    </row>
    <row r="95" spans="1:9" ht="16.5" thickBot="1">
      <c r="A95" s="496"/>
      <c r="B95" s="497" t="s">
        <v>11</v>
      </c>
      <c r="C95" s="497" t="s">
        <v>11</v>
      </c>
      <c r="D95" s="498"/>
      <c r="E95" s="498"/>
      <c r="F95" s="498"/>
      <c r="G95" s="498"/>
      <c r="H95" s="498"/>
      <c r="I95" s="499"/>
    </row>
    <row r="96" spans="1:9" ht="15">
      <c r="A96" s="493" t="s">
        <v>182</v>
      </c>
      <c r="B96" s="293" t="s">
        <v>11</v>
      </c>
      <c r="C96" s="623" t="e">
        <f>I150</f>
        <v>#REF!</v>
      </c>
      <c r="D96" s="619"/>
      <c r="E96" s="269"/>
      <c r="F96" s="619"/>
      <c r="G96" s="269"/>
      <c r="H96" s="619"/>
      <c r="I96" s="267" t="s">
        <v>11</v>
      </c>
    </row>
    <row r="97" spans="1:9" ht="15">
      <c r="A97" s="493" t="s">
        <v>68</v>
      </c>
      <c r="B97" s="282" t="s">
        <v>11</v>
      </c>
      <c r="C97" s="623">
        <f>B133</f>
        <v>49.384</v>
      </c>
      <c r="D97" s="602"/>
      <c r="E97" s="614">
        <f>+C97</f>
        <v>49.384</v>
      </c>
      <c r="F97" s="602"/>
      <c r="G97" s="614">
        <f>+C97</f>
        <v>49.384</v>
      </c>
      <c r="H97" s="602"/>
      <c r="I97" s="285">
        <f>+C97</f>
        <v>49.384</v>
      </c>
    </row>
    <row r="98" spans="1:9" ht="15">
      <c r="A98" s="493" t="s">
        <v>60</v>
      </c>
      <c r="B98" s="282" t="s">
        <v>11</v>
      </c>
      <c r="C98" s="623">
        <f>B149</f>
        <v>0.627</v>
      </c>
      <c r="D98" s="602"/>
      <c r="E98" s="269"/>
      <c r="F98" s="602"/>
      <c r="G98" s="269"/>
      <c r="H98" s="602"/>
      <c r="I98" s="267"/>
    </row>
    <row r="99" spans="1:9" ht="15">
      <c r="A99" s="493" t="s">
        <v>69</v>
      </c>
      <c r="B99" s="282" t="s">
        <v>11</v>
      </c>
      <c r="C99" s="623">
        <f>B141</f>
        <v>-4394.62</v>
      </c>
      <c r="D99" s="620"/>
      <c r="E99" s="269"/>
      <c r="F99" s="602"/>
      <c r="G99" s="269"/>
      <c r="H99" s="602"/>
      <c r="I99" s="267"/>
    </row>
    <row r="100" spans="1:9" ht="15">
      <c r="A100" s="493" t="s">
        <v>421</v>
      </c>
      <c r="B100" s="286" t="s">
        <v>11</v>
      </c>
      <c r="C100" s="623">
        <f>I157+I158</f>
        <v>0</v>
      </c>
      <c r="D100" s="602"/>
      <c r="E100" s="269"/>
      <c r="F100" s="602"/>
      <c r="G100" s="269"/>
      <c r="H100" s="602"/>
      <c r="I100" s="267"/>
    </row>
    <row r="101" spans="1:9" ht="15">
      <c r="A101" s="493" t="s">
        <v>422</v>
      </c>
      <c r="B101" s="282" t="s">
        <v>11</v>
      </c>
      <c r="C101" s="623" t="e">
        <f>I146</f>
        <v>#REF!</v>
      </c>
      <c r="D101" s="602" t="s">
        <v>11</v>
      </c>
      <c r="E101" s="269"/>
      <c r="F101" s="602"/>
      <c r="G101" s="269"/>
      <c r="H101" s="602"/>
      <c r="I101" s="267"/>
    </row>
    <row r="102" spans="1:9" ht="15">
      <c r="A102" s="493" t="s">
        <v>37</v>
      </c>
      <c r="B102" s="282" t="s">
        <v>172</v>
      </c>
      <c r="C102" s="623">
        <f>B162</f>
        <v>159.39099999999999</v>
      </c>
      <c r="D102" s="602"/>
      <c r="E102" s="269"/>
      <c r="F102" s="602"/>
      <c r="G102" s="269"/>
      <c r="H102" s="602"/>
      <c r="I102" s="267"/>
    </row>
    <row r="103" spans="1:9" ht="15">
      <c r="A103" s="493" t="s">
        <v>99</v>
      </c>
      <c r="B103" s="282" t="s">
        <v>11</v>
      </c>
      <c r="C103" s="623">
        <f>PGL_Requirements!G7/1000</f>
        <v>0.61699999999999999</v>
      </c>
      <c r="D103" s="620"/>
      <c r="E103" s="269"/>
      <c r="F103" s="602"/>
      <c r="G103" s="269"/>
      <c r="H103" s="602"/>
      <c r="I103" s="267"/>
    </row>
    <row r="104" spans="1:9" ht="15.75" thickBot="1">
      <c r="A104" s="292" t="s">
        <v>110</v>
      </c>
      <c r="B104" s="615" t="s">
        <v>11</v>
      </c>
      <c r="C104" s="623">
        <f>PGL_Supplies!B7/1000</f>
        <v>0</v>
      </c>
      <c r="D104" s="601"/>
      <c r="E104" s="269"/>
      <c r="F104" s="602"/>
      <c r="G104" s="269"/>
      <c r="H104" s="602"/>
      <c r="I104" s="267"/>
    </row>
    <row r="105" spans="1:9" ht="16.5" thickBot="1">
      <c r="A105" s="616" t="s">
        <v>423</v>
      </c>
      <c r="B105" s="617" t="s">
        <v>11</v>
      </c>
      <c r="C105" s="511" t="s">
        <v>11</v>
      </c>
      <c r="D105" s="621" t="s">
        <v>11</v>
      </c>
      <c r="E105" s="618" t="s">
        <v>11</v>
      </c>
      <c r="F105" s="621" t="s">
        <v>11</v>
      </c>
      <c r="G105" s="618" t="s">
        <v>11</v>
      </c>
      <c r="H105" s="621" t="s">
        <v>11</v>
      </c>
      <c r="I105" s="622"/>
    </row>
    <row r="106" spans="1:9" ht="16.5" thickBot="1">
      <c r="A106" s="504" t="s">
        <v>38</v>
      </c>
      <c r="B106" s="505">
        <f>-PGL_Supplies!U7/1000</f>
        <v>0</v>
      </c>
      <c r="C106" s="506">
        <f>-NSG_Supplies!AF7/1000</f>
        <v>0</v>
      </c>
      <c r="D106" s="507"/>
      <c r="E106" s="508"/>
      <c r="F106" s="507"/>
      <c r="G106" s="508"/>
      <c r="H106" s="509"/>
      <c r="I106" s="510"/>
    </row>
    <row r="107" spans="1:9" ht="15">
      <c r="A107" s="493" t="s">
        <v>424</v>
      </c>
      <c r="B107" s="282" t="e">
        <f>B94+B105+B106</f>
        <v>#VALUE!</v>
      </c>
      <c r="C107" s="295" t="e">
        <f>C94+C105+C106</f>
        <v>#VALUE!</v>
      </c>
      <c r="D107" s="266"/>
      <c r="E107" s="268"/>
      <c r="F107" s="266"/>
      <c r="G107" s="268"/>
      <c r="H107" s="269"/>
      <c r="I107" s="260"/>
    </row>
    <row r="108" spans="1:9" ht="15">
      <c r="A108" s="493" t="s">
        <v>425</v>
      </c>
      <c r="B108" s="282">
        <v>0</v>
      </c>
      <c r="C108" s="268"/>
      <c r="D108" s="266"/>
      <c r="E108" s="268"/>
      <c r="F108" s="266"/>
      <c r="G108" s="268"/>
      <c r="H108" s="269"/>
      <c r="I108" s="296"/>
    </row>
    <row r="109" spans="1:9" ht="15">
      <c r="A109" s="493" t="s">
        <v>426</v>
      </c>
      <c r="B109" s="282">
        <f>+B129</f>
        <v>0</v>
      </c>
      <c r="C109" s="268"/>
      <c r="D109" s="266"/>
      <c r="E109" s="268"/>
      <c r="F109" s="297" t="s">
        <v>11</v>
      </c>
      <c r="G109" s="306"/>
      <c r="H109" s="298" t="s">
        <v>11</v>
      </c>
      <c r="I109" s="260"/>
    </row>
    <row r="110" spans="1:9" ht="15.75">
      <c r="A110" s="512" t="s">
        <v>427</v>
      </c>
      <c r="B110" s="300" t="e">
        <f>B107+B108+B109</f>
        <v>#VALUE!</v>
      </c>
      <c r="C110" s="301" t="e">
        <f>C107</f>
        <v>#VALUE!</v>
      </c>
      <c r="D110" s="266"/>
      <c r="E110" s="268"/>
      <c r="F110" s="302"/>
      <c r="G110" s="268"/>
      <c r="H110" s="303" t="s">
        <v>11</v>
      </c>
      <c r="I110" s="304" t="s">
        <v>11</v>
      </c>
    </row>
    <row r="111" spans="1:9" ht="16.5" thickBot="1">
      <c r="A111" s="513" t="s">
        <v>428</v>
      </c>
      <c r="B111" s="306">
        <f>-NSG_Requirements!$L$7/1000</f>
        <v>0</v>
      </c>
      <c r="C111" s="306">
        <f>NSG_Requirements!$L$7/1000</f>
        <v>0</v>
      </c>
      <c r="D111" s="307">
        <f>B111</f>
        <v>0</v>
      </c>
      <c r="E111" s="306">
        <f>C111</f>
        <v>0</v>
      </c>
      <c r="F111" s="307">
        <f>B111</f>
        <v>0</v>
      </c>
      <c r="G111" s="306">
        <f>C111</f>
        <v>0</v>
      </c>
      <c r="H111" s="452">
        <f>B111</f>
        <v>0</v>
      </c>
      <c r="I111" s="308">
        <f>C111</f>
        <v>0</v>
      </c>
    </row>
    <row r="112" spans="1:9" ht="15">
      <c r="A112" s="493" t="s">
        <v>429</v>
      </c>
      <c r="B112" s="306"/>
      <c r="C112" s="306"/>
      <c r="D112" s="307"/>
      <c r="E112" s="306"/>
      <c r="F112" s="307"/>
      <c r="G112" s="306"/>
      <c r="H112" s="514"/>
      <c r="I112" s="515"/>
    </row>
    <row r="113" spans="1:9" ht="15.75">
      <c r="A113" s="425" t="s">
        <v>430</v>
      </c>
      <c r="B113" s="310">
        <f>PGL_Requirements!V7/1000</f>
        <v>0</v>
      </c>
      <c r="C113" s="310">
        <f>NSG_Requirements!Q7/1000</f>
        <v>0</v>
      </c>
      <c r="D113" s="310">
        <f>B113</f>
        <v>0</v>
      </c>
      <c r="E113" s="310">
        <f>+C113</f>
        <v>0</v>
      </c>
      <c r="F113" s="310">
        <f>B113</f>
        <v>0</v>
      </c>
      <c r="G113" s="310">
        <f>+C113</f>
        <v>0</v>
      </c>
      <c r="H113" s="311">
        <f>B113</f>
        <v>0</v>
      </c>
      <c r="I113" s="312">
        <f>+C113</f>
        <v>0</v>
      </c>
    </row>
    <row r="114" spans="1:9" ht="15.75">
      <c r="A114" s="332" t="s">
        <v>431</v>
      </c>
      <c r="B114" s="310">
        <f>PGL_Requirements!AC7/1000</f>
        <v>0</v>
      </c>
      <c r="C114" s="310">
        <f>NSG_Requirements!AA7/1000</f>
        <v>0</v>
      </c>
      <c r="D114" s="310">
        <f>PGL_Requirements!AC7/1000</f>
        <v>0</v>
      </c>
      <c r="E114" s="310">
        <f>NSG_Requirements!AA7/1000</f>
        <v>0</v>
      </c>
      <c r="F114" s="310">
        <f>PGL_Requirements!AC7/1000</f>
        <v>0</v>
      </c>
      <c r="G114" s="310">
        <f>NSG_Requirements!AA7/1000</f>
        <v>0</v>
      </c>
      <c r="H114" s="311">
        <f>+B114</f>
        <v>0</v>
      </c>
      <c r="I114" s="312">
        <f>+C114</f>
        <v>0</v>
      </c>
    </row>
    <row r="115" spans="1:9" ht="15">
      <c r="A115" s="425" t="s">
        <v>432</v>
      </c>
      <c r="B115" s="315">
        <v>0</v>
      </c>
      <c r="C115" s="315">
        <v>0</v>
      </c>
      <c r="D115" s="315">
        <v>0</v>
      </c>
      <c r="E115" s="315">
        <v>0</v>
      </c>
      <c r="F115" s="315">
        <v>0</v>
      </c>
      <c r="G115" s="315">
        <f>C115</f>
        <v>0</v>
      </c>
      <c r="H115" s="320">
        <f>B115</f>
        <v>0</v>
      </c>
      <c r="I115" s="321">
        <f>C115</f>
        <v>0</v>
      </c>
    </row>
    <row r="116" spans="1:9" ht="15">
      <c r="A116" s="425" t="s">
        <v>433</v>
      </c>
      <c r="B116" s="419">
        <f>-PGL_Supplies!Z7/1000</f>
        <v>-40</v>
      </c>
      <c r="C116" s="419">
        <f>-NSG_Supplies!W7/1000</f>
        <v>0</v>
      </c>
      <c r="D116" s="315">
        <f>-PGL_Supplies!Z7/1000</f>
        <v>-40</v>
      </c>
      <c r="E116" s="315">
        <f>-NSG_Supplies!W7/1000</f>
        <v>0</v>
      </c>
      <c r="F116" s="315">
        <f>-PGL_Supplies!Z7/1000</f>
        <v>-40</v>
      </c>
      <c r="G116" s="315">
        <f>-NSG_Supplies!W7/1000</f>
        <v>0</v>
      </c>
      <c r="H116" s="320">
        <f>-PGL_Supplies!Z7/1000</f>
        <v>-40</v>
      </c>
      <c r="I116" s="321">
        <f>-NSG_Supplies!W7/1000</f>
        <v>0</v>
      </c>
    </row>
    <row r="117" spans="1:9" ht="15">
      <c r="A117" s="425" t="s">
        <v>434</v>
      </c>
      <c r="B117" s="315">
        <f>-PGL_Supplies!AA7/1000</f>
        <v>-4.62</v>
      </c>
      <c r="C117" s="315">
        <f>-NSG_Supplies!X7/1000</f>
        <v>0</v>
      </c>
      <c r="D117" s="315">
        <f>-PGL_Supplies!AA7/1000</f>
        <v>-4.62</v>
      </c>
      <c r="E117" s="315">
        <f>-NSG_Supplies!X7/1000</f>
        <v>0</v>
      </c>
      <c r="F117" s="315">
        <f>-PGL_Supplies!AA7/1000</f>
        <v>-4.62</v>
      </c>
      <c r="G117" s="315">
        <f>-NSG_Supplies!X7/1000</f>
        <v>0</v>
      </c>
      <c r="H117" s="320">
        <f>-PGL_Supplies!AA7/1000</f>
        <v>-4.62</v>
      </c>
      <c r="I117" s="321">
        <f>-NSG_Supplies!X7/1000</f>
        <v>0</v>
      </c>
    </row>
    <row r="118" spans="1:9" ht="15.75">
      <c r="A118" s="425" t="s">
        <v>436</v>
      </c>
      <c r="B118" s="420">
        <f>(PGL_Requirements!$Y$7+PGL_Requirements!$Z$7+PGL_Requirements!$AA$7)/1000+(NSG_Requirements!$V$7+NSG_Requirements!$W$7+NSG_Requirements!$X$7)/1000</f>
        <v>0</v>
      </c>
      <c r="C118" s="420">
        <f>-(PGL_Requirements!$Y$7+PGL_Requirements!$Z$7+PGL_Requirements!$AA$7)/1000+(NSG_Requirements!$V$7+NSG_Requirements!$W$7+NSG_Requirements!$X$7)/1000</f>
        <v>0</v>
      </c>
      <c r="D118" s="310">
        <f>+B118</f>
        <v>0</v>
      </c>
      <c r="E118" s="315">
        <f>+C118</f>
        <v>0</v>
      </c>
      <c r="F118" s="310">
        <f>+B118</f>
        <v>0</v>
      </c>
      <c r="G118" s="315">
        <f>+E118</f>
        <v>0</v>
      </c>
      <c r="H118" s="311">
        <f>+B118</f>
        <v>0</v>
      </c>
      <c r="I118" s="312">
        <f>+C118</f>
        <v>0</v>
      </c>
    </row>
    <row r="119" spans="1:9" ht="15">
      <c r="A119" s="425" t="s">
        <v>437</v>
      </c>
      <c r="B119" s="315">
        <f>-PGL_Supplies!AN7/1000</f>
        <v>0</v>
      </c>
      <c r="C119" s="315">
        <f>-NSG_Supplies!AD7/1000</f>
        <v>0</v>
      </c>
      <c r="D119" s="315">
        <f>B119</f>
        <v>0</v>
      </c>
      <c r="E119" s="315">
        <f>C119</f>
        <v>0</v>
      </c>
      <c r="F119" s="315">
        <f>B119</f>
        <v>0</v>
      </c>
      <c r="G119" s="315">
        <f>C119</f>
        <v>0</v>
      </c>
      <c r="H119" s="320">
        <f>B119</f>
        <v>0</v>
      </c>
      <c r="I119" s="321">
        <f>C119</f>
        <v>0</v>
      </c>
    </row>
    <row r="120" spans="1:9" ht="15">
      <c r="A120" s="425" t="s">
        <v>197</v>
      </c>
      <c r="B120" s="315">
        <f>-PGL_Supplies!AJ7/1000</f>
        <v>0</v>
      </c>
      <c r="C120" s="315">
        <f>-NSG_Supplies!AE7/1000</f>
        <v>0</v>
      </c>
      <c r="D120" s="315">
        <f>B120</f>
        <v>0</v>
      </c>
      <c r="E120" s="315">
        <f>C120</f>
        <v>0</v>
      </c>
      <c r="F120" s="315">
        <f>B120</f>
        <v>0</v>
      </c>
      <c r="G120" s="315">
        <f>C120</f>
        <v>0</v>
      </c>
      <c r="H120" s="320">
        <f>B120</f>
        <v>0</v>
      </c>
      <c r="I120" s="321">
        <f>C120</f>
        <v>0</v>
      </c>
    </row>
    <row r="121" spans="1:9" ht="15.75">
      <c r="A121" s="425" t="s">
        <v>435</v>
      </c>
      <c r="B121" s="310">
        <f>PGL_Requirements!AD7/1000</f>
        <v>0</v>
      </c>
      <c r="C121" s="310" t="s">
        <v>11</v>
      </c>
      <c r="D121" s="310">
        <f>+B121</f>
        <v>0</v>
      </c>
      <c r="E121" s="313"/>
      <c r="F121" s="310">
        <f>+D121</f>
        <v>0</v>
      </c>
      <c r="G121" s="313"/>
      <c r="H121" s="311">
        <f>+B121</f>
        <v>0</v>
      </c>
      <c r="I121" s="312" t="str">
        <f>+C121</f>
        <v xml:space="preserve"> </v>
      </c>
    </row>
    <row r="122" spans="1:9" ht="15.75">
      <c r="A122" s="425" t="s">
        <v>438</v>
      </c>
      <c r="B122" s="310">
        <f>PGL_Requirements!Y7/1000</f>
        <v>0</v>
      </c>
      <c r="C122" s="310">
        <f>NSG_Requirements!U7/1000</f>
        <v>0</v>
      </c>
      <c r="D122" s="313"/>
      <c r="E122" s="313"/>
      <c r="F122" s="313"/>
      <c r="G122" s="313"/>
      <c r="H122" s="317"/>
      <c r="I122" s="318"/>
    </row>
    <row r="123" spans="1:9" ht="15">
      <c r="A123" s="425" t="s">
        <v>439</v>
      </c>
      <c r="B123" s="315">
        <f>-PGL_Supplies!X7/1000</f>
        <v>0</v>
      </c>
      <c r="C123" s="315">
        <f>-NSG_Supplies!S7/1000</f>
        <v>-24.754999999999999</v>
      </c>
      <c r="D123" s="313"/>
      <c r="E123" s="313"/>
      <c r="F123" s="313"/>
      <c r="G123" s="313"/>
      <c r="H123" s="317"/>
      <c r="I123" s="318"/>
    </row>
    <row r="124" spans="1:9" ht="16.5" thickBot="1">
      <c r="A124" s="326" t="s">
        <v>11</v>
      </c>
      <c r="B124" s="487" t="s">
        <v>11</v>
      </c>
      <c r="C124" s="516" t="s">
        <v>68</v>
      </c>
      <c r="D124" s="486"/>
      <c r="E124" s="328"/>
      <c r="F124" s="329" t="s">
        <v>202</v>
      </c>
      <c r="G124" s="328"/>
      <c r="H124" s="330"/>
      <c r="I124" s="331"/>
    </row>
    <row r="125" spans="1:9" ht="15">
      <c r="A125" s="425" t="s">
        <v>440</v>
      </c>
      <c r="B125" s="315">
        <f>PGL_Requirements!U7/1000</f>
        <v>40</v>
      </c>
      <c r="F125" s="542" t="s">
        <v>11</v>
      </c>
      <c r="G125" s="543"/>
      <c r="H125" s="610"/>
      <c r="I125" s="336"/>
    </row>
    <row r="126" spans="1:9" ht="15">
      <c r="A126" s="425" t="s">
        <v>397</v>
      </c>
      <c r="B126" s="324">
        <f>PGL_Supplies!R7/1000</f>
        <v>0</v>
      </c>
      <c r="C126" s="315" t="s">
        <v>11</v>
      </c>
      <c r="D126" s="313"/>
      <c r="E126" s="333"/>
      <c r="F126" s="425" t="s">
        <v>460</v>
      </c>
      <c r="G126" s="544"/>
      <c r="H126" s="549"/>
      <c r="I126" s="336"/>
    </row>
    <row r="127" spans="1:9" ht="15">
      <c r="A127" s="425" t="s">
        <v>490</v>
      </c>
      <c r="B127" s="315">
        <f>PGL_Requirements!O7/1000</f>
        <v>49.384</v>
      </c>
      <c r="C127" s="315" t="s">
        <v>11</v>
      </c>
      <c r="D127" s="313"/>
      <c r="E127" s="333"/>
      <c r="F127" s="425" t="s">
        <v>461</v>
      </c>
      <c r="G127" s="544"/>
      <c r="H127" s="317"/>
      <c r="I127" s="336"/>
    </row>
    <row r="128" spans="1:9" ht="15">
      <c r="A128" s="425" t="s">
        <v>430</v>
      </c>
      <c r="B128" s="315">
        <f>PGL_Requirements!I7/1000</f>
        <v>0</v>
      </c>
      <c r="C128" s="315" t="s">
        <v>11</v>
      </c>
      <c r="D128" s="313"/>
      <c r="E128" s="333"/>
      <c r="F128" s="425" t="s">
        <v>462</v>
      </c>
      <c r="G128" s="544"/>
      <c r="H128" s="317"/>
      <c r="I128" s="336"/>
    </row>
    <row r="129" spans="1:9" ht="15">
      <c r="A129" s="425" t="s">
        <v>441</v>
      </c>
      <c r="B129" s="315">
        <f>PGL_Requirements!C7/1000</f>
        <v>0</v>
      </c>
      <c r="C129" s="313"/>
      <c r="D129" s="313"/>
      <c r="E129" s="333"/>
      <c r="F129" s="425" t="s">
        <v>463</v>
      </c>
      <c r="G129" s="544"/>
      <c r="H129" s="317"/>
      <c r="I129" s="336"/>
    </row>
    <row r="130" spans="1:9" ht="15">
      <c r="A130" s="425" t="s">
        <v>442</v>
      </c>
      <c r="B130" s="315">
        <f>PGL_Requirements!AA7/1000</f>
        <v>0</v>
      </c>
      <c r="C130" s="594"/>
      <c r="D130" s="313"/>
      <c r="E130" s="333"/>
      <c r="F130" s="425" t="s">
        <v>464</v>
      </c>
      <c r="G130" s="544"/>
      <c r="H130" s="317"/>
      <c r="I130" s="336"/>
    </row>
    <row r="131" spans="1:9" ht="15">
      <c r="A131" s="417" t="s">
        <v>109</v>
      </c>
      <c r="B131" s="324">
        <f>PGL_Supplies!Z7/1000</f>
        <v>40</v>
      </c>
      <c r="C131" s="313"/>
      <c r="D131" s="313"/>
      <c r="E131" s="333"/>
      <c r="F131" s="370" t="s">
        <v>465</v>
      </c>
      <c r="G131" s="544"/>
      <c r="H131" s="317"/>
      <c r="I131" s="336"/>
    </row>
    <row r="132" spans="1:9" ht="15.75" thickBot="1">
      <c r="A132" s="425" t="s">
        <v>393</v>
      </c>
      <c r="B132" s="324">
        <f>PGL_Supplies!U7/1000</f>
        <v>0</v>
      </c>
      <c r="C132" s="349"/>
      <c r="D132" s="349"/>
      <c r="E132" s="554"/>
      <c r="F132" s="425" t="s">
        <v>466</v>
      </c>
      <c r="G132" s="544"/>
      <c r="H132" s="317"/>
      <c r="I132" s="336"/>
    </row>
    <row r="133" spans="1:9" ht="16.5" thickBot="1">
      <c r="A133" s="559" t="s">
        <v>443</v>
      </c>
      <c r="B133" s="566">
        <f>B126+B127+B130+B131+B132-B125-B128-B129</f>
        <v>49.384</v>
      </c>
      <c r="C133" s="531"/>
      <c r="D133" s="531"/>
      <c r="E133" s="521"/>
      <c r="F133" s="425" t="s">
        <v>467</v>
      </c>
      <c r="G133" s="544"/>
      <c r="H133" s="317"/>
      <c r="I133" s="336"/>
    </row>
    <row r="134" spans="1:9" ht="15.75" thickBot="1">
      <c r="A134" s="555" t="s">
        <v>11</v>
      </c>
      <c r="B134" s="556" t="s">
        <v>11</v>
      </c>
      <c r="C134" s="557" t="s">
        <v>69</v>
      </c>
      <c r="D134" s="558"/>
      <c r="E134" s="558" t="s">
        <v>11</v>
      </c>
      <c r="F134" s="546" t="s">
        <v>468</v>
      </c>
      <c r="G134" s="545"/>
      <c r="H134" s="317"/>
      <c r="I134" s="336"/>
    </row>
    <row r="135" spans="1:9" ht="15">
      <c r="A135" s="425" t="s">
        <v>430</v>
      </c>
      <c r="B135" s="135">
        <f>PGL_Requirements!J7</f>
        <v>0</v>
      </c>
      <c r="C135" s="8"/>
      <c r="D135" s="8"/>
      <c r="E135" s="8"/>
      <c r="F135" s="547" t="s">
        <v>469</v>
      </c>
      <c r="G135" s="545"/>
      <c r="H135" s="350"/>
      <c r="I135" s="336"/>
    </row>
    <row r="136" spans="1:9" ht="15">
      <c r="A136" s="425" t="s">
        <v>444</v>
      </c>
      <c r="B136" s="324">
        <f>NSG_Supplies!O7/1011</f>
        <v>0</v>
      </c>
      <c r="C136" s="313"/>
      <c r="D136" s="313"/>
      <c r="E136" s="313"/>
      <c r="F136" s="425" t="s">
        <v>470</v>
      </c>
      <c r="G136" s="544"/>
      <c r="H136" s="352"/>
      <c r="I136" s="336"/>
    </row>
    <row r="137" spans="1:9" ht="15">
      <c r="A137" s="425" t="s">
        <v>445</v>
      </c>
      <c r="B137" s="324">
        <f>PGL_Supplies!AA7/1000</f>
        <v>4.62</v>
      </c>
      <c r="C137" s="594"/>
      <c r="D137" s="313"/>
      <c r="E137" s="313"/>
      <c r="F137" s="425" t="s">
        <v>471</v>
      </c>
      <c r="G137" s="544"/>
      <c r="H137" s="317"/>
      <c r="I137" s="336"/>
    </row>
    <row r="138" spans="1:9" ht="15">
      <c r="A138" s="425" t="s">
        <v>446</v>
      </c>
      <c r="B138" s="135">
        <f>PGL_Requirements!D7</f>
        <v>4620</v>
      </c>
      <c r="C138" s="313"/>
      <c r="D138" s="313"/>
      <c r="E138" s="313"/>
      <c r="F138" s="425" t="s">
        <v>403</v>
      </c>
      <c r="G138" s="544"/>
      <c r="H138" s="352"/>
      <c r="I138" s="336"/>
    </row>
    <row r="139" spans="1:9" ht="15">
      <c r="A139" s="425" t="s">
        <v>447</v>
      </c>
      <c r="B139" s="324">
        <f>PGL_Supplies!D7/1000</f>
        <v>0</v>
      </c>
      <c r="C139" s="313"/>
      <c r="D139" s="313"/>
      <c r="E139" s="313"/>
      <c r="F139" s="370" t="s">
        <v>472</v>
      </c>
      <c r="G139" s="548"/>
      <c r="H139" s="539"/>
      <c r="I139" s="336"/>
    </row>
    <row r="140" spans="1:9" ht="15.75" thickBot="1">
      <c r="A140" s="425" t="s">
        <v>393</v>
      </c>
      <c r="B140" s="324">
        <f>PGL_Supplies!V7/1000</f>
        <v>220.76</v>
      </c>
      <c r="C140" s="349"/>
      <c r="D140" s="349"/>
      <c r="E140" s="349"/>
      <c r="F140" s="370" t="s">
        <v>473</v>
      </c>
      <c r="G140" s="548"/>
      <c r="H140" s="550"/>
      <c r="I140" s="336"/>
    </row>
    <row r="141" spans="1:9" ht="16.5" thickBot="1">
      <c r="A141" s="559" t="s">
        <v>443</v>
      </c>
      <c r="B141" s="561">
        <f>-B135+B136+B137-B138+B139+B140</f>
        <v>-4394.62</v>
      </c>
      <c r="C141" s="562"/>
      <c r="D141" s="531"/>
      <c r="E141" s="532"/>
      <c r="F141" s="551" t="s">
        <v>224</v>
      </c>
      <c r="G141" s="552"/>
      <c r="H141" s="553"/>
      <c r="I141" s="336"/>
    </row>
    <row r="142" spans="1:9" ht="16.5" thickBot="1">
      <c r="A142" s="555" t="s">
        <v>11</v>
      </c>
      <c r="B142" s="560" t="s">
        <v>11</v>
      </c>
      <c r="C142" s="557" t="s">
        <v>60</v>
      </c>
      <c r="D142" s="558"/>
      <c r="E142" s="558"/>
      <c r="F142" s="528" t="s">
        <v>11</v>
      </c>
      <c r="G142" s="529" t="s">
        <v>474</v>
      </c>
      <c r="H142" s="529" t="s">
        <v>11</v>
      </c>
      <c r="I142" s="360"/>
    </row>
    <row r="143" spans="1:9" ht="15">
      <c r="A143" s="425" t="s">
        <v>72</v>
      </c>
      <c r="B143" s="324">
        <f>PGL_Requirements!P7/1000</f>
        <v>187.26</v>
      </c>
      <c r="C143" s="313"/>
      <c r="D143" s="313"/>
      <c r="E143" s="313"/>
      <c r="F143" s="568" t="s">
        <v>426</v>
      </c>
      <c r="G143" s="541"/>
      <c r="H143" s="563" t="s">
        <v>11</v>
      </c>
      <c r="I143" s="366">
        <f>NSG_Supplies!AC7/1000</f>
        <v>0</v>
      </c>
    </row>
    <row r="144" spans="1:9" ht="15">
      <c r="A144" s="425" t="s">
        <v>448</v>
      </c>
      <c r="B144" s="324">
        <f>PGL_Supplies!M7/1000</f>
        <v>0</v>
      </c>
      <c r="C144" s="313"/>
      <c r="D144" s="313"/>
      <c r="E144" s="313"/>
      <c r="F144" s="361" t="s">
        <v>475</v>
      </c>
      <c r="G144" s="313"/>
      <c r="H144" s="388" t="s">
        <v>11</v>
      </c>
      <c r="I144" s="366">
        <f>NSG_Supplies!O7/1000</f>
        <v>0</v>
      </c>
    </row>
    <row r="145" spans="1:9" ht="15.75" thickBot="1">
      <c r="A145" s="425" t="s">
        <v>449</v>
      </c>
      <c r="B145" s="324">
        <f>PGL_Requirements!B7/1000</f>
        <v>0</v>
      </c>
      <c r="C145" s="313"/>
      <c r="D145" s="313"/>
      <c r="E145" s="313"/>
      <c r="F145" s="537" t="s">
        <v>476</v>
      </c>
      <c r="G145" s="355"/>
      <c r="H145" s="526" t="s">
        <v>11</v>
      </c>
      <c r="I145" s="407"/>
    </row>
    <row r="146" spans="1:9" ht="15.75" thickBot="1">
      <c r="A146" s="425" t="s">
        <v>450</v>
      </c>
      <c r="B146" s="324">
        <f>PGL_Supplies!H7/1000</f>
        <v>0.627</v>
      </c>
      <c r="C146" s="313"/>
      <c r="D146" s="313"/>
      <c r="E146" s="313"/>
      <c r="F146" s="565" t="s">
        <v>452</v>
      </c>
      <c r="G146" s="531"/>
      <c r="H146" s="566" t="s">
        <v>11</v>
      </c>
      <c r="I146" s="567" t="e">
        <f>PGL_Requirements!#REF!/1000</f>
        <v>#REF!</v>
      </c>
    </row>
    <row r="147" spans="1:9" ht="16.5" thickBot="1">
      <c r="A147" s="370" t="s">
        <v>427</v>
      </c>
      <c r="B147" s="324" t="s">
        <v>11</v>
      </c>
      <c r="C147" s="313"/>
      <c r="D147" s="313"/>
      <c r="E147" s="313"/>
      <c r="F147" s="358" t="s">
        <v>477</v>
      </c>
      <c r="G147" s="359"/>
      <c r="H147" s="359"/>
      <c r="I147" s="360"/>
    </row>
    <row r="148" spans="1:9" ht="15.75" thickBot="1">
      <c r="A148" s="425" t="s">
        <v>451</v>
      </c>
      <c r="B148" s="324">
        <f>PGL_Requirements!Q7/1000</f>
        <v>2.8089</v>
      </c>
      <c r="C148" s="349"/>
      <c r="D148" s="349"/>
      <c r="E148" s="349"/>
      <c r="F148" s="542" t="s">
        <v>478</v>
      </c>
      <c r="G148" s="543"/>
      <c r="H148" s="569" t="s">
        <v>11</v>
      </c>
      <c r="I148" s="570">
        <f>+NSG_Supplies!Z7/1000</f>
        <v>0</v>
      </c>
    </row>
    <row r="149" spans="1:9" ht="16.5" thickBot="1">
      <c r="A149" s="518" t="s">
        <v>452</v>
      </c>
      <c r="B149" s="519">
        <f>B144+B146</f>
        <v>0.627</v>
      </c>
      <c r="C149" s="520"/>
      <c r="D149" s="520"/>
      <c r="E149" s="521"/>
      <c r="F149" s="425" t="s">
        <v>11</v>
      </c>
      <c r="G149" s="544"/>
      <c r="H149" s="571" t="s">
        <v>11</v>
      </c>
      <c r="I149" s="572">
        <f>NSG_Supplies!AA7/1000</f>
        <v>0</v>
      </c>
    </row>
    <row r="150" spans="1:9" ht="15.75" thickBot="1">
      <c r="A150" s="425" t="s">
        <v>218</v>
      </c>
      <c r="B150" s="522">
        <f>PGL_Deliveries!AE5</f>
        <v>0</v>
      </c>
      <c r="C150" s="523"/>
      <c r="D150" s="523"/>
      <c r="E150" s="524"/>
      <c r="F150" s="565" t="s">
        <v>452</v>
      </c>
      <c r="G150" s="531"/>
      <c r="H150" s="566" t="s">
        <v>11</v>
      </c>
      <c r="I150" s="567" t="e">
        <f>PGL_Requirements!#REF!/1000</f>
        <v>#REF!</v>
      </c>
    </row>
    <row r="151" spans="1:9" ht="16.5" thickBot="1">
      <c r="A151" s="425" t="s">
        <v>216</v>
      </c>
      <c r="B151" s="522">
        <f>PGL_Deliveries!AG5</f>
        <v>0</v>
      </c>
      <c r="C151" s="377"/>
      <c r="D151" s="377"/>
      <c r="E151" s="377"/>
      <c r="F151" s="358" t="s">
        <v>421</v>
      </c>
      <c r="G151" s="359"/>
      <c r="H151" s="359"/>
      <c r="I151" s="360"/>
    </row>
    <row r="152" spans="1:9" ht="15.75" thickBot="1">
      <c r="A152" s="346" t="s">
        <v>11</v>
      </c>
      <c r="B152" s="327"/>
      <c r="C152" s="517" t="s">
        <v>37</v>
      </c>
      <c r="D152" s="347"/>
      <c r="E152" s="483" t="s">
        <v>11</v>
      </c>
      <c r="F152" s="542" t="s">
        <v>479</v>
      </c>
      <c r="G152" s="543"/>
      <c r="H152" s="574"/>
      <c r="I152" s="388">
        <f>PGL_Requirements!T7/1000</f>
        <v>0</v>
      </c>
    </row>
    <row r="153" spans="1:9" ht="15">
      <c r="A153" s="425" t="s">
        <v>453</v>
      </c>
      <c r="B153" s="388">
        <f>PGL_Requirements!N7/1000</f>
        <v>0</v>
      </c>
      <c r="C153" s="313"/>
      <c r="D153" s="313"/>
      <c r="E153" s="380"/>
      <c r="F153" s="538" t="s">
        <v>480</v>
      </c>
      <c r="G153" s="545"/>
      <c r="H153" s="540"/>
      <c r="I153" s="388">
        <f>PGL_Requirements!T7/1000</f>
        <v>0</v>
      </c>
    </row>
    <row r="154" spans="1:9" ht="15">
      <c r="A154" s="425" t="s">
        <v>454</v>
      </c>
      <c r="B154" s="324">
        <f>PGL_Supplies!AE7/1000</f>
        <v>0</v>
      </c>
      <c r="C154" s="381" t="s">
        <v>11</v>
      </c>
      <c r="D154" s="313"/>
      <c r="E154" s="382"/>
      <c r="F154" s="537" t="s">
        <v>481</v>
      </c>
      <c r="G154" s="544"/>
      <c r="H154" s="540"/>
      <c r="I154" s="324">
        <f>PGL_Supplies!AL7/1000</f>
        <v>0</v>
      </c>
    </row>
    <row r="155" spans="1:9" ht="15">
      <c r="A155" s="425" t="s">
        <v>455</v>
      </c>
      <c r="B155" s="388">
        <f>PGL_Requirements!F7/1000</f>
        <v>0</v>
      </c>
      <c r="C155" s="381" t="s">
        <v>11</v>
      </c>
      <c r="D155" s="313"/>
      <c r="E155" s="382"/>
      <c r="F155" s="425" t="s">
        <v>109</v>
      </c>
      <c r="G155" s="573"/>
      <c r="H155" s="540"/>
      <c r="I155" s="324">
        <f>PGL_Supplies!AL8/1000</f>
        <v>0</v>
      </c>
    </row>
    <row r="156" spans="1:9" ht="15.75" thickBot="1">
      <c r="A156" s="425" t="s">
        <v>456</v>
      </c>
      <c r="B156" s="324">
        <f>PGL_Supplies!G7/1000</f>
        <v>0</v>
      </c>
      <c r="C156" s="389" t="s">
        <v>11</v>
      </c>
      <c r="D156" s="313"/>
      <c r="E156" s="382"/>
      <c r="F156" s="370" t="s">
        <v>393</v>
      </c>
      <c r="G156" s="573"/>
      <c r="H156" s="550"/>
      <c r="I156" s="324">
        <f>PGL_Supplies!AL9/1000</f>
        <v>0</v>
      </c>
    </row>
    <row r="157" spans="1:9" ht="15.75">
      <c r="A157" s="425" t="s">
        <v>457</v>
      </c>
      <c r="B157" s="388">
        <f>PGL_Requirements!T7/1000</f>
        <v>0</v>
      </c>
      <c r="C157" s="381" t="s">
        <v>11</v>
      </c>
      <c r="D157" s="313"/>
      <c r="E157" s="382"/>
      <c r="F157" s="575" t="s">
        <v>482</v>
      </c>
      <c r="G157" s="576"/>
      <c r="H157" s="574"/>
      <c r="I157" s="577">
        <v>0</v>
      </c>
    </row>
    <row r="158" spans="1:9" ht="15.75" thickBot="1">
      <c r="A158" s="425" t="s">
        <v>458</v>
      </c>
      <c r="B158" s="324">
        <f>PGL_Supplies!P7/1000</f>
        <v>0</v>
      </c>
      <c r="C158" s="389" t="s">
        <v>11</v>
      </c>
      <c r="D158" s="313"/>
      <c r="E158" s="491"/>
      <c r="F158" s="578" t="s">
        <v>483</v>
      </c>
      <c r="G158" s="392"/>
      <c r="H158" s="579"/>
      <c r="I158" s="580">
        <v>0</v>
      </c>
    </row>
    <row r="159" spans="1:9" ht="16.5" thickBot="1">
      <c r="A159" s="425" t="s">
        <v>109</v>
      </c>
      <c r="B159" s="324">
        <f>PGL_Supplies!AD7/1000</f>
        <v>0</v>
      </c>
      <c r="C159" s="389" t="s">
        <v>11</v>
      </c>
      <c r="D159" s="313"/>
      <c r="E159" s="382"/>
      <c r="F159" s="528" t="s">
        <v>251</v>
      </c>
      <c r="G159" s="529"/>
      <c r="H159" s="530"/>
      <c r="I159" s="360"/>
    </row>
    <row r="160" spans="1:9" ht="15.75" thickBot="1">
      <c r="A160" s="425" t="s">
        <v>393</v>
      </c>
      <c r="B160" s="611">
        <f>PGL_Supplies!Y7/1000</f>
        <v>159.39099999999999</v>
      </c>
      <c r="C160" s="527" t="s">
        <v>11</v>
      </c>
      <c r="D160" s="349"/>
      <c r="E160" s="525"/>
      <c r="F160" s="581" t="s">
        <v>484</v>
      </c>
      <c r="G160" s="541" t="s">
        <v>11</v>
      </c>
      <c r="H160" s="523"/>
      <c r="I160" s="586"/>
    </row>
    <row r="161" spans="1:9" ht="16.5" thickBot="1">
      <c r="A161" s="595" t="s">
        <v>459</v>
      </c>
      <c r="B161" s="613"/>
      <c r="C161" s="533" t="s">
        <v>11</v>
      </c>
      <c r="D161" s="534"/>
      <c r="E161" s="535"/>
      <c r="F161" s="564" t="s">
        <v>485</v>
      </c>
      <c r="G161" s="349"/>
      <c r="H161" s="584"/>
      <c r="I161" s="585" t="s">
        <v>11</v>
      </c>
    </row>
    <row r="162" spans="1:9" ht="16.5" thickBot="1">
      <c r="A162" s="399" t="s">
        <v>452</v>
      </c>
      <c r="B162" s="612">
        <f>B154+B156+B158+B159+B160-B153-B155-B157-B161</f>
        <v>159.39099999999999</v>
      </c>
      <c r="C162" s="400"/>
      <c r="D162" s="401"/>
      <c r="E162" s="536"/>
      <c r="F162" s="582" t="s">
        <v>255</v>
      </c>
      <c r="G162" s="531"/>
      <c r="H162" s="520"/>
      <c r="I162" s="583"/>
    </row>
    <row r="163" spans="1:9" ht="12.75" thickBot="1">
      <c r="A163" s="596"/>
      <c r="B163" s="597" t="s">
        <v>486</v>
      </c>
      <c r="C163" s="597"/>
      <c r="D163" s="597" t="s">
        <v>487</v>
      </c>
      <c r="E163" s="597"/>
      <c r="F163" s="597"/>
      <c r="G163" s="597"/>
      <c r="H163" s="598" t="s">
        <v>258</v>
      </c>
      <c r="I163" s="599"/>
    </row>
    <row r="164" spans="1:9" ht="12.75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3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32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2" spans="1:10" ht="30">
      <c r="A2" s="196" t="s">
        <v>259</v>
      </c>
      <c r="B2" s="196" t="s">
        <v>259</v>
      </c>
      <c r="C2" s="196" t="s">
        <v>259</v>
      </c>
      <c r="D2" s="196" t="s">
        <v>259</v>
      </c>
      <c r="E2" s="196" t="s">
        <v>259</v>
      </c>
      <c r="F2" s="196" t="s">
        <v>259</v>
      </c>
      <c r="G2" s="196" t="s">
        <v>259</v>
      </c>
      <c r="H2" s="196" t="s">
        <v>259</v>
      </c>
      <c r="I2" s="196" t="s">
        <v>259</v>
      </c>
      <c r="J2" s="6"/>
    </row>
    <row r="14" spans="1:10" ht="30">
      <c r="A14" s="196" t="s">
        <v>266</v>
      </c>
      <c r="B14" s="196" t="s">
        <v>266</v>
      </c>
      <c r="C14" s="196" t="s">
        <v>266</v>
      </c>
      <c r="D14" s="196" t="s">
        <v>266</v>
      </c>
      <c r="E14" s="196" t="s">
        <v>266</v>
      </c>
      <c r="F14" s="196" t="s">
        <v>266</v>
      </c>
      <c r="G14" s="196" t="s">
        <v>266</v>
      </c>
      <c r="H14" s="196" t="s">
        <v>266</v>
      </c>
      <c r="I14" s="196" t="s">
        <v>266</v>
      </c>
      <c r="J14" s="6"/>
    </row>
    <row r="32" spans="1:9">
      <c r="A32" t="s">
        <v>11</v>
      </c>
      <c r="B32" t="s">
        <v>11</v>
      </c>
      <c r="C32" t="s">
        <v>11</v>
      </c>
      <c r="D32" t="s">
        <v>11</v>
      </c>
      <c r="E32" t="s">
        <v>11</v>
      </c>
      <c r="F32" t="s">
        <v>11</v>
      </c>
      <c r="G32" t="s">
        <v>11</v>
      </c>
      <c r="H32" t="s">
        <v>11</v>
      </c>
      <c r="I32" t="s">
        <v>11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1" spans="1:10">
      <c r="A1" t="s">
        <v>11</v>
      </c>
    </row>
    <row r="2" spans="1:10" ht="30">
      <c r="A2" s="196" t="s">
        <v>259</v>
      </c>
      <c r="B2" s="6"/>
      <c r="C2" s="6"/>
      <c r="D2" s="6"/>
      <c r="E2" s="6"/>
      <c r="F2" s="6"/>
      <c r="G2" s="6"/>
      <c r="H2" s="6"/>
      <c r="I2" s="6"/>
      <c r="J2" s="6"/>
    </row>
    <row r="5" spans="1:10" ht="15.75">
      <c r="C5" s="197" t="s">
        <v>260</v>
      </c>
      <c r="D5" s="125" t="s">
        <v>382</v>
      </c>
      <c r="F5" s="197" t="s">
        <v>261</v>
      </c>
      <c r="G5" s="125" t="s">
        <v>383</v>
      </c>
    </row>
    <row r="6" spans="1:10">
      <c r="D6" s="164" t="s">
        <v>262</v>
      </c>
      <c r="G6" s="164" t="s">
        <v>263</v>
      </c>
    </row>
    <row r="7" spans="1:10">
      <c r="D7" s="164" t="s">
        <v>263</v>
      </c>
    </row>
    <row r="8" spans="1:10">
      <c r="G8" s="125" t="s">
        <v>384</v>
      </c>
    </row>
    <row r="9" spans="1:10">
      <c r="D9" s="125" t="s">
        <v>386</v>
      </c>
      <c r="G9" s="125" t="s">
        <v>385</v>
      </c>
    </row>
    <row r="10" spans="1:10">
      <c r="D10" s="125" t="s">
        <v>387</v>
      </c>
    </row>
    <row r="11" spans="1:10" ht="15.75">
      <c r="D11" s="197" t="s">
        <v>264</v>
      </c>
    </row>
    <row r="12" spans="1:10" ht="15.75">
      <c r="D12" s="197" t="s">
        <v>265</v>
      </c>
    </row>
    <row r="14" spans="1:10" ht="30">
      <c r="A14" s="196" t="s">
        <v>266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267</v>
      </c>
      <c r="C16" s="6"/>
      <c r="D16" s="6"/>
      <c r="E16" s="6"/>
      <c r="F16" s="6"/>
      <c r="G16" s="6"/>
      <c r="H16" s="6"/>
      <c r="I16" s="6"/>
    </row>
    <row r="17" spans="2:9" ht="15.75">
      <c r="B17" s="6" t="s">
        <v>268</v>
      </c>
      <c r="C17" s="195"/>
      <c r="D17" s="6"/>
      <c r="E17" s="6"/>
      <c r="F17" s="6"/>
      <c r="G17" s="6"/>
      <c r="H17" s="6"/>
      <c r="I17" s="6"/>
    </row>
    <row r="18" spans="2:9" ht="15.75">
      <c r="B18" s="195" t="s">
        <v>269</v>
      </c>
      <c r="C18" s="195"/>
      <c r="D18" s="6"/>
      <c r="E18" s="6"/>
      <c r="F18" s="6"/>
      <c r="G18" s="6"/>
      <c r="H18" s="6"/>
      <c r="I18" s="6"/>
    </row>
    <row r="19" spans="2:9" ht="15.75" thickBot="1"/>
    <row r="20" spans="2:9" ht="21" thickBot="1">
      <c r="B20" s="194" t="s">
        <v>391</v>
      </c>
      <c r="C20" s="193"/>
      <c r="D20" s="193"/>
      <c r="E20" s="193"/>
      <c r="F20" s="193"/>
      <c r="G20" s="193"/>
      <c r="H20" s="193"/>
      <c r="I20" s="192"/>
    </row>
    <row r="22" spans="2:9">
      <c r="B22" s="164" t="s">
        <v>270</v>
      </c>
      <c r="D22" s="166">
        <f ca="1">NOW()</f>
        <v>37010.45763553241</v>
      </c>
      <c r="F22" s="164" t="s">
        <v>271</v>
      </c>
      <c r="G22" s="191">
        <f ca="1">NOW()</f>
        <v>37010.45763553241</v>
      </c>
    </row>
    <row r="24" spans="2:9">
      <c r="B24" s="164" t="s">
        <v>272</v>
      </c>
      <c r="D24" s="229" t="s">
        <v>407</v>
      </c>
      <c r="E24" t="s">
        <v>11</v>
      </c>
      <c r="F24" s="164" t="s">
        <v>273</v>
      </c>
      <c r="G24" s="165" t="s">
        <v>274</v>
      </c>
    </row>
    <row r="25" spans="2:9" ht="15.75" thickBot="1"/>
    <row r="26" spans="2:9" ht="15.75" thickBot="1">
      <c r="B26" s="209" t="s">
        <v>11</v>
      </c>
      <c r="C26" s="164" t="s">
        <v>275</v>
      </c>
    </row>
    <row r="27" spans="2:9" ht="15.75" thickBot="1">
      <c r="B27" s="209" t="s">
        <v>11</v>
      </c>
      <c r="C27" s="164" t="s">
        <v>276</v>
      </c>
    </row>
    <row r="28" spans="2:9" ht="15.75" thickBot="1">
      <c r="B28" s="209" t="s">
        <v>408</v>
      </c>
      <c r="C28" s="125" t="s">
        <v>388</v>
      </c>
    </row>
    <row r="29" spans="2:9">
      <c r="B29" t="s">
        <v>11</v>
      </c>
      <c r="C29" s="164" t="s">
        <v>389</v>
      </c>
    </row>
    <row r="30" spans="2:9">
      <c r="C30" s="164" t="s">
        <v>11</v>
      </c>
    </row>
    <row r="32" spans="2:9">
      <c r="B32" s="164" t="s">
        <v>277</v>
      </c>
      <c r="E32" s="449">
        <v>35915</v>
      </c>
    </row>
    <row r="34" spans="2:8" ht="15.75">
      <c r="B34" s="164" t="s">
        <v>278</v>
      </c>
      <c r="E34" s="190">
        <v>0</v>
      </c>
      <c r="F34" t="s">
        <v>279</v>
      </c>
    </row>
    <row r="36" spans="2:8" ht="15.75">
      <c r="B36" s="164" t="s">
        <v>280</v>
      </c>
      <c r="E36" s="190">
        <v>0</v>
      </c>
      <c r="F36" t="s">
        <v>279</v>
      </c>
    </row>
    <row r="38" spans="2:8" ht="15.75">
      <c r="B38" t="s">
        <v>281</v>
      </c>
      <c r="E38" s="166">
        <f>+E32+1</f>
        <v>35916</v>
      </c>
      <c r="F38" s="190">
        <v>0</v>
      </c>
      <c r="G38" t="s">
        <v>279</v>
      </c>
    </row>
    <row r="39" spans="2:8" ht="15.75">
      <c r="E39" s="166">
        <f>+E38+1</f>
        <v>35917</v>
      </c>
      <c r="F39" s="190">
        <v>0</v>
      </c>
      <c r="G39" t="s">
        <v>279</v>
      </c>
    </row>
    <row r="40" spans="2:8" ht="15.75">
      <c r="E40" s="166">
        <f>+E39+1</f>
        <v>35918</v>
      </c>
      <c r="F40" s="190">
        <v>0</v>
      </c>
      <c r="G40" t="s">
        <v>279</v>
      </c>
    </row>
    <row r="41" spans="2:8" ht="15.75">
      <c r="E41" s="166">
        <f>+E40+1</f>
        <v>35919</v>
      </c>
      <c r="F41" s="190">
        <v>0</v>
      </c>
      <c r="G41" t="s">
        <v>279</v>
      </c>
    </row>
    <row r="42" spans="2:8" ht="15.75">
      <c r="E42" s="166">
        <f>+E41+1</f>
        <v>35920</v>
      </c>
      <c r="F42" s="190">
        <v>0</v>
      </c>
      <c r="G42" t="s">
        <v>279</v>
      </c>
    </row>
    <row r="44" spans="2:8">
      <c r="B44" s="164" t="s">
        <v>282</v>
      </c>
      <c r="D44" s="105"/>
      <c r="E44" s="105"/>
      <c r="F44" s="105"/>
      <c r="G44" s="105"/>
      <c r="H44" s="105"/>
    </row>
    <row r="45" spans="2:8">
      <c r="D45" s="105"/>
      <c r="E45" s="105"/>
      <c r="F45" s="105"/>
      <c r="G45" s="105"/>
      <c r="H45" s="105"/>
    </row>
    <row r="47" spans="2:8">
      <c r="B47" s="187" t="s">
        <v>283</v>
      </c>
      <c r="C47" s="187" t="s">
        <v>11</v>
      </c>
      <c r="D47" s="189"/>
    </row>
    <row r="48" spans="2:8">
      <c r="B48" s="188"/>
      <c r="C48" s="187" t="s">
        <v>11</v>
      </c>
      <c r="D48" s="189"/>
    </row>
    <row r="49" spans="2:4">
      <c r="B49" s="188"/>
      <c r="C49" s="442" t="s">
        <v>390</v>
      </c>
      <c r="D49" s="189"/>
    </row>
    <row r="50" spans="2:4">
      <c r="B50" s="188"/>
      <c r="C50" s="187" t="s">
        <v>284</v>
      </c>
    </row>
    <row r="51" spans="2:4">
      <c r="B51" s="188"/>
      <c r="C51" s="187" t="s">
        <v>285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/>
  </sheetViews>
  <sheetFormatPr defaultColWidth="12.6640625" defaultRowHeight="15.75"/>
  <cols>
    <col min="1" max="1" width="13.6640625" style="14" customWidth="1"/>
    <col min="2" max="2" width="12.6640625" style="46" customWidth="1"/>
    <col min="3" max="4" width="12.6640625" style="14" customWidth="1"/>
    <col min="5" max="5" width="8.21875" style="14" customWidth="1"/>
    <col min="6" max="6" width="13.6640625" style="47" customWidth="1"/>
    <col min="7" max="7" width="8.21875" style="14" customWidth="1"/>
    <col min="8" max="8" width="12.6640625" style="48" customWidth="1"/>
    <col min="9" max="9" width="6.77734375" style="14" customWidth="1"/>
    <col min="10" max="16384" width="12.6640625" style="14"/>
  </cols>
  <sheetData>
    <row r="1" spans="1:109" ht="15">
      <c r="A1" s="13" t="s">
        <v>2</v>
      </c>
      <c r="B1" s="14"/>
      <c r="C1" s="15"/>
      <c r="D1" s="116" t="s">
        <v>11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13</v>
      </c>
      <c r="B3" s="20" t="s">
        <v>11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90" t="s">
        <v>286</v>
      </c>
      <c r="E4" s="90"/>
      <c r="F4" s="90" t="s">
        <v>287</v>
      </c>
      <c r="G4" s="90"/>
      <c r="H4" s="93"/>
      <c r="I4" s="92" t="s">
        <v>288</v>
      </c>
    </row>
    <row r="5" spans="1:109" ht="15">
      <c r="A5" s="18" t="str">
        <f>CHOOSE(WEEKDAY(B5),"Sunday","Monday","Tuesday","Wednesday","Thursday","Friday","Saturday")</f>
        <v>Saturday</v>
      </c>
      <c r="B5" s="21">
        <f>Weather_Input!A5</f>
        <v>37009</v>
      </c>
      <c r="C5" s="15"/>
      <c r="D5" s="22" t="s">
        <v>289</v>
      </c>
      <c r="E5" s="23">
        <f>Weather_Input!B5</f>
        <v>65</v>
      </c>
      <c r="F5" s="24" t="s">
        <v>290</v>
      </c>
      <c r="G5" s="25">
        <f>Weather_Input!H5</f>
        <v>12</v>
      </c>
      <c r="H5" s="26" t="s">
        <v>291</v>
      </c>
      <c r="I5" s="27">
        <f ca="1">G5-(VLOOKUP(B5,DD_Normal_Data,CELL("Col",B6),FALSE))</f>
        <v>0</v>
      </c>
    </row>
    <row r="6" spans="1:109" ht="15">
      <c r="A6" s="18"/>
      <c r="B6" s="21"/>
      <c r="C6" s="15"/>
      <c r="D6" s="22" t="s">
        <v>176</v>
      </c>
      <c r="E6" s="23">
        <f>Weather_Input!C5</f>
        <v>46</v>
      </c>
      <c r="F6" s="24" t="s">
        <v>292</v>
      </c>
      <c r="G6" s="25">
        <f>Weather_Input!F5</f>
        <v>370</v>
      </c>
      <c r="H6" s="26" t="s">
        <v>293</v>
      </c>
      <c r="I6" s="27">
        <f ca="1">G6-(VLOOKUP(B5,DD_Normal_Data,CELL("Col",C7),FALSE))</f>
        <v>-109</v>
      </c>
      <c r="J6" s="28"/>
      <c r="DE6" s="14" t="s">
        <v>16</v>
      </c>
    </row>
    <row r="7" spans="1:109" ht="15">
      <c r="A7" s="18"/>
      <c r="B7" s="21"/>
      <c r="C7" s="15"/>
      <c r="D7" s="22" t="s">
        <v>294</v>
      </c>
      <c r="E7" s="29">
        <f>IF(Weather_Input!E5="N/A",(Weather_Input!C5+Weather_Input!B5)/2,Weather_Input!E5)</f>
        <v>55.3</v>
      </c>
      <c r="F7" s="24" t="s">
        <v>295</v>
      </c>
      <c r="G7" s="25">
        <f>Weather_Input!G5</f>
        <v>6403</v>
      </c>
      <c r="H7" s="26" t="s">
        <v>295</v>
      </c>
      <c r="I7" s="123">
        <f ca="1">G7-(VLOOKUP(B5,DD_Normal_Data,CELL("Col",D4),FALSE))</f>
        <v>276</v>
      </c>
      <c r="J7" s="123"/>
    </row>
    <row r="8" spans="1:109" ht="15">
      <c r="A8" s="18"/>
      <c r="B8" s="20"/>
      <c r="C8" s="15"/>
      <c r="D8" s="32" t="str">
        <f>IF(Weather_Input!I5=""," ",Weather_Input!I5)</f>
        <v xml:space="preserve">  INTERVALS OF CLOUDS AND SUN.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 xml:space="preserve"> 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Sunday</v>
      </c>
      <c r="B10" s="21">
        <f>Weather_Input!A6</f>
        <v>37010</v>
      </c>
      <c r="C10" s="15"/>
      <c r="D10" s="153" t="s">
        <v>289</v>
      </c>
      <c r="E10" s="23">
        <f>Weather_Input!B6</f>
        <v>78</v>
      </c>
      <c r="F10" s="24" t="s">
        <v>290</v>
      </c>
      <c r="G10" s="25">
        <f>IF(E12&lt;65,65-(Weather_Input!B6+Weather_Input!C6)/2,0)</f>
        <v>0</v>
      </c>
      <c r="H10" s="26" t="s">
        <v>291</v>
      </c>
      <c r="I10" s="27">
        <f ca="1">G10-(VLOOKUP(B10,DD_Normal_Data,CELL("Col",B11),FALSE))</f>
        <v>-12</v>
      </c>
    </row>
    <row r="11" spans="1:109" ht="15">
      <c r="A11" s="18"/>
      <c r="B11" s="21"/>
      <c r="C11" s="15"/>
      <c r="D11" s="22" t="s">
        <v>176</v>
      </c>
      <c r="E11" s="23">
        <f>Weather_Input!C6</f>
        <v>56</v>
      </c>
      <c r="F11" s="24" t="s">
        <v>292</v>
      </c>
      <c r="G11" s="25">
        <f>IF(DAY(B10)=1,G10,G6+G10)</f>
        <v>370</v>
      </c>
      <c r="H11" s="30" t="s">
        <v>293</v>
      </c>
      <c r="I11" s="27">
        <f ca="1">G11-(VLOOKUP(B10,DD_Normal_Data,CELL("Col",C12),FALSE))</f>
        <v>-121</v>
      </c>
      <c r="DE11" s="14" t="s">
        <v>296</v>
      </c>
    </row>
    <row r="12" spans="1:109" ht="15">
      <c r="A12" s="18"/>
      <c r="B12" s="20"/>
      <c r="C12" s="15"/>
      <c r="D12" s="22" t="s">
        <v>294</v>
      </c>
      <c r="E12" s="23">
        <f>(Weather_Input!C6+Weather_Input!B6)/2</f>
        <v>67</v>
      </c>
      <c r="F12" s="24" t="s">
        <v>295</v>
      </c>
      <c r="G12" s="25">
        <f>IF(AND(DAY(B10)=1,MONTH(B10)=8),G10,G7+G10)</f>
        <v>6403</v>
      </c>
      <c r="H12" s="26" t="s">
        <v>295</v>
      </c>
      <c r="I12" s="27">
        <f ca="1">G12-(VLOOKUP(B10,DD_Normal_Data,CELL("Col",D9),FALSE))</f>
        <v>264</v>
      </c>
    </row>
    <row r="13" spans="1:109" ht="15">
      <c r="A13" s="18"/>
      <c r="B13" s="21"/>
      <c r="C13" s="15"/>
      <c r="D13" s="32" t="str">
        <f>IF(Weather_Input!I6=""," ",Weather_Input!I6)</f>
        <v xml:space="preserve">  SEVERAL HOURS OF SUNSHINE.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 xml:space="preserve"> 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Monday</v>
      </c>
      <c r="B15" s="21">
        <f>Weather_Input!A7</f>
        <v>37011</v>
      </c>
      <c r="C15" s="15"/>
      <c r="D15" s="22" t="s">
        <v>289</v>
      </c>
      <c r="E15" s="23">
        <f>Weather_Input!B7</f>
        <v>82</v>
      </c>
      <c r="F15" s="24" t="s">
        <v>290</v>
      </c>
      <c r="G15" s="25">
        <f>IF(E17&lt;65,65-(Weather_Input!B7+Weather_Input!C7)/2,0)</f>
        <v>0</v>
      </c>
      <c r="H15" s="26" t="s">
        <v>291</v>
      </c>
      <c r="I15" s="27">
        <f ca="1">G15-(VLOOKUP(B15,DD_Normal_Data,CELL("Col",B16),FALSE))</f>
        <v>-12</v>
      </c>
    </row>
    <row r="16" spans="1:109" ht="15">
      <c r="A16" s="18"/>
      <c r="B16" s="20"/>
      <c r="C16" s="15"/>
      <c r="D16" s="22" t="s">
        <v>176</v>
      </c>
      <c r="E16" s="23">
        <f>Weather_Input!C7</f>
        <v>58</v>
      </c>
      <c r="F16" s="24" t="s">
        <v>292</v>
      </c>
      <c r="G16" s="25">
        <f>IF(DAY(B15)=1,G15,G11+G15)</f>
        <v>370</v>
      </c>
      <c r="H16" s="30" t="s">
        <v>293</v>
      </c>
      <c r="I16" s="27">
        <f ca="1">G16-(VLOOKUP(B15,DD_Normal_Data,CELL("Col",C17),FALSE))</f>
        <v>-133</v>
      </c>
      <c r="DE16" s="14" t="s">
        <v>34</v>
      </c>
    </row>
    <row r="17" spans="1:109" ht="15">
      <c r="A17" s="18"/>
      <c r="B17" s="21"/>
      <c r="C17" s="15"/>
      <c r="D17" s="22" t="s">
        <v>294</v>
      </c>
      <c r="E17" s="23">
        <f>(Weather_Input!C7+Weather_Input!B7)/2</f>
        <v>70</v>
      </c>
      <c r="F17" s="24" t="s">
        <v>295</v>
      </c>
      <c r="G17" s="25">
        <f>IF(AND(DAY(B15)=1,MONTH(B15)=8),G15,G12+G15)</f>
        <v>6403</v>
      </c>
      <c r="H17" s="26" t="s">
        <v>295</v>
      </c>
      <c r="I17" s="27">
        <f ca="1">G17-(VLOOKUP(B15,DD_Normal_Data,CELL("Col",D14),FALSE))</f>
        <v>252</v>
      </c>
    </row>
    <row r="18" spans="1:109" ht="15">
      <c r="A18" s="18"/>
      <c r="B18" s="20"/>
      <c r="C18" s="15"/>
      <c r="D18" s="32" t="str">
        <f>IF(Weather_Input!I7=""," ",Weather_Input!I7)</f>
        <v xml:space="preserve">  SOME SUNSHINE WITH A CHANCE OF A THUNDERSTORM IN THE AFTERNOON.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 xml:space="preserve"> 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Tuesday</v>
      </c>
      <c r="B20" s="21">
        <f>Weather_Input!A8</f>
        <v>37012</v>
      </c>
      <c r="C20" s="15"/>
      <c r="D20" s="22" t="s">
        <v>289</v>
      </c>
      <c r="E20" s="23">
        <f>Weather_Input!B8</f>
        <v>84</v>
      </c>
      <c r="F20" s="24" t="s">
        <v>290</v>
      </c>
      <c r="G20" s="25">
        <f>IF(E22&lt;65,65-(Weather_Input!B8+Weather_Input!C8)/2,0)</f>
        <v>0</v>
      </c>
      <c r="H20" s="26" t="s">
        <v>291</v>
      </c>
      <c r="I20" s="27">
        <f ca="1">G20-(VLOOKUP(B20,DD_Normal_Data,CELL("Col",B21),FALSE))</f>
        <v>-11</v>
      </c>
    </row>
    <row r="21" spans="1:109" ht="15">
      <c r="A21" s="18"/>
      <c r="B21" s="21"/>
      <c r="C21" s="15"/>
      <c r="D21" s="22" t="s">
        <v>176</v>
      </c>
      <c r="E21" s="23">
        <f>Weather_Input!C8</f>
        <v>63</v>
      </c>
      <c r="F21" s="24" t="s">
        <v>292</v>
      </c>
      <c r="G21" s="25">
        <f>IF(DAY(B20)=1,G20,G16+G20)</f>
        <v>0</v>
      </c>
      <c r="H21" s="30" t="s">
        <v>293</v>
      </c>
      <c r="I21" s="27">
        <f ca="1">G21-(VLOOKUP(B20,DD_Normal_Data,CELL("Col",C22),FALSE))</f>
        <v>-11</v>
      </c>
      <c r="DE21" s="14" t="s">
        <v>297</v>
      </c>
    </row>
    <row r="22" spans="1:109" ht="15">
      <c r="A22" s="18"/>
      <c r="B22" s="21"/>
      <c r="C22" s="15"/>
      <c r="D22" s="22" t="s">
        <v>294</v>
      </c>
      <c r="E22" s="23">
        <f>(Weather_Input!C8+Weather_Input!B8)/2</f>
        <v>73.5</v>
      </c>
      <c r="F22" s="24" t="s">
        <v>295</v>
      </c>
      <c r="G22" s="25">
        <f>IF(AND(DAY(B20)=1,MONTH(B20)=8),G20,G17+G20)</f>
        <v>6403</v>
      </c>
      <c r="H22" s="26" t="s">
        <v>295</v>
      </c>
      <c r="I22" s="27">
        <f ca="1">G22-(VLOOKUP(B20,DD_Normal_Data,CELL("Col",D19),FALSE))</f>
        <v>241</v>
      </c>
    </row>
    <row r="23" spans="1:109" ht="15">
      <c r="A23" s="18"/>
      <c r="B23" s="21"/>
      <c r="C23" s="15"/>
      <c r="D23" s="32" t="str">
        <f>IF(Weather_Input!I8=""," ",Weather_Input!I8)</f>
        <v xml:space="preserve">  PARTLY SUNNY.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Wednesday</v>
      </c>
      <c r="B25" s="21">
        <f>Weather_Input!A9</f>
        <v>37013</v>
      </c>
      <c r="C25" s="15"/>
      <c r="D25" s="22" t="s">
        <v>289</v>
      </c>
      <c r="E25" s="23">
        <f>Weather_Input!B9</f>
        <v>84</v>
      </c>
      <c r="F25" s="24" t="s">
        <v>290</v>
      </c>
      <c r="G25" s="25">
        <f>IF(E27&lt;65,65-(Weather_Input!B9+Weather_Input!C9)/2,0)</f>
        <v>0</v>
      </c>
      <c r="H25" s="26" t="s">
        <v>291</v>
      </c>
      <c r="I25" s="27">
        <f ca="1">G25-(VLOOKUP(B25,DD_Normal_Data,CELL("Col",B26),FALSE))</f>
        <v>-11</v>
      </c>
    </row>
    <row r="26" spans="1:109" ht="15">
      <c r="A26" s="18"/>
      <c r="B26" s="21"/>
      <c r="C26" s="15"/>
      <c r="D26" s="22" t="s">
        <v>176</v>
      </c>
      <c r="E26" s="23">
        <f>Weather_Input!C9</f>
        <v>63</v>
      </c>
      <c r="F26" s="24" t="s">
        <v>292</v>
      </c>
      <c r="G26" s="25">
        <f>IF(DAY(B25)=1,G25,G21+G25)</f>
        <v>0</v>
      </c>
      <c r="H26" s="30" t="s">
        <v>293</v>
      </c>
      <c r="I26" s="27">
        <f ca="1">G26-(VLOOKUP(B25,DD_Normal_Data,CELL("Col",C27),FALSE))</f>
        <v>-22</v>
      </c>
      <c r="DE26" s="14" t="s">
        <v>298</v>
      </c>
    </row>
    <row r="27" spans="1:109" ht="15">
      <c r="A27" s="18"/>
      <c r="B27" s="20"/>
      <c r="C27" s="15"/>
      <c r="D27" s="22" t="s">
        <v>294</v>
      </c>
      <c r="E27" s="23">
        <f>(Weather_Input!C9+Weather_Input!B9)/2</f>
        <v>73.5</v>
      </c>
      <c r="F27" s="24" t="s">
        <v>295</v>
      </c>
      <c r="G27" s="25">
        <f>IF(AND(DAY(B25)=1,MONTH(B25)=8),G25,G22+G25)</f>
        <v>6403</v>
      </c>
      <c r="H27" s="26" t="s">
        <v>295</v>
      </c>
      <c r="I27" s="27">
        <f ca="1">G27-(VLOOKUP(B25,DD_Normal_Data,CELL("Col",D24),FALSE))</f>
        <v>230</v>
      </c>
    </row>
    <row r="28" spans="1:109" ht="15">
      <c r="A28" s="18"/>
      <c r="B28" s="20"/>
      <c r="C28" s="15"/>
      <c r="D28" s="32" t="str">
        <f>IF(Weather_Input!I9=""," ",Weather_Input!I9)</f>
        <v xml:space="preserve">  PARTLY SUNNY.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Thursday</v>
      </c>
      <c r="B30" s="21">
        <f>Weather_Input!A10</f>
        <v>37014</v>
      </c>
      <c r="C30" s="15"/>
      <c r="D30" s="22" t="s">
        <v>289</v>
      </c>
      <c r="E30" s="23">
        <f>Weather_Input!B10</f>
        <v>80</v>
      </c>
      <c r="F30" s="24" t="s">
        <v>290</v>
      </c>
      <c r="G30" s="25">
        <f>IF(E32&lt;65,65-(Weather_Input!B10+Weather_Input!C10)/2,0)</f>
        <v>0</v>
      </c>
      <c r="H30" s="26" t="s">
        <v>291</v>
      </c>
      <c r="I30" s="27">
        <f ca="1">G30-(VLOOKUP(B30,DD_Normal_Data,CELL("Col",B31),FALSE))</f>
        <v>-11</v>
      </c>
    </row>
    <row r="31" spans="1:109" ht="15">
      <c r="A31" s="15"/>
      <c r="B31" s="15"/>
      <c r="C31" s="15"/>
      <c r="D31" s="22" t="s">
        <v>176</v>
      </c>
      <c r="E31" s="23">
        <f>Weather_Input!C10</f>
        <v>65</v>
      </c>
      <c r="F31" s="24" t="s">
        <v>292</v>
      </c>
      <c r="G31" s="25">
        <f>IF(DAY(B30)=1,G30,G26+G30)</f>
        <v>0</v>
      </c>
      <c r="H31" s="30" t="s">
        <v>293</v>
      </c>
      <c r="I31" s="27">
        <f ca="1">G31-(VLOOKUP(B30,DD_Normal_Data,CELL("Col",C32),FALSE))</f>
        <v>-33</v>
      </c>
      <c r="DE31" s="14" t="s">
        <v>33</v>
      </c>
    </row>
    <row r="32" spans="1:109" ht="15">
      <c r="A32" s="15"/>
      <c r="B32" s="15"/>
      <c r="C32" s="15"/>
      <c r="D32" s="22" t="s">
        <v>294</v>
      </c>
      <c r="E32" s="23">
        <f>(Weather_Input!C10+Weather_Input!B10)/2</f>
        <v>72.5</v>
      </c>
      <c r="F32" s="24" t="s">
        <v>295</v>
      </c>
      <c r="G32" s="25">
        <f>IF(AND(DAY(B30)=1,MONTH(B30)=8),G30,G27+G30)</f>
        <v>6403</v>
      </c>
      <c r="H32" s="26" t="s">
        <v>295</v>
      </c>
      <c r="I32" s="27">
        <f ca="1">G32-(VLOOKUP(B30,DD_Normal_Data,CELL("Col",D29),FALSE))</f>
        <v>219</v>
      </c>
    </row>
    <row r="33" spans="1:9" ht="15">
      <c r="A33" s="15"/>
      <c r="B33" s="34"/>
      <c r="C33" s="15"/>
      <c r="D33" s="32" t="str">
        <f>IF(Weather_Input!I10=""," ",Weather_Input!I10)</f>
        <v xml:space="preserve">  PARTLY SUNNY.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51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299</v>
      </c>
      <c r="B35" s="18" t="s">
        <v>163</v>
      </c>
      <c r="C35" s="15"/>
      <c r="D35" s="15"/>
      <c r="E35" s="15"/>
      <c r="F35" s="16"/>
      <c r="G35" s="40"/>
      <c r="H35" s="40"/>
      <c r="I35" s="15"/>
    </row>
    <row r="36" spans="1:9" ht="15">
      <c r="A36" s="84" t="s">
        <v>55</v>
      </c>
      <c r="B36" s="91">
        <f>B5</f>
        <v>37009</v>
      </c>
      <c r="C36" s="91">
        <f>B10</f>
        <v>37010</v>
      </c>
      <c r="D36" s="91">
        <f>B15</f>
        <v>37011</v>
      </c>
      <c r="E36" s="91">
        <f xml:space="preserve">       B20</f>
        <v>37012</v>
      </c>
      <c r="F36" s="91">
        <f>B25</f>
        <v>37013</v>
      </c>
      <c r="G36" s="91">
        <f>B30</f>
        <v>37014</v>
      </c>
      <c r="H36" s="14"/>
      <c r="I36" s="15"/>
    </row>
    <row r="37" spans="1:9" ht="15">
      <c r="A37" s="15" t="s">
        <v>56</v>
      </c>
      <c r="B37" s="41">
        <f ca="1">(VLOOKUP(B36,PGL_Sendouts,(CELL("COL",PGL_Deliveries!C6))))/1000</f>
        <v>288</v>
      </c>
      <c r="C37" s="41">
        <f ca="1">(VLOOKUP(C36,PGL_Sendouts,(CELL("COL",PGL_Deliveries!C7))))/1000</f>
        <v>250</v>
      </c>
      <c r="D37" s="41">
        <f ca="1">(VLOOKUP(D36,PGL_Sendouts,(CELL("COL",PGL_Deliveries!C8))))/1000</f>
        <v>250</v>
      </c>
      <c r="E37" s="41">
        <f ca="1">(VLOOKUP(E36,PGL_Sendouts,(CELL("COL",PGL_Deliveries!C9))))/1000</f>
        <v>240</v>
      </c>
      <c r="F37" s="41">
        <f ca="1">(VLOOKUP(F36,PGL_Sendouts,(CELL("COL",PGL_Deliveries!C10))))/1000</f>
        <v>240</v>
      </c>
      <c r="G37" s="41">
        <f ca="1">(VLOOKUP(G36,PGL_Sendouts,(CELL("COL",PGL_Deliveries!C10))))/1000</f>
        <v>245</v>
      </c>
      <c r="H37" s="14"/>
      <c r="I37" s="15"/>
    </row>
    <row r="38" spans="1:9" ht="15">
      <c r="A38" s="15" t="s">
        <v>300</v>
      </c>
      <c r="B38" s="41">
        <f>PGL_6_Day_Report!D30</f>
        <v>583.51189999999997</v>
      </c>
      <c r="C38" s="41">
        <f>PGL_6_Day_Report!E30</f>
        <v>589.5385</v>
      </c>
      <c r="D38" s="41">
        <f>PGL_6_Day_Report!F30</f>
        <v>513.07949999999994</v>
      </c>
      <c r="E38" s="41">
        <f>PGL_6_Day_Report!G30</f>
        <v>453.24499999999995</v>
      </c>
      <c r="F38" s="41">
        <f>PGL_6_Day_Report!H30</f>
        <v>443.04999999999995</v>
      </c>
      <c r="G38" s="41">
        <f>PGL_6_Day_Report!I30</f>
        <v>448.04999999999995</v>
      </c>
      <c r="H38" s="14"/>
      <c r="I38" s="15"/>
    </row>
    <row r="39" spans="1:9" ht="15">
      <c r="A39" s="42" t="s">
        <v>109</v>
      </c>
      <c r="B39" s="41">
        <f>SUM(PGL_Supplies!Z7:AE7)/1000</f>
        <v>419.15199999999999</v>
      </c>
      <c r="C39" s="41">
        <f>SUM(PGL_Supplies!Z8:AE8)/1000</f>
        <v>419.15199999999999</v>
      </c>
      <c r="D39" s="41">
        <f>SUM(PGL_Supplies!Z9:AE9)/1000</f>
        <v>419.15199999999999</v>
      </c>
      <c r="E39" s="41">
        <f>SUM(PGL_Supplies!Z10:AE10)/1000</f>
        <v>414.53199999999998</v>
      </c>
      <c r="F39" s="41">
        <f>SUM(PGL_Supplies!Z11:AE11)/1000</f>
        <v>414.53199999999998</v>
      </c>
      <c r="G39" s="41">
        <f>SUM(PGL_Supplies!Z12:AE12)/1000</f>
        <v>414.53199999999998</v>
      </c>
      <c r="H39" s="14"/>
      <c r="I39" s="15"/>
    </row>
    <row r="40" spans="1:9" ht="15">
      <c r="A40" s="42" t="s">
        <v>301</v>
      </c>
      <c r="B40" s="41">
        <f>(PGL_Supplies!N7+PGL_Supplies!O7+PGL_Supplies!P7+PGL_Supplies!R7+PGL_Supplies!S7)/1000</f>
        <v>0</v>
      </c>
      <c r="C40" s="41">
        <f>(PGL_Supplies!N8+PGL_Supplies!O8+PGL_Supplies!P8+PGL_Supplies!R8+PGL_Supplies!S8)/1000</f>
        <v>0</v>
      </c>
      <c r="D40" s="41">
        <f>(PGL_Supplies!N9+PGL_Supplies!O9+PGL_Supplies!P9+PGL_Supplies!R9+PGL_Supplies!S9)/1000</f>
        <v>0</v>
      </c>
      <c r="E40" s="41">
        <f>(PGL_Supplies!N10+PGL_Supplies!O10+PGL_Supplies!P10+PGL_Supplies!R10+PGL_Supplies!S10)/1000</f>
        <v>0</v>
      </c>
      <c r="F40" s="41">
        <f>(PGL_Supplies!N11+PGL_Supplies!O11+PGL_Supplies!P11+PGL_Supplies!R11+PGL_Supplies!S11)/1000</f>
        <v>0</v>
      </c>
      <c r="G40" s="41">
        <f>(PGL_Supplies!N12+PGL_Supplies!O12+PGL_Supplies!P12+PGL_Supplies!R12+PGL_Supplies!S12)/1000</f>
        <v>0</v>
      </c>
      <c r="H40" s="14"/>
      <c r="I40" s="15"/>
    </row>
    <row r="41" spans="1:9" ht="15">
      <c r="A41" s="45" t="s">
        <v>302</v>
      </c>
      <c r="B41" s="41">
        <f>SUM(PGL_Requirements!R7:U7)/1000</f>
        <v>40.64</v>
      </c>
      <c r="C41" s="41">
        <f>SUM(PGL_Requirements!R7:U7)/1000</f>
        <v>40.64</v>
      </c>
      <c r="D41" s="41">
        <f>SUM(PGL_Requirements!R7:U7)/1000</f>
        <v>40.64</v>
      </c>
      <c r="E41" s="41">
        <f>SUM(PGL_Requirements!R7:U7)/1000</f>
        <v>40.64</v>
      </c>
      <c r="F41" s="41">
        <f>SUM(PGL_Requirements!R7:U7)/1000</f>
        <v>40.64</v>
      </c>
      <c r="G41" s="41">
        <f>SUM(PGL_Requirements!R7:U7)/1000</f>
        <v>40.64</v>
      </c>
      <c r="H41" s="14"/>
      <c r="I41" s="15"/>
    </row>
    <row r="42" spans="1:9" ht="15">
      <c r="A42" s="15" t="s">
        <v>132</v>
      </c>
      <c r="B42" s="41">
        <f>PGL_Supplies!V7/1000</f>
        <v>220.76</v>
      </c>
      <c r="C42" s="41">
        <f>PGL_Supplies!V8/1000</f>
        <v>220.76</v>
      </c>
      <c r="D42" s="41">
        <f>PGL_Supplies!V9/1000</f>
        <v>220.76</v>
      </c>
      <c r="E42" s="41">
        <f>PGL_Supplies!V10/1000</f>
        <v>220.76</v>
      </c>
      <c r="F42" s="41">
        <f>PGL_Supplies!V11/1000</f>
        <v>220.76</v>
      </c>
      <c r="G42" s="41">
        <f>PGL_Supplies!V12/1000</f>
        <v>220.76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4" t="s">
        <v>83</v>
      </c>
      <c r="B44" s="91">
        <f t="shared" ref="B44:G44" si="0">B36</f>
        <v>37009</v>
      </c>
      <c r="C44" s="91">
        <f t="shared" si="0"/>
        <v>37010</v>
      </c>
      <c r="D44" s="91">
        <f t="shared" si="0"/>
        <v>37011</v>
      </c>
      <c r="E44" s="91">
        <f t="shared" si="0"/>
        <v>37012</v>
      </c>
      <c r="F44" s="91">
        <f t="shared" si="0"/>
        <v>37013</v>
      </c>
      <c r="G44" s="91">
        <f t="shared" si="0"/>
        <v>37014</v>
      </c>
      <c r="H44" s="14"/>
      <c r="I44" s="15"/>
    </row>
    <row r="45" spans="1:9" ht="15">
      <c r="A45" s="15" t="s">
        <v>56</v>
      </c>
      <c r="B45" s="41">
        <f ca="1">NSG_6_Day_Report!D6</f>
        <v>56</v>
      </c>
      <c r="C45" s="41">
        <f ca="1">NSG_6_Day_Report!E6</f>
        <v>47</v>
      </c>
      <c r="D45" s="41">
        <f ca="1">NSG_6_Day_Report!F6</f>
        <v>46</v>
      </c>
      <c r="E45" s="41">
        <f ca="1">NSG_6_Day_Report!G6</f>
        <v>42</v>
      </c>
      <c r="F45" s="41">
        <f ca="1">NSG_6_Day_Report!H6</f>
        <v>42</v>
      </c>
      <c r="G45" s="41">
        <f ca="1">NSG_6_Day_Report!I6</f>
        <v>43</v>
      </c>
      <c r="H45" s="14"/>
      <c r="I45" s="15"/>
    </row>
    <row r="46" spans="1:9" ht="15">
      <c r="A46" s="42" t="s">
        <v>300</v>
      </c>
      <c r="B46" s="41">
        <f ca="1">NSG_6_Day_Report!D19</f>
        <v>76</v>
      </c>
      <c r="C46" s="41">
        <f ca="1">NSG_6_Day_Report!E19</f>
        <v>69.759</v>
      </c>
      <c r="D46" s="41">
        <f ca="1">NSG_6_Day_Report!F19</f>
        <v>66</v>
      </c>
      <c r="E46" s="41">
        <f ca="1">NSG_6_Day_Report!G19</f>
        <v>62</v>
      </c>
      <c r="F46" s="41">
        <f ca="1">NSG_6_Day_Report!H19</f>
        <v>62</v>
      </c>
      <c r="G46" s="41">
        <f ca="1">NSG_6_Day_Report!I19</f>
        <v>63</v>
      </c>
      <c r="H46" s="14"/>
      <c r="I46" s="15"/>
    </row>
    <row r="47" spans="1:9" ht="15">
      <c r="A47" s="42" t="s">
        <v>109</v>
      </c>
      <c r="B47" s="41">
        <f>SUM(NSG_Supplies!P7:R7)/1000</f>
        <v>69.754999999999995</v>
      </c>
      <c r="C47" s="41">
        <f>SUM(NSG_Supplies!P8:R8)/1000</f>
        <v>69.754999999999995</v>
      </c>
      <c r="D47" s="41">
        <f>SUM(NSG_Supplies!P9:R9)/1000</f>
        <v>69.754999999999995</v>
      </c>
      <c r="E47" s="41">
        <f>SUM(NSG_Supplies!P10:R10)/1000</f>
        <v>69.754999999999995</v>
      </c>
      <c r="F47" s="41">
        <f>SUM(NSG_Supplies!P11:R11)/1000</f>
        <v>69.754999999999995</v>
      </c>
      <c r="G47" s="41">
        <f>SUM(NSG_Supplies!P12:R12)/1000</f>
        <v>69.754999999999995</v>
      </c>
      <c r="H47" s="14"/>
      <c r="I47" s="15"/>
    </row>
    <row r="48" spans="1:9" ht="15">
      <c r="A48" s="42" t="s">
        <v>301</v>
      </c>
      <c r="B48" s="41">
        <f>SUM(NSG_Supplies!I7:M7)/1000</f>
        <v>0</v>
      </c>
      <c r="C48" s="41">
        <f>SUM(NSG_Supplies!I8:M8)/1000</f>
        <v>0</v>
      </c>
      <c r="D48" s="41">
        <f>SUM(NSG_Supplies!I9:M9)/1000</f>
        <v>0</v>
      </c>
      <c r="E48" s="41">
        <f>SUM(NSG_Supplies!I10:M10)/1000</f>
        <v>0</v>
      </c>
      <c r="F48" s="41">
        <f>SUM(NSG_Supplies!I11:M11)/1000</f>
        <v>0</v>
      </c>
      <c r="G48" s="41">
        <f>SUM(NSG_Supplies!I12:M12)/1000</f>
        <v>0</v>
      </c>
      <c r="H48" s="14"/>
      <c r="I48" s="15"/>
    </row>
    <row r="49" spans="1:9" ht="15">
      <c r="A49" s="45" t="s">
        <v>302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132</v>
      </c>
      <c r="B50" s="41">
        <f>NSG_Supplies!S7/1000</f>
        <v>24.754999999999999</v>
      </c>
      <c r="C50" s="41">
        <f>NSG_Supplies!S8/1000</f>
        <v>24.754999999999999</v>
      </c>
      <c r="D50" s="41">
        <f>NSG_Supplies!S9/1000</f>
        <v>24.754999999999999</v>
      </c>
      <c r="E50" s="41">
        <f>NSG_Supplies!S10/1000</f>
        <v>24.754999999999999</v>
      </c>
      <c r="F50" s="41">
        <f>NSG_Supplies!S11/1000</f>
        <v>24.754999999999999</v>
      </c>
      <c r="G50" s="41">
        <f>NSG_Supplies!S12/1000</f>
        <v>24.754999999999999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4" t="s">
        <v>303</v>
      </c>
      <c r="B52" s="91">
        <f t="shared" ref="B52:G52" si="1">B36</f>
        <v>37009</v>
      </c>
      <c r="C52" s="91">
        <f t="shared" si="1"/>
        <v>37010</v>
      </c>
      <c r="D52" s="91">
        <f t="shared" si="1"/>
        <v>37011</v>
      </c>
      <c r="E52" s="91">
        <f t="shared" si="1"/>
        <v>37012</v>
      </c>
      <c r="F52" s="91">
        <f t="shared" si="1"/>
        <v>37013</v>
      </c>
      <c r="G52" s="91">
        <f t="shared" si="1"/>
        <v>37014</v>
      </c>
      <c r="H52" s="14"/>
      <c r="I52" s="15"/>
    </row>
    <row r="53" spans="1:9" ht="15">
      <c r="A53" s="94" t="s">
        <v>304</v>
      </c>
      <c r="B53" s="41">
        <f>PGL_Requirements!P7/1000</f>
        <v>187.26</v>
      </c>
      <c r="C53" s="41">
        <f>PGL_Requirements!P8/1000</f>
        <v>200</v>
      </c>
      <c r="D53" s="41">
        <f>PGL_Requirements!P9/1000</f>
        <v>200</v>
      </c>
      <c r="E53" s="41">
        <f>PGL_Requirements!P10/1000</f>
        <v>160</v>
      </c>
      <c r="F53" s="41">
        <f>PGL_Requirements!P11/1000</f>
        <v>160</v>
      </c>
      <c r="G53" s="41">
        <f>PGL_Requirements!P12/1000</f>
        <v>160</v>
      </c>
      <c r="H53" s="14"/>
      <c r="I53" s="15"/>
    </row>
    <row r="54" spans="1:9" ht="15">
      <c r="A54" s="15" t="s">
        <v>305</v>
      </c>
      <c r="B54" s="41">
        <f>PGL_Supplies!M7/1000</f>
        <v>0</v>
      </c>
      <c r="C54" s="41">
        <f>PGL_Supplies!M8/1000</f>
        <v>0</v>
      </c>
      <c r="D54" s="41">
        <f>PGL_Supplies!M9/1000</f>
        <v>0</v>
      </c>
      <c r="E54" s="41">
        <f>PGL_Supplies!M10/1000</f>
        <v>0</v>
      </c>
      <c r="F54" s="41">
        <f>PGL_Supplies!M11/1000</f>
        <v>0</v>
      </c>
      <c r="G54" s="41">
        <f>PGL_Supplies!M12/1000</f>
        <v>0</v>
      </c>
      <c r="H54" s="14"/>
      <c r="I54" s="15"/>
    </row>
    <row r="56" spans="1:9">
      <c r="A56" s="1108" t="s">
        <v>738</v>
      </c>
    </row>
    <row r="57" spans="1:9">
      <c r="A57" s="158" t="s">
        <v>306</v>
      </c>
    </row>
    <row r="58" spans="1:9">
      <c r="A58" s="158" t="s">
        <v>307</v>
      </c>
      <c r="G58" s="159"/>
    </row>
    <row r="59" spans="1:9">
      <c r="A59" s="158" t="s">
        <v>308</v>
      </c>
    </row>
    <row r="60" spans="1:9">
      <c r="A60" s="158" t="s">
        <v>309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10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>
      <selection sqref="A1:F39"/>
    </sheetView>
  </sheetViews>
  <sheetFormatPr defaultRowHeight="15"/>
  <cols>
    <col min="1" max="1" width="15.77734375" customWidth="1"/>
    <col min="2" max="2" width="10.33203125" customWidth="1"/>
    <col min="3" max="4" width="10.21875" customWidth="1"/>
    <col min="5" max="5" width="11" customWidth="1"/>
    <col min="6" max="6" width="10.77734375" customWidth="1"/>
  </cols>
  <sheetData>
    <row r="1" spans="1:8" ht="15.75">
      <c r="A1" s="460" t="s">
        <v>11</v>
      </c>
      <c r="B1" s="97"/>
      <c r="C1" s="97" t="s">
        <v>11</v>
      </c>
      <c r="D1" s="97"/>
      <c r="E1" s="97"/>
      <c r="F1" s="6"/>
    </row>
    <row r="2" spans="1:8" ht="15.75">
      <c r="A2" t="s">
        <v>11</v>
      </c>
      <c r="C2" s="96"/>
      <c r="D2" s="96"/>
      <c r="E2" s="96"/>
      <c r="F2" s="1140"/>
    </row>
    <row r="3" spans="1:8" ht="15.75" thickBot="1">
      <c r="A3" s="98" t="s">
        <v>310</v>
      </c>
    </row>
    <row r="4" spans="1:8">
      <c r="A4" s="99"/>
      <c r="B4" s="1141" t="str">
        <f>Six_Day_Summary!A10</f>
        <v>Sunday</v>
      </c>
      <c r="C4" s="1142" t="str">
        <f>Six_Day_Summary!A15</f>
        <v>Monday</v>
      </c>
      <c r="D4" s="1142" t="str">
        <f>Six_Day_Summary!A20</f>
        <v>Tuesday</v>
      </c>
      <c r="E4" s="1142" t="str">
        <f>Six_Day_Summary!A25</f>
        <v>Wednesday</v>
      </c>
      <c r="F4" s="1143" t="str">
        <f>Six_Day_Summary!A30</f>
        <v>Thursday</v>
      </c>
      <c r="G4" s="100"/>
    </row>
    <row r="5" spans="1:8">
      <c r="A5" s="103" t="s">
        <v>311</v>
      </c>
      <c r="B5" s="1144">
        <f>Weather_Input!A6</f>
        <v>37010</v>
      </c>
      <c r="C5" s="1145">
        <f>Weather_Input!A7</f>
        <v>37011</v>
      </c>
      <c r="D5" s="1145">
        <f>Weather_Input!A8</f>
        <v>37012</v>
      </c>
      <c r="E5" s="1145">
        <f>Weather_Input!A9</f>
        <v>37013</v>
      </c>
      <c r="F5" s="1146">
        <f>Weather_Input!A10</f>
        <v>37014</v>
      </c>
      <c r="G5" s="100"/>
    </row>
    <row r="6" spans="1:8">
      <c r="A6" s="100" t="s">
        <v>312</v>
      </c>
      <c r="B6" s="1147">
        <f>PGL_Supplies!AC8/1000+PGL_Supplies!L8/1000-PGL_Requirements!O8/1000-PGL_Requirements!T8/1000+B8</f>
        <v>62.290000000000006</v>
      </c>
      <c r="C6" s="1147">
        <f>PGL_Supplies!AC9/1000+PGL_Supplies!L9/1000-PGL_Requirements!O9/1000+C15-PGL_Requirements!T9/1000</f>
        <v>131.75</v>
      </c>
      <c r="D6" s="1147">
        <f>PGL_Supplies!AC10/1000+PGL_Supplies!L10/1000-PGL_Requirements!O10/1000+D15-PGL_Requirements!T10/1000</f>
        <v>131.75</v>
      </c>
      <c r="E6" s="1147">
        <f>PGL_Supplies!AC11/1000+PGL_Supplies!L11/1000-PGL_Requirements!O11/1000+E15-PGL_Requirements!T11/1000</f>
        <v>131.75</v>
      </c>
      <c r="F6" s="1148">
        <f>PGL_Supplies!AC12/1000+PGL_Supplies!L12/1000-PGL_Requirements!O12/1000+F15-PGL_Requirements!T12/1000</f>
        <v>131.75</v>
      </c>
      <c r="G6" s="100"/>
      <c r="H6" t="s">
        <v>11</v>
      </c>
    </row>
    <row r="7" spans="1:8">
      <c r="A7" s="100" t="s">
        <v>313</v>
      </c>
      <c r="B7" s="1147">
        <f>PGL_Supplies!N8/1000</f>
        <v>0</v>
      </c>
      <c r="C7" s="1147">
        <f>PGL_Supplies!N9/1000</f>
        <v>0</v>
      </c>
      <c r="D7" s="1147">
        <f>PGL_Supplies!N10/1000</f>
        <v>0</v>
      </c>
      <c r="E7" s="1147">
        <f>PGL_Supplies!N11/1000</f>
        <v>0</v>
      </c>
      <c r="F7" s="1149">
        <f>PGL_Supplies!N12/1000</f>
        <v>0</v>
      </c>
      <c r="G7" s="100"/>
    </row>
    <row r="8" spans="1:8">
      <c r="A8" s="100" t="s">
        <v>314</v>
      </c>
      <c r="B8" s="1147">
        <f>PGL_Supplies!O8/1000</f>
        <v>0</v>
      </c>
      <c r="C8" s="1147">
        <f>PGL_Supplies!O9/1000</f>
        <v>0</v>
      </c>
      <c r="D8" s="1147">
        <f>PGL_Supplies!O10/1000</f>
        <v>0</v>
      </c>
      <c r="E8" s="1147">
        <f>PGL_Supplies!O11/1000</f>
        <v>0</v>
      </c>
      <c r="F8" s="1149">
        <f>PGL_Supplies!O12/1000</f>
        <v>0</v>
      </c>
      <c r="G8" s="100"/>
    </row>
    <row r="9" spans="1:8">
      <c r="A9" s="100" t="s">
        <v>315</v>
      </c>
      <c r="B9" s="1147">
        <v>0</v>
      </c>
      <c r="C9" s="1147">
        <v>0</v>
      </c>
      <c r="D9" s="1147">
        <v>0</v>
      </c>
      <c r="E9" s="1147">
        <v>0</v>
      </c>
      <c r="F9" s="1149">
        <v>0</v>
      </c>
      <c r="G9" s="100"/>
    </row>
    <row r="10" spans="1:8">
      <c r="A10" s="101"/>
      <c r="B10" s="1150"/>
      <c r="C10" s="1150"/>
      <c r="D10" s="1150"/>
      <c r="E10" s="1150"/>
      <c r="F10" s="1151"/>
      <c r="G10" s="100"/>
    </row>
    <row r="11" spans="1:8">
      <c r="A11" s="100" t="s">
        <v>316</v>
      </c>
      <c r="B11" s="1147">
        <v>0</v>
      </c>
      <c r="C11" s="1147">
        <v>0</v>
      </c>
      <c r="D11" s="1147">
        <v>0</v>
      </c>
      <c r="E11" s="1147">
        <v>0</v>
      </c>
      <c r="F11" s="1149">
        <v>0</v>
      </c>
      <c r="G11" s="100"/>
      <c r="H11" s="122" t="s">
        <v>11</v>
      </c>
    </row>
    <row r="12" spans="1:8">
      <c r="A12" s="100" t="s">
        <v>317</v>
      </c>
      <c r="B12" s="1147">
        <f>PGL_Requirements!S8/1000</f>
        <v>0</v>
      </c>
      <c r="C12" s="1147">
        <f>PGL_Requirements!S9/1000</f>
        <v>0</v>
      </c>
      <c r="D12" s="1147">
        <f>PGL_Requirements!S10/1000</f>
        <v>0</v>
      </c>
      <c r="E12" s="1147">
        <f>PGL_Requirements!S11/1000</f>
        <v>0</v>
      </c>
      <c r="F12" s="1149">
        <f>PGL_Requirements!S12/1000</f>
        <v>0</v>
      </c>
      <c r="G12" s="100"/>
    </row>
    <row r="13" spans="1:8">
      <c r="A13" s="100" t="s">
        <v>318</v>
      </c>
      <c r="B13" s="1147">
        <v>0</v>
      </c>
      <c r="C13" s="1147">
        <v>0</v>
      </c>
      <c r="D13" s="1147">
        <v>0</v>
      </c>
      <c r="E13" s="1147">
        <v>0</v>
      </c>
      <c r="F13" s="1149">
        <v>0</v>
      </c>
      <c r="G13" s="100"/>
    </row>
    <row r="14" spans="1:8">
      <c r="A14" s="100" t="s">
        <v>189</v>
      </c>
      <c r="B14" s="1147">
        <v>0</v>
      </c>
      <c r="C14" s="1153"/>
      <c r="D14" s="1153"/>
      <c r="E14" s="1153"/>
      <c r="F14" s="1149"/>
      <c r="G14" s="100"/>
    </row>
    <row r="15" spans="1:8">
      <c r="A15" s="100" t="s">
        <v>721</v>
      </c>
      <c r="B15" s="1152">
        <v>0</v>
      </c>
      <c r="C15" s="1152">
        <v>0</v>
      </c>
      <c r="D15" s="1152">
        <v>0</v>
      </c>
      <c r="E15" s="1152">
        <v>0</v>
      </c>
      <c r="F15" s="1189">
        <v>0</v>
      </c>
      <c r="G15" s="122"/>
    </row>
    <row r="16" spans="1:8">
      <c r="A16" s="100" t="s">
        <v>319</v>
      </c>
      <c r="B16" s="1152">
        <v>0</v>
      </c>
      <c r="C16" s="1153"/>
      <c r="D16" s="1153"/>
      <c r="E16" s="1153"/>
      <c r="F16" s="1149"/>
      <c r="G16" s="100"/>
    </row>
    <row r="17" spans="1:7" ht="15.75" thickBot="1">
      <c r="A17" s="102" t="s">
        <v>537</v>
      </c>
      <c r="B17" s="1154">
        <v>0</v>
      </c>
      <c r="C17" s="1155"/>
      <c r="D17" s="1155"/>
      <c r="E17" s="1155"/>
      <c r="F17" s="1156"/>
      <c r="G17" s="100"/>
    </row>
    <row r="20" spans="1:7" ht="15.75" thickBot="1">
      <c r="A20" s="106" t="s">
        <v>320</v>
      </c>
      <c r="B20" s="105"/>
      <c r="C20" s="105"/>
      <c r="D20" s="105"/>
      <c r="E20" s="105"/>
      <c r="F20" s="105"/>
    </row>
    <row r="21" spans="1:7">
      <c r="A21" s="99"/>
      <c r="B21" s="1157" t="str">
        <f t="shared" ref="B21:F22" si="0">B4</f>
        <v>Sunday</v>
      </c>
      <c r="C21" s="1157" t="str">
        <f t="shared" si="0"/>
        <v>Monday</v>
      </c>
      <c r="D21" s="1157" t="str">
        <f t="shared" si="0"/>
        <v>Tuesday</v>
      </c>
      <c r="E21" s="1157" t="str">
        <f t="shared" si="0"/>
        <v>Wednesday</v>
      </c>
      <c r="F21" s="1158" t="str">
        <f t="shared" si="0"/>
        <v>Thursday</v>
      </c>
      <c r="G21" s="100"/>
    </row>
    <row r="22" spans="1:7">
      <c r="A22" s="107" t="s">
        <v>311</v>
      </c>
      <c r="B22" s="1159">
        <f t="shared" si="0"/>
        <v>37010</v>
      </c>
      <c r="C22" s="1159">
        <f t="shared" si="0"/>
        <v>37011</v>
      </c>
      <c r="D22" s="1159">
        <f t="shared" si="0"/>
        <v>37012</v>
      </c>
      <c r="E22" s="1159">
        <f t="shared" si="0"/>
        <v>37013</v>
      </c>
      <c r="F22" s="1160">
        <f t="shared" si="0"/>
        <v>37014</v>
      </c>
      <c r="G22" s="100"/>
    </row>
    <row r="23" spans="1:7">
      <c r="A23" s="100" t="s">
        <v>312</v>
      </c>
      <c r="B23" s="1153">
        <f>NSG_Supplies!R8/1000+NSG_Supplies!F8/1000-NSG_Requirements!H8/1000</f>
        <v>46.996000000000002</v>
      </c>
      <c r="C23" s="1153">
        <f>NSG_Supplies!R9/1000+NSG_Supplies!F9/1000-NSG_Requirements!H9/1000</f>
        <v>49.755000000000003</v>
      </c>
      <c r="D23" s="1153">
        <f>NSG_Supplies!R10/1000+NSG_Supplies!F10/1000-NSG_Requirements!H10/1000</f>
        <v>49.755000000000003</v>
      </c>
      <c r="E23" s="1153">
        <f>NSG_Supplies!R12/1000+NSG_Supplies!F11/1000-NSG_Requirements!H11/1000</f>
        <v>49.755000000000003</v>
      </c>
      <c r="F23" s="1148">
        <f>NSG_Supplies!R12/1000+NSG_Supplies!F12/1000-NSG_Requirements!H12/1000</f>
        <v>49.755000000000003</v>
      </c>
      <c r="G23" s="100"/>
    </row>
    <row r="24" spans="1:7">
      <c r="A24" s="100" t="s">
        <v>321</v>
      </c>
      <c r="B24" s="1153">
        <f>NSG_Supplies!H8/1000</f>
        <v>0</v>
      </c>
      <c r="C24" s="1153">
        <f>NSG_Supplies!H9/1000</f>
        <v>0</v>
      </c>
      <c r="D24" s="1153">
        <f>NSG_Supplies!H10/1000</f>
        <v>0</v>
      </c>
      <c r="E24" s="1153">
        <f>NSG_Supplies!H11/1000</f>
        <v>0</v>
      </c>
      <c r="F24" s="1149">
        <f>NSG_Supplies!H12/1000</f>
        <v>0</v>
      </c>
      <c r="G24" s="100"/>
    </row>
    <row r="25" spans="1:7">
      <c r="A25" s="100" t="s">
        <v>313</v>
      </c>
      <c r="B25" s="1153">
        <f>NSG_Supplies!I8/1000</f>
        <v>0</v>
      </c>
      <c r="C25" s="1153">
        <f>NSG_Supplies!I9/1000</f>
        <v>0</v>
      </c>
      <c r="D25" s="1153">
        <f>NSG_Supplies!I10/1000</f>
        <v>0</v>
      </c>
      <c r="E25" s="1153">
        <f>NSG_Supplies!I11/1000</f>
        <v>0</v>
      </c>
      <c r="F25" s="1149">
        <f>NSG_Supplies!I12/1000</f>
        <v>0</v>
      </c>
      <c r="G25" s="100"/>
    </row>
    <row r="26" spans="1:7">
      <c r="A26" s="104" t="s">
        <v>314</v>
      </c>
      <c r="B26" s="1153">
        <f>NSG_Supplies!J8/1000</f>
        <v>0</v>
      </c>
      <c r="C26" s="1153">
        <f>NSG_Supplies!J9/1000</f>
        <v>0</v>
      </c>
      <c r="D26" s="1153">
        <f>NSG_Supplies!J10/1000</f>
        <v>0</v>
      </c>
      <c r="E26" s="1153">
        <f>NSG_Supplies!J11/1000</f>
        <v>0</v>
      </c>
      <c r="F26" s="1149">
        <f>NSG_Supplies!J12/1000</f>
        <v>0</v>
      </c>
      <c r="G26" s="100"/>
    </row>
    <row r="27" spans="1:7">
      <c r="A27" s="100" t="s">
        <v>315</v>
      </c>
      <c r="B27" s="1153">
        <f>NSG_Supplies!K8/1000</f>
        <v>0</v>
      </c>
      <c r="C27" s="1153">
        <f>NSG_Supplies!K9/1000</f>
        <v>0</v>
      </c>
      <c r="D27" s="1153">
        <f>NSG_Supplies!K10/1000</f>
        <v>0</v>
      </c>
      <c r="E27" s="1153">
        <f>NSG_Supplies!K11/1000</f>
        <v>0</v>
      </c>
      <c r="F27" s="1149">
        <f>NSG_Supplies!K12/1000</f>
        <v>0</v>
      </c>
      <c r="G27" s="100"/>
    </row>
    <row r="28" spans="1:7">
      <c r="A28" s="100" t="s">
        <v>322</v>
      </c>
      <c r="B28" s="1153" t="s">
        <v>11</v>
      </c>
      <c r="C28" s="1153"/>
      <c r="D28" s="1153"/>
      <c r="E28" s="1153"/>
      <c r="F28" s="1149"/>
      <c r="G28" s="100"/>
    </row>
    <row r="29" spans="1:7">
      <c r="A29" s="101"/>
      <c r="B29" s="1150"/>
      <c r="C29" s="1150"/>
      <c r="D29" s="1150"/>
      <c r="E29" s="1150"/>
      <c r="F29" s="1151"/>
      <c r="G29" s="100"/>
    </row>
    <row r="30" spans="1:7">
      <c r="A30" s="100" t="s">
        <v>316</v>
      </c>
      <c r="B30" s="1153">
        <f>NSG_Requirements!P8/1000</f>
        <v>0</v>
      </c>
      <c r="C30" s="1153">
        <f>NSG_Requirements!P9/1000</f>
        <v>0</v>
      </c>
      <c r="D30" s="1153">
        <f>NSG_Requirements!P10/1000</f>
        <v>0</v>
      </c>
      <c r="E30" s="1153">
        <f>NSG_Requirements!P11/1000</f>
        <v>0</v>
      </c>
      <c r="F30" s="1149">
        <f>NSG_Supplies!K12/1000</f>
        <v>0</v>
      </c>
      <c r="G30" s="100"/>
    </row>
    <row r="31" spans="1:7">
      <c r="A31" s="100" t="s">
        <v>317</v>
      </c>
      <c r="B31" s="1153">
        <f>NSG_Requirements!R8/1000</f>
        <v>0</v>
      </c>
      <c r="C31" s="1153">
        <f>NSG_Requirements!R9/1000</f>
        <v>0</v>
      </c>
      <c r="D31" s="1153">
        <f>NSG_Requirements!R10/1000</f>
        <v>0</v>
      </c>
      <c r="E31" s="1153">
        <f>NSG_Requirements!R11/1000</f>
        <v>0</v>
      </c>
      <c r="F31" s="1149">
        <f>NSG_Supplies!M12/1000</f>
        <v>0</v>
      </c>
      <c r="G31" s="100"/>
    </row>
    <row r="32" spans="1:7">
      <c r="A32" s="100" t="s">
        <v>318</v>
      </c>
      <c r="B32" s="1153">
        <f>NSG_Requirements!Q8/1000</f>
        <v>0</v>
      </c>
      <c r="C32" s="1153">
        <f>NSG_Requirements!Q9/1000</f>
        <v>0</v>
      </c>
      <c r="D32" s="1153">
        <f>NSG_Requirements!Q10/1000</f>
        <v>0</v>
      </c>
      <c r="E32" s="1153">
        <f>NSG_Requirements!Q11/1000</f>
        <v>0</v>
      </c>
      <c r="F32" s="1149">
        <f>NSG_Requirements!Q12/1000</f>
        <v>0</v>
      </c>
      <c r="G32" s="100"/>
    </row>
    <row r="33" spans="1:7" ht="15.75" thickBot="1">
      <c r="A33" s="102" t="s">
        <v>323</v>
      </c>
      <c r="B33" s="1155">
        <f>NSG_Requirements!L8/1000</f>
        <v>0</v>
      </c>
      <c r="C33" s="1155">
        <f>NSG_Requirements!L9/1000</f>
        <v>0</v>
      </c>
      <c r="D33" s="1155">
        <f>NSG_Requirements!L10/1000</f>
        <v>0</v>
      </c>
      <c r="E33" s="1155">
        <f>NSG_Requirements!L11/1000</f>
        <v>0</v>
      </c>
      <c r="F33" s="1156">
        <f>NSG_Requirements!L12/1000</f>
        <v>0</v>
      </c>
      <c r="G33" s="100"/>
    </row>
    <row r="37" spans="1:7">
      <c r="A37" s="125"/>
      <c r="B37" s="125"/>
      <c r="C37" s="125"/>
      <c r="D37" s="125"/>
      <c r="E37" s="125"/>
      <c r="F37" s="125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scale="86"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>
      <selection activeCell="A6" sqref="A6"/>
    </sheetView>
  </sheetViews>
  <sheetFormatPr defaultRowHeight="15"/>
  <cols>
    <col min="2" max="2" width="20.77734375" customWidth="1"/>
    <col min="3" max="5" width="8.77734375" customWidth="1"/>
    <col min="6" max="6" width="22.77734375" customWidth="1"/>
    <col min="7" max="7" width="11.44140625" bestFit="1" customWidth="1"/>
  </cols>
  <sheetData>
    <row r="1" spans="1:11" ht="24" thickBot="1">
      <c r="A1" s="455">
        <v>0</v>
      </c>
      <c r="B1" s="810" t="s">
        <v>381</v>
      </c>
      <c r="C1" s="909">
        <f>Weather_Input!A6</f>
        <v>37010</v>
      </c>
      <c r="D1" s="910" t="s">
        <v>372</v>
      </c>
      <c r="E1" s="811"/>
      <c r="F1" s="1079"/>
      <c r="G1" s="430"/>
      <c r="H1" s="430"/>
      <c r="I1" s="1080"/>
    </row>
    <row r="2" spans="1:11" ht="15.75" customHeight="1" thickBot="1">
      <c r="A2" s="433"/>
      <c r="B2" s="1077" t="s">
        <v>647</v>
      </c>
      <c r="E2" s="161"/>
      <c r="I2" s="161"/>
    </row>
    <row r="3" spans="1:11" ht="15.75" customHeight="1" thickTop="1">
      <c r="B3" s="172" t="s">
        <v>109</v>
      </c>
      <c r="C3" s="904">
        <f>NSG_Supplies!Q8/1000</f>
        <v>20</v>
      </c>
      <c r="E3" s="161"/>
      <c r="F3" s="790" t="s">
        <v>166</v>
      </c>
      <c r="G3" s="789"/>
      <c r="H3" s="804" t="s">
        <v>574</v>
      </c>
      <c r="I3" s="803" t="s">
        <v>573</v>
      </c>
    </row>
    <row r="4" spans="1:11" ht="15.75" customHeight="1" thickBot="1">
      <c r="A4" t="s">
        <v>11</v>
      </c>
      <c r="B4" s="100" t="s">
        <v>648</v>
      </c>
      <c r="C4" s="1137">
        <f>NSG_Supplies!E8/1000</f>
        <v>0</v>
      </c>
      <c r="D4" s="135">
        <f>NSG_Requirements!J8/1000</f>
        <v>20</v>
      </c>
      <c r="E4" s="802"/>
      <c r="F4" s="172" t="s">
        <v>547</v>
      </c>
      <c r="G4" s="60"/>
      <c r="H4" s="154">
        <f>PGL_Requirements!P8/1000</f>
        <v>200</v>
      </c>
      <c r="I4" s="176">
        <f>AVERAGE(H4/1.025)</f>
        <v>195.1219512195122</v>
      </c>
      <c r="J4" t="s">
        <v>11</v>
      </c>
    </row>
    <row r="5" spans="1:11" ht="15.75" customHeight="1" thickTop="1" thickBot="1">
      <c r="B5" s="437" t="s">
        <v>649</v>
      </c>
      <c r="C5" s="448">
        <f>C3+C4-D4</f>
        <v>0</v>
      </c>
      <c r="D5" s="438"/>
      <c r="E5" s="440">
        <f>AVERAGE(C5/24)</f>
        <v>0</v>
      </c>
      <c r="F5" s="170" t="s">
        <v>448</v>
      </c>
      <c r="G5" s="210">
        <f>PGL_Supplies!M8/1000</f>
        <v>0</v>
      </c>
      <c r="H5" s="168"/>
      <c r="I5" s="1020">
        <f>AVERAGE(G5/1.025)</f>
        <v>0</v>
      </c>
      <c r="K5" t="s">
        <v>11</v>
      </c>
    </row>
    <row r="6" spans="1:11" ht="15.75" customHeight="1" thickTop="1" thickBot="1">
      <c r="B6" s="907" t="s">
        <v>392</v>
      </c>
      <c r="C6" s="908"/>
      <c r="D6" s="122"/>
      <c r="E6" s="801"/>
      <c r="F6" t="s">
        <v>781</v>
      </c>
      <c r="G6" s="908">
        <f>AVERAGE(H4/24)</f>
        <v>8.3333333333333339</v>
      </c>
      <c r="H6" s="430"/>
      <c r="I6" s="1080"/>
    </row>
    <row r="7" spans="1:11" ht="15.75" customHeight="1">
      <c r="B7" s="172" t="s">
        <v>373</v>
      </c>
      <c r="C7" s="154">
        <f>NSG_Supplies!L8/1000</f>
        <v>0</v>
      </c>
      <c r="D7" s="60"/>
      <c r="E7" s="450"/>
      <c r="F7" s="1077" t="s">
        <v>627</v>
      </c>
      <c r="G7" s="1078"/>
      <c r="H7" s="60"/>
      <c r="I7" s="161"/>
    </row>
    <row r="8" spans="1:11" ht="15.75" customHeight="1">
      <c r="B8" s="172" t="s">
        <v>527</v>
      </c>
      <c r="C8" s="154">
        <f>PGL_Requirements!V8/1000</f>
        <v>0</v>
      </c>
      <c r="D8" s="60"/>
      <c r="E8" s="450"/>
      <c r="F8" s="172" t="s">
        <v>626</v>
      </c>
      <c r="G8" s="154">
        <f>PGL_Supplies!T8/1000</f>
        <v>0</v>
      </c>
      <c r="H8" s="60"/>
      <c r="I8" s="161"/>
    </row>
    <row r="9" spans="1:11" ht="15.75" customHeight="1" thickBot="1">
      <c r="B9" s="172" t="s">
        <v>771</v>
      </c>
      <c r="C9" s="154">
        <f>NSG_Requirements!B8/1000</f>
        <v>0</v>
      </c>
      <c r="D9" s="60"/>
      <c r="E9" s="450"/>
      <c r="F9" s="1" t="s">
        <v>717</v>
      </c>
      <c r="G9" s="154">
        <f>PGL_Supplies!U8/1000</f>
        <v>0</v>
      </c>
      <c r="I9" s="161"/>
    </row>
    <row r="10" spans="1:11" ht="15.75" customHeight="1" thickTop="1" thickBot="1">
      <c r="B10" s="437" t="s">
        <v>552</v>
      </c>
      <c r="C10" s="448">
        <f>C7+C8-C9</f>
        <v>0</v>
      </c>
      <c r="D10" s="438"/>
      <c r="E10" s="440">
        <f>AVERAGE(C10/24)</f>
        <v>0</v>
      </c>
      <c r="F10" s="172" t="s">
        <v>445</v>
      </c>
      <c r="G10" s="154">
        <f>PGL_Supplies!AB8/1000</f>
        <v>242.78200000000001</v>
      </c>
      <c r="H10" s="154" t="s">
        <v>11</v>
      </c>
      <c r="I10" s="161"/>
    </row>
    <row r="11" spans="1:11" ht="15.75" customHeight="1" thickTop="1">
      <c r="A11" t="s">
        <v>11</v>
      </c>
      <c r="B11" s="1129" t="s">
        <v>754</v>
      </c>
      <c r="C11" s="154">
        <f>PGL_Supplies!Y8/1000</f>
        <v>159.39099999999999</v>
      </c>
      <c r="D11" s="789"/>
      <c r="E11" s="1130"/>
      <c r="F11" s="435" t="s">
        <v>378</v>
      </c>
      <c r="G11" s="447">
        <f>G8+G10</f>
        <v>242.78200000000001</v>
      </c>
      <c r="H11" s="434"/>
      <c r="I11" s="436"/>
    </row>
    <row r="12" spans="1:11" ht="15.75" customHeight="1">
      <c r="B12" s="249" t="s">
        <v>751</v>
      </c>
      <c r="C12" s="154">
        <f>PGL_Supplies!X8/1000</f>
        <v>0</v>
      </c>
      <c r="D12" s="122"/>
      <c r="E12" s="161"/>
      <c r="F12" s="173" t="s">
        <v>530</v>
      </c>
      <c r="G12" s="154">
        <f>PGL_Supplies!E8/1000</f>
        <v>0</v>
      </c>
      <c r="H12" s="60"/>
      <c r="I12" s="450"/>
    </row>
    <row r="13" spans="1:11" ht="15.75" customHeight="1" thickBot="1">
      <c r="B13" s="249" t="s">
        <v>755</v>
      </c>
      <c r="C13" s="122"/>
      <c r="D13" s="154">
        <f>PGL_Requirements!J8/1000</f>
        <v>0</v>
      </c>
      <c r="E13" s="161"/>
      <c r="F13" s="173" t="s">
        <v>531</v>
      </c>
      <c r="G13" s="60"/>
      <c r="H13" s="154">
        <f>PGL_Requirements!E8/1000</f>
        <v>0</v>
      </c>
      <c r="I13" s="161"/>
    </row>
    <row r="14" spans="1:11" ht="15.75" customHeight="1" thickTop="1" thickBot="1">
      <c r="B14" s="1131" t="s">
        <v>762</v>
      </c>
      <c r="C14" s="448">
        <f>C11+C12-D13</f>
        <v>159.39099999999999</v>
      </c>
      <c r="D14" s="438"/>
      <c r="E14" s="440">
        <f>AVERAGE(C14/24)</f>
        <v>6.6412916666666666</v>
      </c>
      <c r="F14" s="782" t="s">
        <v>550</v>
      </c>
      <c r="G14" s="448">
        <v>0</v>
      </c>
      <c r="H14" s="438"/>
      <c r="I14" s="440">
        <f>AVERAGE(G14/24)</f>
        <v>0</v>
      </c>
    </row>
    <row r="15" spans="1:11" ht="15.75" customHeight="1" thickTop="1" thickBot="1">
      <c r="B15" s="172" t="s">
        <v>760</v>
      </c>
      <c r="C15" s="154">
        <f>PGL_Supplies!Z8/1000</f>
        <v>40</v>
      </c>
      <c r="D15" s="60"/>
      <c r="E15" s="161"/>
      <c r="F15" s="782" t="s">
        <v>559</v>
      </c>
      <c r="G15" s="447">
        <f>SUM(G11)-G16</f>
        <v>239.16500000000002</v>
      </c>
      <c r="H15" s="438" t="s">
        <v>11</v>
      </c>
      <c r="I15" s="440">
        <f>AVERAGE(G15/24)</f>
        <v>9.9652083333333348</v>
      </c>
    </row>
    <row r="16" spans="1:11" ht="15.75" customHeight="1" thickTop="1" thickBot="1">
      <c r="B16" s="172" t="s">
        <v>713</v>
      </c>
      <c r="C16" s="154">
        <f>PGL_Supplies!R8/1000</f>
        <v>0</v>
      </c>
      <c r="D16" s="154">
        <f>PGL_Requirements!U8/1000</f>
        <v>40</v>
      </c>
      <c r="E16" s="161"/>
      <c r="F16" s="782" t="s">
        <v>570</v>
      </c>
      <c r="G16" s="448">
        <f>PGL_Requirements!H8/1000</f>
        <v>3.617</v>
      </c>
      <c r="H16" s="448" t="s">
        <v>11</v>
      </c>
      <c r="I16" s="440">
        <f>AVERAGE(G16/24)</f>
        <v>0.15070833333333333</v>
      </c>
    </row>
    <row r="17" spans="1:9" ht="15.75" customHeight="1" thickTop="1" thickBot="1">
      <c r="B17" s="435" t="s">
        <v>378</v>
      </c>
      <c r="C17" s="447">
        <f>SUM(C15:C16)-SUM(D15:D16)</f>
        <v>0</v>
      </c>
      <c r="D17" s="434"/>
      <c r="E17" s="436"/>
      <c r="F17" s="1090" t="s">
        <v>718</v>
      </c>
      <c r="G17" s="1180">
        <v>0</v>
      </c>
      <c r="H17" s="1089"/>
      <c r="I17" s="1181">
        <f>AVERAGE(G17/24)</f>
        <v>0</v>
      </c>
    </row>
    <row r="18" spans="1:9" ht="15.75" customHeight="1">
      <c r="B18" s="172" t="s">
        <v>374</v>
      </c>
      <c r="C18" s="154">
        <f>PGL_Supplies!C8/1000</f>
        <v>0</v>
      </c>
      <c r="D18" s="60"/>
      <c r="E18" s="161"/>
      <c r="F18" s="1088" t="s">
        <v>548</v>
      </c>
      <c r="G18" s="60" t="s">
        <v>11</v>
      </c>
      <c r="H18" s="60"/>
      <c r="I18" s="161"/>
    </row>
    <row r="19" spans="1:9" ht="15.75" customHeight="1" thickBot="1">
      <c r="B19" s="172" t="s">
        <v>375</v>
      </c>
      <c r="C19" s="60"/>
      <c r="D19" s="154">
        <f>PGL_Requirements!C8/1000</f>
        <v>0</v>
      </c>
      <c r="E19" s="161"/>
      <c r="F19" s="170" t="s">
        <v>549</v>
      </c>
      <c r="G19" s="168"/>
      <c r="H19" s="210">
        <f>PGL_Requirements!I8/1000</f>
        <v>0</v>
      </c>
      <c r="I19" s="443"/>
    </row>
    <row r="20" spans="1:9" ht="15.75" customHeight="1" thickTop="1" thickBot="1">
      <c r="B20" s="437" t="s">
        <v>554</v>
      </c>
      <c r="C20" s="448">
        <f>C17+C18-D19</f>
        <v>0</v>
      </c>
      <c r="D20" s="441" t="s">
        <v>11</v>
      </c>
      <c r="E20" s="440">
        <f>AVERAGE(C20/24)</f>
        <v>0</v>
      </c>
      <c r="F20" s="439" t="s">
        <v>183</v>
      </c>
      <c r="G20" s="60">
        <v>0</v>
      </c>
      <c r="H20" s="154" t="s">
        <v>11</v>
      </c>
      <c r="I20" s="161"/>
    </row>
    <row r="21" spans="1:9" ht="15.75" customHeight="1" thickTop="1">
      <c r="B21" s="172" t="s">
        <v>761</v>
      </c>
      <c r="C21" s="154">
        <f>PGL_Supplies!AA8/1000</f>
        <v>4.62</v>
      </c>
      <c r="D21" s="154" t="s">
        <v>11</v>
      </c>
      <c r="E21" s="161"/>
      <c r="F21" s="172" t="s">
        <v>109</v>
      </c>
      <c r="G21" s="154">
        <f>PGL_Supplies!AD8/1000</f>
        <v>0</v>
      </c>
      <c r="H21" s="154" t="s">
        <v>11</v>
      </c>
      <c r="I21" s="161"/>
    </row>
    <row r="22" spans="1:9" ht="15.75" customHeight="1">
      <c r="B22" s="435" t="s">
        <v>378</v>
      </c>
      <c r="C22" s="447">
        <f>SUM(C21:C21)-SUM(D21)</f>
        <v>4.62</v>
      </c>
      <c r="D22" s="434"/>
      <c r="E22" s="436"/>
      <c r="F22" s="435" t="s">
        <v>378</v>
      </c>
      <c r="G22" s="447">
        <f>G21</f>
        <v>0</v>
      </c>
      <c r="H22" s="434"/>
      <c r="I22" s="436"/>
    </row>
    <row r="23" spans="1:9" ht="15.75" customHeight="1">
      <c r="B23" s="172" t="s">
        <v>376</v>
      </c>
      <c r="C23" s="154">
        <f>PGL_Supplies!D8/1000</f>
        <v>0</v>
      </c>
      <c r="D23" s="60"/>
      <c r="E23" s="161"/>
      <c r="F23" s="172" t="s">
        <v>379</v>
      </c>
      <c r="G23" s="154">
        <f>PGL_Supplies!G8/1000</f>
        <v>0</v>
      </c>
      <c r="H23" s="60"/>
      <c r="I23" s="161"/>
    </row>
    <row r="24" spans="1:9" ht="15.75" customHeight="1" thickBot="1">
      <c r="B24" s="172" t="s">
        <v>377</v>
      </c>
      <c r="C24" s="60">
        <v>0</v>
      </c>
      <c r="D24" s="154">
        <f>PGL_Requirements!D8/1000</f>
        <v>4.62</v>
      </c>
      <c r="E24" s="161"/>
      <c r="F24" s="172" t="s">
        <v>380</v>
      </c>
      <c r="G24" s="60"/>
      <c r="H24" s="154">
        <f>PGL_Requirements!F8/1000</f>
        <v>0</v>
      </c>
      <c r="I24" s="161"/>
    </row>
    <row r="25" spans="1:9" ht="15.75" customHeight="1" thickTop="1" thickBot="1">
      <c r="B25" s="437" t="s">
        <v>553</v>
      </c>
      <c r="C25" s="448">
        <f>C22+C23-D24</f>
        <v>0</v>
      </c>
      <c r="D25" s="438"/>
      <c r="E25" s="440">
        <f>AVERAGE(C25/24)</f>
        <v>0</v>
      </c>
      <c r="F25" s="551" t="s">
        <v>551</v>
      </c>
      <c r="G25" s="905">
        <f>G22+G23-H24+G20</f>
        <v>0</v>
      </c>
      <c r="H25" s="430"/>
      <c r="I25" s="906">
        <f>AVERAGE(G25/24)</f>
        <v>0</v>
      </c>
    </row>
    <row r="26" spans="1:9" ht="15.75" customHeight="1" thickTop="1">
      <c r="B26" t="s">
        <v>715</v>
      </c>
    </row>
    <row r="27" spans="1:9" ht="15.75" customHeight="1">
      <c r="B27" t="s">
        <v>714</v>
      </c>
    </row>
    <row r="28" spans="1:9" ht="15.75" customHeight="1">
      <c r="A28" t="s">
        <v>11</v>
      </c>
    </row>
    <row r="29" spans="1:9" ht="15.75" customHeight="1"/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650</v>
      </c>
    </row>
    <row r="54" spans="1:1">
      <c r="A54" t="s">
        <v>11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/>
  </sheetViews>
  <sheetFormatPr defaultRowHeight="11.25"/>
  <cols>
    <col min="1" max="1" width="8.6640625" style="1045" customWidth="1"/>
    <col min="2" max="2" width="8.109375" style="1045" customWidth="1"/>
    <col min="3" max="3" width="7.88671875" style="1045" customWidth="1"/>
    <col min="4" max="4" width="5.88671875" style="1045" customWidth="1"/>
    <col min="5" max="5" width="4.44140625" style="1045" customWidth="1"/>
    <col min="6" max="6" width="5.21875" style="1045" customWidth="1"/>
    <col min="7" max="7" width="9" style="1045" customWidth="1"/>
    <col min="8" max="11" width="8.88671875" style="1045"/>
    <col min="12" max="12" width="14.88671875" style="1045" customWidth="1"/>
    <col min="13" max="13" width="5.6640625" style="1045" customWidth="1"/>
    <col min="14" max="16384" width="8.88671875" style="1045"/>
  </cols>
  <sheetData>
    <row r="1" spans="1:22" ht="22.5">
      <c r="A1" s="939"/>
      <c r="B1" s="935"/>
      <c r="C1" s="946" t="s">
        <v>654</v>
      </c>
      <c r="D1" s="943"/>
      <c r="E1" s="943" t="s">
        <v>655</v>
      </c>
      <c r="F1" s="943"/>
      <c r="G1" s="1043" t="s">
        <v>324</v>
      </c>
      <c r="H1" s="1044">
        <f>Weather_Input!A6</f>
        <v>37010</v>
      </c>
      <c r="I1" s="932"/>
      <c r="J1" s="934"/>
      <c r="K1" s="934"/>
    </row>
    <row r="2" spans="1:22" ht="16.5" customHeight="1">
      <c r="A2" s="952" t="s">
        <v>682</v>
      </c>
      <c r="C2" s="1046">
        <v>316</v>
      </c>
      <c r="F2" s="1047">
        <v>315</v>
      </c>
      <c r="H2" s="934"/>
      <c r="I2" s="932" t="s">
        <v>684</v>
      </c>
      <c r="J2" s="954">
        <f>NSG_Supplies!Q8/1000</f>
        <v>20</v>
      </c>
    </row>
    <row r="3" spans="1:22" ht="16.5" customHeight="1">
      <c r="A3" s="1048">
        <f>PGL_Supplies!J8/1000</f>
        <v>0</v>
      </c>
      <c r="C3" s="1045" t="s">
        <v>11</v>
      </c>
      <c r="G3" s="932"/>
      <c r="H3" s="934"/>
    </row>
    <row r="4" spans="1:22" ht="16.5" customHeight="1">
      <c r="A4" s="942" t="s">
        <v>656</v>
      </c>
      <c r="G4" s="960"/>
      <c r="H4" s="934"/>
      <c r="I4" s="932"/>
      <c r="J4" s="932" t="s">
        <v>680</v>
      </c>
      <c r="K4" s="954">
        <f>Billy_Sheet!C5</f>
        <v>0</v>
      </c>
      <c r="N4" s="954"/>
    </row>
    <row r="5" spans="1:22" ht="16.5" customHeight="1">
      <c r="A5" s="1049">
        <f>PGL_Supplies!K7/1000</f>
        <v>0</v>
      </c>
      <c r="B5" s="1050"/>
      <c r="G5" s="935"/>
      <c r="H5" s="954"/>
      <c r="U5" s="934"/>
      <c r="V5" s="934"/>
    </row>
    <row r="6" spans="1:22" ht="16.5" customHeight="1">
      <c r="A6" s="941" t="s">
        <v>652</v>
      </c>
      <c r="G6" s="935"/>
      <c r="H6" s="954"/>
      <c r="U6" s="934"/>
      <c r="V6" s="954"/>
    </row>
    <row r="7" spans="1:22" ht="18.75" customHeight="1">
      <c r="A7" s="954">
        <f>Billy_Sheet!G14</f>
        <v>0</v>
      </c>
      <c r="G7" s="935"/>
      <c r="H7" s="933"/>
      <c r="U7" s="934"/>
      <c r="V7" s="933"/>
    </row>
    <row r="8" spans="1:22" ht="14.45" customHeight="1">
      <c r="A8" s="932" t="s">
        <v>74</v>
      </c>
      <c r="G8" s="935"/>
      <c r="H8" s="932" t="s">
        <v>178</v>
      </c>
      <c r="I8" s="932"/>
      <c r="K8" s="932"/>
      <c r="L8" s="932"/>
      <c r="N8" s="932"/>
      <c r="O8" s="932"/>
      <c r="U8" s="934"/>
      <c r="V8" s="954"/>
    </row>
    <row r="9" spans="1:22" ht="14.45" customHeight="1">
      <c r="A9" s="954">
        <f>PGL_Supplies!I8/1000</f>
        <v>10</v>
      </c>
      <c r="H9" s="954">
        <v>0</v>
      </c>
      <c r="I9" s="1051"/>
      <c r="K9" s="932" t="s">
        <v>686</v>
      </c>
      <c r="L9" s="954">
        <f>NSG_Deliveries!C6/1000</f>
        <v>47</v>
      </c>
      <c r="N9" s="932"/>
      <c r="O9" s="954"/>
      <c r="U9" s="934"/>
      <c r="V9" s="954"/>
    </row>
    <row r="10" spans="1:22" ht="18" customHeight="1">
      <c r="A10" s="932" t="s">
        <v>68</v>
      </c>
      <c r="H10" s="961" t="s">
        <v>685</v>
      </c>
      <c r="U10" s="934"/>
      <c r="V10" s="954"/>
    </row>
    <row r="11" spans="1:22" ht="14.45" customHeight="1">
      <c r="A11" s="954">
        <f>Billy_Sheet!C20</f>
        <v>0</v>
      </c>
      <c r="B11" s="1051"/>
      <c r="H11" s="954">
        <f>NSG_Supplies!U8/1000</f>
        <v>0</v>
      </c>
      <c r="K11" s="935" t="s">
        <v>687</v>
      </c>
      <c r="L11" s="960">
        <f>SUM(K4+K17+K19+H11+H9-L9)</f>
        <v>-3.9999999999977831E-3</v>
      </c>
      <c r="N11" s="935"/>
      <c r="O11" s="960"/>
      <c r="U11" s="934"/>
      <c r="V11" s="948"/>
    </row>
    <row r="12" spans="1:22" ht="14.45" customHeight="1">
      <c r="A12" s="932" t="s">
        <v>748</v>
      </c>
      <c r="H12" s="954"/>
      <c r="U12" s="934"/>
      <c r="V12" s="954"/>
    </row>
    <row r="13" spans="1:22" ht="14.45" customHeight="1">
      <c r="A13" s="1049">
        <f>PGL_Supplies!Y8/1000</f>
        <v>159.39099999999999</v>
      </c>
      <c r="H13" s="954"/>
      <c r="U13" s="934"/>
      <c r="V13" s="954"/>
    </row>
    <row r="14" spans="1:22" ht="14.45" customHeight="1">
      <c r="H14" s="954"/>
      <c r="U14" s="934"/>
      <c r="V14" s="954"/>
    </row>
    <row r="15" spans="1:22" ht="15.6" customHeight="1">
      <c r="B15" s="1045" t="s">
        <v>11</v>
      </c>
      <c r="C15" s="1052">
        <v>320</v>
      </c>
      <c r="F15" s="1052">
        <v>320</v>
      </c>
      <c r="H15" s="960"/>
      <c r="U15" s="944"/>
      <c r="V15" s="960"/>
    </row>
    <row r="16" spans="1:22" ht="42.75" customHeight="1">
      <c r="A16" s="945"/>
      <c r="B16" s="960"/>
      <c r="C16" s="1053"/>
      <c r="D16" s="1054"/>
      <c r="E16" s="1054"/>
      <c r="F16" s="1053"/>
    </row>
    <row r="17" spans="1:17" ht="38.25" customHeight="1">
      <c r="B17" s="1054"/>
      <c r="C17" s="1054"/>
      <c r="D17" s="1055"/>
      <c r="E17" s="1054"/>
      <c r="F17" s="1054"/>
      <c r="G17" s="1054"/>
      <c r="J17" s="932" t="s">
        <v>326</v>
      </c>
      <c r="K17" s="954">
        <f>NSG_Supplies!L8/1000</f>
        <v>0</v>
      </c>
      <c r="N17" s="954"/>
    </row>
    <row r="18" spans="1:17" ht="15" customHeight="1">
      <c r="A18" s="940"/>
      <c r="C18" s="1052">
        <v>395</v>
      </c>
      <c r="D18" s="1054"/>
      <c r="E18" s="1054"/>
      <c r="F18" s="1047">
        <v>815</v>
      </c>
    </row>
    <row r="19" spans="1:17">
      <c r="A19" s="941" t="s">
        <v>653</v>
      </c>
      <c r="C19" s="1045" t="s">
        <v>11</v>
      </c>
      <c r="J19" s="932" t="s">
        <v>681</v>
      </c>
      <c r="K19" s="954">
        <f>NSG_Supplies!R8/1000+NSG_Supplies!F8/1000-NSG_Requirements!H8/1000</f>
        <v>46.996000000000002</v>
      </c>
      <c r="N19" s="1057"/>
    </row>
    <row r="20" spans="1:17" ht="17.25" customHeight="1">
      <c r="A20" s="954">
        <f>Billy_Sheet!G15</f>
        <v>239.16500000000002</v>
      </c>
      <c r="G20" s="433"/>
      <c r="J20" s="932"/>
    </row>
    <row r="21" spans="1:17" ht="11.25" customHeight="1">
      <c r="G21" s="933"/>
      <c r="H21" s="933"/>
      <c r="I21" s="935"/>
      <c r="J21" s="960"/>
    </row>
    <row r="22" spans="1:17">
      <c r="A22" s="934" t="s">
        <v>181</v>
      </c>
      <c r="G22" s="932"/>
      <c r="I22" s="935"/>
      <c r="J22" s="932"/>
      <c r="M22" s="935"/>
      <c r="N22" s="960"/>
    </row>
    <row r="23" spans="1:17">
      <c r="A23" s="954">
        <f>Billy_Sheet!C25</f>
        <v>0</v>
      </c>
      <c r="G23" s="932" t="s">
        <v>763</v>
      </c>
      <c r="H23" s="934"/>
      <c r="I23" s="935"/>
      <c r="J23" s="960"/>
      <c r="M23" s="932"/>
      <c r="N23" s="960"/>
      <c r="Q23" s="1058"/>
    </row>
    <row r="24" spans="1:17" ht="9" customHeight="1">
      <c r="G24" s="960">
        <v>0</v>
      </c>
      <c r="H24" s="935"/>
      <c r="I24" s="935"/>
      <c r="J24" s="935"/>
    </row>
    <row r="25" spans="1:17" ht="10.5" customHeight="1">
      <c r="A25" s="934" t="s">
        <v>183</v>
      </c>
      <c r="B25" s="934"/>
      <c r="C25" s="934"/>
      <c r="D25" s="934"/>
      <c r="F25" s="934"/>
      <c r="G25" s="932" t="s">
        <v>689</v>
      </c>
      <c r="H25" s="935"/>
      <c r="I25" s="935"/>
      <c r="J25" s="935"/>
    </row>
    <row r="26" spans="1:17" ht="14.25" customHeight="1">
      <c r="A26" s="954">
        <f>Billy_Sheet!G25</f>
        <v>0</v>
      </c>
      <c r="B26" s="934"/>
      <c r="C26" s="935"/>
      <c r="D26" s="935"/>
      <c r="F26" s="935"/>
      <c r="G26" s="1056">
        <v>0.98099999999999998</v>
      </c>
      <c r="H26" s="935"/>
      <c r="I26" s="935"/>
      <c r="J26" s="935" t="s">
        <v>575</v>
      </c>
      <c r="K26" s="1059">
        <f>PGL_Deliveries!C6/1000</f>
        <v>250</v>
      </c>
      <c r="L26" s="932" t="s">
        <v>686</v>
      </c>
      <c r="M26" s="954">
        <f>NSG_Deliveries!C6/1000</f>
        <v>47</v>
      </c>
      <c r="N26" s="954"/>
    </row>
    <row r="27" spans="1:17" ht="8.25" customHeight="1">
      <c r="A27" s="935"/>
      <c r="B27" s="956"/>
      <c r="C27" s="935"/>
      <c r="D27" s="935"/>
      <c r="F27" s="935"/>
      <c r="G27" s="935"/>
      <c r="H27" s="936"/>
      <c r="I27" s="935"/>
      <c r="J27" s="936"/>
    </row>
    <row r="28" spans="1:17" ht="12.75" customHeight="1">
      <c r="A28" s="943" t="s">
        <v>657</v>
      </c>
      <c r="B28" s="954"/>
      <c r="C28" s="934"/>
      <c r="D28" s="935"/>
      <c r="F28" s="932"/>
      <c r="G28" s="944" t="s">
        <v>662</v>
      </c>
      <c r="H28" s="433"/>
      <c r="J28" s="935" t="s">
        <v>688</v>
      </c>
      <c r="K28" s="960">
        <f>SUM(A42)</f>
        <v>205.93900000000005</v>
      </c>
      <c r="L28" s="935" t="s">
        <v>740</v>
      </c>
      <c r="M28" s="960">
        <f>SUM(J2+K17+K19+H11+H9-M26)</f>
        <v>19.996000000000009</v>
      </c>
      <c r="N28" s="960"/>
    </row>
    <row r="29" spans="1:17">
      <c r="A29" s="954">
        <f>PGL_Supplies!M8/1000</f>
        <v>0</v>
      </c>
      <c r="B29" s="954"/>
      <c r="C29" s="935"/>
      <c r="D29" s="1060"/>
      <c r="F29" s="1112">
        <f>PGL_Requirements!A7</f>
        <v>37009</v>
      </c>
      <c r="G29" s="954">
        <f>PGL_Requirements!H7/1000</f>
        <v>20.364000000000001</v>
      </c>
      <c r="H29" s="933"/>
      <c r="J29" s="935" t="s">
        <v>690</v>
      </c>
      <c r="K29" s="954">
        <f>PGL_Supplies!AC8/1000+PGL_Supplies!L8/1000-PGL_Requirements!O8/1000</f>
        <v>62.290000000000006</v>
      </c>
    </row>
    <row r="30" spans="1:17" ht="10.5" customHeight="1">
      <c r="A30" s="937"/>
      <c r="B30" s="954"/>
      <c r="C30" s="935"/>
      <c r="D30" s="954"/>
      <c r="F30" s="1112">
        <f>PGL_Requirements!A8</f>
        <v>37010</v>
      </c>
      <c r="G30" s="954">
        <f>PGL_Requirements!H8/1000</f>
        <v>3.617</v>
      </c>
    </row>
    <row r="31" spans="1:17" ht="17.25" customHeight="1">
      <c r="A31" s="943" t="s">
        <v>659</v>
      </c>
      <c r="B31" s="1061"/>
      <c r="C31" s="938"/>
      <c r="D31" s="960"/>
      <c r="G31" s="944" t="s">
        <v>660</v>
      </c>
      <c r="H31" s="960"/>
      <c r="J31" s="935" t="s">
        <v>687</v>
      </c>
      <c r="K31" s="960">
        <f>SUM(K28+K29-K26)</f>
        <v>18.229000000000042</v>
      </c>
    </row>
    <row r="32" spans="1:17">
      <c r="A32" s="954">
        <f>PGL_Supplies!H8/1000</f>
        <v>1</v>
      </c>
      <c r="G32" s="954">
        <f>PGL_Requirements!P8/1000</f>
        <v>200</v>
      </c>
    </row>
    <row r="33" spans="1:11" ht="6.75" customHeight="1"/>
    <row r="34" spans="1:11">
      <c r="A34" s="932" t="s">
        <v>658</v>
      </c>
      <c r="G34" s="935" t="s">
        <v>661</v>
      </c>
    </row>
    <row r="35" spans="1:11">
      <c r="A35" s="1056">
        <v>0</v>
      </c>
      <c r="G35" s="954">
        <f>PGL_Requirements!B8/1000</f>
        <v>0</v>
      </c>
    </row>
    <row r="36" spans="1:11">
      <c r="G36" s="954"/>
    </row>
    <row r="37" spans="1:11">
      <c r="C37" s="932" t="s">
        <v>664</v>
      </c>
      <c r="F37" s="932" t="s">
        <v>665</v>
      </c>
      <c r="G37" s="954"/>
    </row>
    <row r="38" spans="1:11">
      <c r="C38" s="1052">
        <v>456</v>
      </c>
      <c r="F38" s="1052">
        <v>753</v>
      </c>
    </row>
    <row r="39" spans="1:11">
      <c r="A39" s="952" t="s">
        <v>739</v>
      </c>
      <c r="E39" s="934" t="s">
        <v>663</v>
      </c>
      <c r="F39" s="934"/>
    </row>
    <row r="40" spans="1:11">
      <c r="A40" s="960">
        <f>SUM(A3:A35)</f>
        <v>409.55600000000004</v>
      </c>
      <c r="B40" s="948"/>
      <c r="C40" s="947"/>
      <c r="D40" s="948"/>
      <c r="E40" s="948"/>
      <c r="F40" s="1062"/>
      <c r="G40" s="1062">
        <f>SUM(G30:G35)</f>
        <v>203.61699999999999</v>
      </c>
      <c r="H40" s="950"/>
      <c r="I40" s="949"/>
    </row>
    <row r="41" spans="1:11">
      <c r="A41" s="951" t="s">
        <v>679</v>
      </c>
      <c r="B41" s="954"/>
      <c r="C41" s="948"/>
      <c r="D41" s="948"/>
      <c r="E41" s="948"/>
      <c r="F41" s="948"/>
      <c r="G41" s="948"/>
      <c r="H41" s="948"/>
      <c r="I41" s="947"/>
    </row>
    <row r="42" spans="1:11">
      <c r="A42" s="954">
        <f>SUM(A40-G40)</f>
        <v>205.93900000000005</v>
      </c>
      <c r="B42" s="954"/>
      <c r="C42" s="948"/>
      <c r="D42" s="948"/>
      <c r="E42" s="948"/>
      <c r="F42" s="957"/>
      <c r="G42" s="959" t="s">
        <v>683</v>
      </c>
      <c r="H42" s="1063"/>
      <c r="I42" s="1064"/>
      <c r="J42" s="1063"/>
      <c r="K42" s="1054"/>
    </row>
    <row r="43" spans="1:11" ht="14.25" customHeight="1">
      <c r="A43" s="954"/>
      <c r="B43" s="954"/>
      <c r="C43" s="954"/>
      <c r="D43" s="954"/>
      <c r="E43" s="957"/>
      <c r="F43" s="956" t="s">
        <v>678</v>
      </c>
      <c r="G43" s="957" t="s">
        <v>677</v>
      </c>
      <c r="I43" s="954"/>
    </row>
    <row r="44" spans="1:11" ht="12.75" customHeight="1">
      <c r="A44" s="951" t="s">
        <v>666</v>
      </c>
      <c r="B44" s="954" t="s">
        <v>671</v>
      </c>
      <c r="C44" s="954" t="s">
        <v>672</v>
      </c>
      <c r="D44" s="954" t="s">
        <v>673</v>
      </c>
      <c r="E44" s="955"/>
      <c r="F44" s="955" t="s">
        <v>674</v>
      </c>
      <c r="G44" s="948" t="s">
        <v>676</v>
      </c>
      <c r="H44" s="934" t="s">
        <v>675</v>
      </c>
      <c r="I44" s="954"/>
      <c r="K44" s="934"/>
    </row>
    <row r="45" spans="1:11">
      <c r="A45" s="951" t="s">
        <v>670</v>
      </c>
      <c r="B45" s="1065">
        <v>250</v>
      </c>
      <c r="C45" s="1065">
        <v>410</v>
      </c>
      <c r="D45" s="1066">
        <f>SUM(F2+F15)/2</f>
        <v>317.5</v>
      </c>
      <c r="E45" s="1067"/>
      <c r="F45" s="1068">
        <v>6.7000000000000004E-2</v>
      </c>
      <c r="G45" s="1069">
        <f>(C45-D45)*F45</f>
        <v>6.1975000000000007</v>
      </c>
      <c r="H45" s="1069">
        <f>(D45-B45)*F45</f>
        <v>4.5225</v>
      </c>
      <c r="I45" s="954"/>
      <c r="J45" s="1070"/>
    </row>
    <row r="46" spans="1:11">
      <c r="A46" s="934" t="s">
        <v>667</v>
      </c>
      <c r="B46" s="1071">
        <v>797</v>
      </c>
      <c r="C46" s="1065">
        <v>797</v>
      </c>
      <c r="D46" s="1066">
        <v>797</v>
      </c>
      <c r="E46" s="1067"/>
      <c r="F46" s="1068">
        <v>0.13900000000000001</v>
      </c>
      <c r="G46" s="1069">
        <f>(C46-D46)*F46</f>
        <v>0</v>
      </c>
      <c r="H46" s="1069">
        <f>(D46-B46)*F46</f>
        <v>0</v>
      </c>
      <c r="I46" s="954"/>
    </row>
    <row r="47" spans="1:11">
      <c r="A47" s="934" t="s">
        <v>668</v>
      </c>
      <c r="B47" s="1071">
        <v>250</v>
      </c>
      <c r="C47" s="1065">
        <v>410</v>
      </c>
      <c r="D47" s="1066">
        <f>SUM(C2+C15)/2</f>
        <v>318</v>
      </c>
      <c r="E47" s="1067"/>
      <c r="F47" s="1068">
        <v>0.14099999999999999</v>
      </c>
      <c r="G47" s="1069">
        <f>(C47-D47)*F47</f>
        <v>12.972</v>
      </c>
      <c r="H47" s="1069">
        <f>(D47-B47)*F47</f>
        <v>9.5879999999999992</v>
      </c>
      <c r="I47" s="954"/>
    </row>
    <row r="48" spans="1:11">
      <c r="A48" s="934" t="s">
        <v>669</v>
      </c>
      <c r="B48" s="1071">
        <v>285</v>
      </c>
      <c r="C48" s="1065">
        <v>750</v>
      </c>
      <c r="D48" s="1066">
        <f>SUM(C18+C38)/2</f>
        <v>425.5</v>
      </c>
      <c r="E48" s="1067"/>
      <c r="F48" s="1068">
        <v>0.161</v>
      </c>
      <c r="G48" s="1069">
        <f>(C48-D48)*F48</f>
        <v>52.244500000000002</v>
      </c>
      <c r="H48" s="1069">
        <f>(D48-B48)*F48</f>
        <v>22.6205</v>
      </c>
    </row>
    <row r="49" spans="1:8">
      <c r="B49" s="1051"/>
      <c r="C49" s="1051"/>
      <c r="D49" s="1051"/>
      <c r="E49" s="1051"/>
      <c r="F49" s="958" t="s">
        <v>359</v>
      </c>
      <c r="G49" s="1069">
        <f>SUM(G45:G48)</f>
        <v>71.414000000000001</v>
      </c>
      <c r="H49" s="1069">
        <f>SUM(H45:H48)</f>
        <v>36.730999999999995</v>
      </c>
    </row>
    <row r="55" spans="1:8">
      <c r="A55" s="1072"/>
      <c r="G55" s="1072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>
      <selection activeCell="F5" sqref="F5"/>
    </sheetView>
  </sheetViews>
  <sheetFormatPr defaultColWidth="3.88671875" defaultRowHeight="12.75"/>
  <cols>
    <col min="1" max="1" width="8" style="15" customWidth="1"/>
    <col min="2" max="2" width="3.77734375" style="15" customWidth="1"/>
    <col min="3" max="3" width="3.5546875" style="15" customWidth="1"/>
    <col min="4" max="4" width="8.6640625" style="15" customWidth="1"/>
    <col min="5" max="5" width="6.21875" style="15" customWidth="1"/>
    <col min="6" max="6" width="8.33203125" style="15" customWidth="1"/>
    <col min="7" max="7" width="6.77734375" style="15" customWidth="1"/>
    <col min="8" max="8" width="5.33203125" style="15" customWidth="1"/>
    <col min="9" max="9" width="56.5546875" style="15" customWidth="1"/>
    <col min="10" max="10" width="58.109375" style="15" customWidth="1"/>
    <col min="11" max="11" width="3.6640625" style="15" hidden="1" customWidth="1"/>
    <col min="12" max="12" width="9" style="15" customWidth="1"/>
    <col min="13" max="33" width="3.88671875" style="15" customWidth="1"/>
    <col min="34" max="34" width="7.109375" style="15" customWidth="1"/>
    <col min="35" max="16384" width="3.88671875" style="15"/>
  </cols>
  <sheetData>
    <row r="1" spans="1:34">
      <c r="A1" s="86" t="s">
        <v>13</v>
      </c>
      <c r="AH1" s="15" t="s">
        <v>14</v>
      </c>
    </row>
    <row r="2" spans="1:34">
      <c r="E2" s="87" t="s">
        <v>15</v>
      </c>
      <c r="F2" s="87" t="s">
        <v>15</v>
      </c>
      <c r="G2" s="87" t="s">
        <v>15</v>
      </c>
      <c r="H2" s="87"/>
      <c r="L2" s="87"/>
      <c r="AH2" s="15" t="s">
        <v>16</v>
      </c>
    </row>
    <row r="3" spans="1:34">
      <c r="B3" s="87"/>
      <c r="C3" s="87"/>
      <c r="D3" s="87" t="s">
        <v>17</v>
      </c>
      <c r="E3" s="87" t="s">
        <v>17</v>
      </c>
      <c r="F3" s="87" t="s">
        <v>18</v>
      </c>
      <c r="G3" s="87" t="s">
        <v>19</v>
      </c>
      <c r="H3" s="87" t="s">
        <v>20</v>
      </c>
      <c r="L3" s="87" t="s">
        <v>21</v>
      </c>
      <c r="AH3" s="15" t="s">
        <v>22</v>
      </c>
    </row>
    <row r="4" spans="1:34">
      <c r="A4" s="16"/>
      <c r="B4" s="87" t="s">
        <v>23</v>
      </c>
      <c r="C4" s="87" t="s">
        <v>24</v>
      </c>
      <c r="D4" s="87" t="s">
        <v>25</v>
      </c>
      <c r="E4" s="87" t="s">
        <v>26</v>
      </c>
      <c r="F4" s="87" t="s">
        <v>27</v>
      </c>
      <c r="G4" s="87" t="s">
        <v>20</v>
      </c>
      <c r="H4" s="87" t="s">
        <v>28</v>
      </c>
      <c r="I4" s="150" t="s">
        <v>29</v>
      </c>
      <c r="J4" s="87" t="s">
        <v>30</v>
      </c>
      <c r="K4" s="87" t="s">
        <v>31</v>
      </c>
      <c r="L4" s="87" t="s">
        <v>32</v>
      </c>
      <c r="AH4" s="15" t="s">
        <v>33</v>
      </c>
    </row>
    <row r="5" spans="1:34" ht="16.5" customHeight="1">
      <c r="A5" s="88">
        <v>37009</v>
      </c>
      <c r="B5" s="11">
        <v>65</v>
      </c>
      <c r="C5" s="49">
        <v>46</v>
      </c>
      <c r="D5" s="49">
        <v>8.6999999999999993</v>
      </c>
      <c r="E5" s="11">
        <v>55.3</v>
      </c>
      <c r="F5" s="11">
        <v>370</v>
      </c>
      <c r="G5" s="11">
        <v>6403</v>
      </c>
      <c r="H5" s="11">
        <v>12</v>
      </c>
      <c r="I5" s="911" t="s">
        <v>789</v>
      </c>
      <c r="J5" s="911" t="s">
        <v>11</v>
      </c>
      <c r="K5" s="11">
        <v>3</v>
      </c>
      <c r="L5" s="11">
        <v>1</v>
      </c>
      <c r="N5" s="15" t="str">
        <f>I5&amp;" "&amp;I5</f>
        <v xml:space="preserve">  INTERVALS OF CLOUDS AND SUN.   INTERVALS OF CLOUDS AND SUN.</v>
      </c>
      <c r="AE5" s="15">
        <v>1</v>
      </c>
      <c r="AH5" s="15" t="s">
        <v>34</v>
      </c>
    </row>
    <row r="6" spans="1:34" ht="16.5" customHeight="1">
      <c r="A6" s="88">
        <f>A5+1</f>
        <v>37010</v>
      </c>
      <c r="B6" s="11">
        <v>78</v>
      </c>
      <c r="C6" s="49">
        <v>56</v>
      </c>
      <c r="D6" s="49">
        <v>15</v>
      </c>
      <c r="E6" s="11" t="s">
        <v>11</v>
      </c>
      <c r="F6" s="11" t="s">
        <v>11</v>
      </c>
      <c r="G6" s="11"/>
      <c r="H6" s="11" t="s">
        <v>11</v>
      </c>
      <c r="I6" s="911" t="s">
        <v>788</v>
      </c>
      <c r="J6" s="911" t="s">
        <v>11</v>
      </c>
      <c r="K6" s="11">
        <v>1</v>
      </c>
      <c r="L6" s="11" t="s">
        <v>628</v>
      </c>
      <c r="N6" s="15" t="str">
        <f>I6&amp;" "&amp;J6</f>
        <v xml:space="preserve">  SEVERAL HOURS OF SUNSHINE.  </v>
      </c>
      <c r="AE6" s="15">
        <v>1</v>
      </c>
      <c r="AH6" s="15" t="s">
        <v>35</v>
      </c>
    </row>
    <row r="7" spans="1:34" ht="16.5" customHeight="1">
      <c r="A7" s="88">
        <f>A6+1</f>
        <v>37011</v>
      </c>
      <c r="B7" s="11">
        <v>82</v>
      </c>
      <c r="C7" s="49">
        <v>58</v>
      </c>
      <c r="D7" s="49">
        <v>15</v>
      </c>
      <c r="E7" s="11" t="s">
        <v>11</v>
      </c>
      <c r="F7" s="11" t="s">
        <v>11</v>
      </c>
      <c r="G7" s="11"/>
      <c r="H7" s="11" t="s">
        <v>11</v>
      </c>
      <c r="I7" s="911" t="s">
        <v>790</v>
      </c>
      <c r="J7" s="911" t="s">
        <v>11</v>
      </c>
      <c r="K7" s="11">
        <v>3</v>
      </c>
      <c r="L7" s="11" t="s">
        <v>22</v>
      </c>
      <c r="N7" s="15" t="str">
        <f>I7&amp;" "&amp;J7</f>
        <v xml:space="preserve">  SOME SUNSHINE WITH A CHANCE OF A THUNDERSTORM IN THE AFTERNOON.  </v>
      </c>
    </row>
    <row r="8" spans="1:34" ht="16.5" customHeight="1">
      <c r="A8" s="88">
        <f>A7+1</f>
        <v>37012</v>
      </c>
      <c r="B8" s="11">
        <v>84</v>
      </c>
      <c r="C8" s="49">
        <v>63</v>
      </c>
      <c r="D8" s="49">
        <v>15</v>
      </c>
      <c r="E8" s="11" t="s">
        <v>11</v>
      </c>
      <c r="F8" s="11" t="s">
        <v>11</v>
      </c>
      <c r="G8" s="11"/>
      <c r="H8" s="11" t="s">
        <v>11</v>
      </c>
      <c r="I8" s="911" t="s">
        <v>791</v>
      </c>
      <c r="J8" s="911" t="s">
        <v>11</v>
      </c>
      <c r="K8" s="11">
        <v>3</v>
      </c>
      <c r="L8" s="11"/>
      <c r="N8" s="15" t="str">
        <f>I8&amp;" "&amp;J8</f>
        <v xml:space="preserve">  PARTLY SUNNY.  </v>
      </c>
    </row>
    <row r="9" spans="1:34" ht="16.5" customHeight="1">
      <c r="A9" s="88">
        <f>A8+1</f>
        <v>37013</v>
      </c>
      <c r="B9" s="11">
        <v>84</v>
      </c>
      <c r="C9" s="49">
        <v>63</v>
      </c>
      <c r="D9" s="49">
        <v>10</v>
      </c>
      <c r="E9" s="11" t="s">
        <v>11</v>
      </c>
      <c r="F9" s="11" t="s">
        <v>11</v>
      </c>
      <c r="G9" s="11"/>
      <c r="H9" s="11" t="s">
        <v>11</v>
      </c>
      <c r="I9" s="911" t="s">
        <v>791</v>
      </c>
      <c r="J9" s="911" t="s">
        <v>11</v>
      </c>
      <c r="K9" s="11">
        <v>3</v>
      </c>
      <c r="L9" s="11">
        <v>0</v>
      </c>
      <c r="M9" s="89"/>
      <c r="N9" s="15" t="str">
        <f>I10&amp;" "&amp;J9</f>
        <v xml:space="preserve">  PARTLY SUNNY.  </v>
      </c>
    </row>
    <row r="10" spans="1:34" ht="16.5" customHeight="1">
      <c r="A10" s="88">
        <f>A9+1</f>
        <v>37014</v>
      </c>
      <c r="B10" s="11">
        <v>80</v>
      </c>
      <c r="C10" s="49">
        <v>65</v>
      </c>
      <c r="D10" s="49">
        <v>10</v>
      </c>
      <c r="E10" s="11" t="s">
        <v>11</v>
      </c>
      <c r="F10" s="11" t="s">
        <v>11</v>
      </c>
      <c r="G10" s="11"/>
      <c r="H10" s="11" t="s">
        <v>11</v>
      </c>
      <c r="I10" s="911" t="s">
        <v>791</v>
      </c>
      <c r="J10" s="911" t="s">
        <v>11</v>
      </c>
      <c r="K10" s="11">
        <v>3</v>
      </c>
      <c r="L10" s="11" t="s">
        <v>414</v>
      </c>
    </row>
    <row r="11" spans="1:34" ht="16.5" customHeight="1">
      <c r="G11"/>
    </row>
    <row r="12" spans="1:34" ht="15.75">
      <c r="E12" s="85"/>
      <c r="F12" s="85"/>
      <c r="G12" s="464"/>
      <c r="H12" s="85"/>
      <c r="I12" s="85"/>
      <c r="J12" s="85"/>
    </row>
    <row r="13" spans="1:34" ht="15">
      <c r="E13" s="85"/>
      <c r="F13" s="85"/>
      <c r="G13" s="482" t="s">
        <v>11</v>
      </c>
      <c r="H13" s="85"/>
      <c r="I13" s="85"/>
      <c r="J13" s="85"/>
    </row>
    <row r="14" spans="1:34" ht="15">
      <c r="E14" s="85"/>
      <c r="F14" s="85"/>
      <c r="G14" s="465"/>
      <c r="H14" s="85"/>
      <c r="I14" s="85"/>
      <c r="J14" s="85"/>
    </row>
    <row r="15" spans="1:34">
      <c r="E15" s="85"/>
      <c r="F15" s="85"/>
      <c r="G15" s="481" t="s">
        <v>11</v>
      </c>
      <c r="H15" s="85"/>
      <c r="I15" s="85"/>
      <c r="J15" s="85"/>
    </row>
    <row r="16" spans="1:34">
      <c r="E16" s="85"/>
      <c r="F16" s="85"/>
      <c r="G16" s="11"/>
      <c r="H16" s="85"/>
      <c r="I16" s="85"/>
      <c r="J16" s="85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9525</xdr:rowOff>
                  </from>
                  <to>
                    <xdr:col>12</xdr:col>
                    <xdr:colOff>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9525</xdr:rowOff>
                  </from>
                  <to>
                    <xdr:col>12</xdr:col>
                    <xdr:colOff>0</xdr:colOff>
                    <xdr:row>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9525</xdr:rowOff>
                  </from>
                  <to>
                    <xdr:col>12</xdr:col>
                    <xdr:colOff>0</xdr:colOff>
                    <xdr:row>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9525</xdr:rowOff>
                  </from>
                  <to>
                    <xdr:col>12</xdr:col>
                    <xdr:colOff>0</xdr:colOff>
                    <xdr:row>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9525</xdr:rowOff>
                  </from>
                  <to>
                    <xdr:col>12</xdr:col>
                    <xdr:colOff>0</xdr:colOff>
                    <xdr:row>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9525</xdr:rowOff>
                  </from>
                  <to>
                    <xdr:col>12</xdr:col>
                    <xdr:colOff>0</xdr:colOff>
                    <xdr:row>9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topLeftCell="A15" zoomScale="75" workbookViewId="0">
      <selection activeCell="E40" sqref="E40"/>
    </sheetView>
  </sheetViews>
  <sheetFormatPr defaultRowHeight="12.75" outlineLevelRow="2"/>
  <cols>
    <col min="1" max="1" width="22.109375" style="1" customWidth="1"/>
    <col min="2" max="2" width="9.5546875" style="1" customWidth="1"/>
    <col min="3" max="3" width="8.21875" style="1" customWidth="1"/>
    <col min="4" max="4" width="20.88671875" style="1" customWidth="1"/>
    <col min="5" max="5" width="10.77734375" style="1" customWidth="1"/>
    <col min="6" max="6" width="8.33203125" style="1" customWidth="1"/>
    <col min="7" max="7" width="22.44140625" style="1" customWidth="1"/>
    <col min="8" max="8" width="21.109375" style="1" customWidth="1"/>
    <col min="9" max="10" width="8.88671875" style="1"/>
    <col min="11" max="11" width="23.109375" style="1" customWidth="1"/>
    <col min="12" max="16384" width="8.88671875" style="1"/>
  </cols>
  <sheetData>
    <row r="1" spans="1:13" ht="15">
      <c r="A1"/>
      <c r="B1"/>
      <c r="D1"/>
      <c r="E1" t="s">
        <v>11</v>
      </c>
      <c r="H1"/>
      <c r="I1"/>
      <c r="J1"/>
      <c r="K1"/>
      <c r="L1"/>
      <c r="M1"/>
    </row>
    <row r="2" spans="1:13" ht="16.5" thickBot="1">
      <c r="A2" s="124" t="s">
        <v>575</v>
      </c>
      <c r="B2" s="186">
        <f>PGL_Deliveries!U5/1000</f>
        <v>303.221</v>
      </c>
      <c r="C2" s="60"/>
      <c r="D2" s="121" t="s">
        <v>324</v>
      </c>
      <c r="E2" s="426">
        <f>Weather_Input!A5</f>
        <v>37009</v>
      </c>
      <c r="F2" s="60"/>
      <c r="H2"/>
      <c r="I2"/>
      <c r="J2"/>
      <c r="K2"/>
      <c r="L2"/>
      <c r="M2"/>
    </row>
    <row r="3" spans="1:13" ht="15">
      <c r="A3" s="99" t="s">
        <v>576</v>
      </c>
      <c r="B3" s="632">
        <f>PGL_Supplies!J7/1000</f>
        <v>0</v>
      </c>
      <c r="C3" s="185"/>
      <c r="D3" s="1128" t="s">
        <v>772</v>
      </c>
      <c r="E3" s="807">
        <f>PGL_Deliveries!T5/1000</f>
        <v>0</v>
      </c>
      <c r="F3" s="184"/>
      <c r="H3"/>
      <c r="I3"/>
      <c r="J3"/>
      <c r="K3"/>
      <c r="L3"/>
      <c r="M3"/>
    </row>
    <row r="4" spans="1:13" ht="15.75" thickBot="1">
      <c r="A4" s="102"/>
      <c r="B4" s="163"/>
      <c r="C4" s="160"/>
      <c r="D4" s="788"/>
      <c r="E4" s="168"/>
      <c r="F4" s="167"/>
      <c r="H4"/>
      <c r="I4"/>
      <c r="J4"/>
      <c r="K4"/>
      <c r="L4"/>
      <c r="M4"/>
    </row>
    <row r="5" spans="1:13" ht="15">
      <c r="A5" s="183" t="s">
        <v>579</v>
      </c>
      <c r="B5" s="154">
        <f>PGL_Deliveries!D5/1000</f>
        <v>72.174999999999997</v>
      </c>
      <c r="C5" s="64"/>
      <c r="D5" s="59" t="s">
        <v>577</v>
      </c>
      <c r="E5" s="154">
        <f>PGL_Deliveries!O5/1000</f>
        <v>8.1000000000000003E-2</v>
      </c>
      <c r="F5" s="171"/>
      <c r="H5"/>
      <c r="I5"/>
      <c r="J5"/>
      <c r="K5"/>
      <c r="L5"/>
      <c r="M5"/>
    </row>
    <row r="6" spans="1:13" ht="15.75" thickBot="1">
      <c r="A6" s="182" t="s">
        <v>254</v>
      </c>
      <c r="B6" s="154">
        <f>PGL_Deliveries!I5/1000</f>
        <v>151.495</v>
      </c>
      <c r="C6" s="169"/>
      <c r="D6" s="59" t="s">
        <v>578</v>
      </c>
      <c r="E6" s="154">
        <f>PGL_Deliveries!P5/1000</f>
        <v>0.76500000000000001</v>
      </c>
      <c r="F6" s="171"/>
      <c r="H6"/>
      <c r="I6"/>
      <c r="J6"/>
      <c r="K6"/>
      <c r="L6"/>
      <c r="M6"/>
    </row>
    <row r="7" spans="1:13" ht="16.5" thickBot="1">
      <c r="A7" s="181" t="s">
        <v>581</v>
      </c>
      <c r="B7" s="228">
        <f>SUM(B5:B6)</f>
        <v>223.67000000000002</v>
      </c>
      <c r="C7" s="169"/>
      <c r="D7" s="117" t="s">
        <v>208</v>
      </c>
      <c r="E7" s="154">
        <f>PGL_Deliveries!E5/1000</f>
        <v>0</v>
      </c>
      <c r="F7" s="171"/>
      <c r="H7"/>
      <c r="I7"/>
      <c r="J7"/>
      <c r="K7"/>
      <c r="L7"/>
      <c r="M7"/>
    </row>
    <row r="8" spans="1:13" ht="15">
      <c r="A8" s="444" t="s">
        <v>748</v>
      </c>
      <c r="B8" s="154">
        <f>PGL_Deliveries!V5/1000</f>
        <v>112.449</v>
      </c>
      <c r="C8" s="631"/>
      <c r="D8" s="117" t="s">
        <v>580</v>
      </c>
      <c r="E8" s="154">
        <f>PGL_Deliveries!N5/1000</f>
        <v>0.16200000000000001</v>
      </c>
      <c r="F8" s="171"/>
      <c r="H8"/>
      <c r="I8"/>
      <c r="J8"/>
      <c r="K8"/>
      <c r="L8"/>
      <c r="M8"/>
    </row>
    <row r="9" spans="1:13" ht="15">
      <c r="A9" s="172" t="s">
        <v>68</v>
      </c>
      <c r="B9" s="154">
        <f>PGL_Deliveries!W5/1000</f>
        <v>0</v>
      </c>
      <c r="C9" s="64"/>
      <c r="D9" s="117" t="s">
        <v>211</v>
      </c>
      <c r="E9" s="154">
        <f>PGL_Deliveries!Q5/1000</f>
        <v>0.19800000000000001</v>
      </c>
      <c r="F9" s="171"/>
      <c r="H9"/>
      <c r="I9"/>
      <c r="J9"/>
      <c r="K9"/>
      <c r="L9"/>
      <c r="M9"/>
    </row>
    <row r="10" spans="1:13" ht="15">
      <c r="A10" s="172" t="s">
        <v>181</v>
      </c>
      <c r="B10" s="154">
        <f>PGL_Deliveries!X5/1000</f>
        <v>0</v>
      </c>
      <c r="C10" s="64"/>
      <c r="D10" s="117" t="s">
        <v>213</v>
      </c>
      <c r="E10" s="154">
        <f>PGL_Deliveries!S5/1000</f>
        <v>3.9870000000000001</v>
      </c>
      <c r="F10" s="171"/>
      <c r="H10"/>
      <c r="I10"/>
      <c r="J10"/>
      <c r="K10"/>
      <c r="L10"/>
      <c r="M10"/>
    </row>
    <row r="11" spans="1:13" ht="15">
      <c r="A11" s="173" t="s">
        <v>74</v>
      </c>
      <c r="B11" s="154">
        <f>(PGL_Deliveries!AJ5+PGL_Deliveries!AK5)/1000</f>
        <v>13.301</v>
      </c>
      <c r="C11" s="64"/>
      <c r="D11" s="117" t="s">
        <v>582</v>
      </c>
      <c r="E11" s="154">
        <f>PGL_Deliveries!R5/1000</f>
        <v>1.1659999999999999</v>
      </c>
      <c r="F11" s="171"/>
      <c r="H11"/>
      <c r="I11"/>
      <c r="J11"/>
      <c r="K11"/>
      <c r="L11"/>
      <c r="M11"/>
    </row>
    <row r="12" spans="1:13" ht="15">
      <c r="A12" s="172" t="s">
        <v>583</v>
      </c>
      <c r="B12" s="154">
        <f>PGL_Supplies!K7/1000</f>
        <v>0</v>
      </c>
      <c r="C12" s="64"/>
      <c r="D12" s="117" t="s">
        <v>217</v>
      </c>
      <c r="E12" s="154">
        <f>PGL_Deliveries!G5/1000</f>
        <v>2.1999999999999999E-2</v>
      </c>
      <c r="F12" s="171"/>
      <c r="H12"/>
      <c r="I12"/>
      <c r="J12"/>
      <c r="K12"/>
      <c r="L12"/>
      <c r="M12"/>
    </row>
    <row r="13" spans="1:13" ht="15">
      <c r="A13" s="172" t="s">
        <v>584</v>
      </c>
      <c r="B13" s="154">
        <f>PGL_Deliveries!Y5/1000+PGL_Deliveries!Z5/1000+PGL_Deliveries!AA5/1000-PGL_Deliveries!BE5/1000</f>
        <v>233.16499999999999</v>
      </c>
      <c r="C13" s="64"/>
      <c r="D13" s="117" t="s">
        <v>219</v>
      </c>
      <c r="E13" s="154">
        <f>PGL_Deliveries!F5/1000</f>
        <v>33.954999999999998</v>
      </c>
      <c r="F13" s="171"/>
      <c r="H13"/>
      <c r="I13"/>
      <c r="J13"/>
      <c r="K13"/>
      <c r="L13"/>
      <c r="M13"/>
    </row>
    <row r="14" spans="1:13" ht="15">
      <c r="A14" s="172" t="s">
        <v>183</v>
      </c>
      <c r="B14" s="154">
        <f>PGL_Deliveries!AD5/1000</f>
        <v>0</v>
      </c>
      <c r="C14" s="64"/>
      <c r="D14" s="117" t="s">
        <v>220</v>
      </c>
      <c r="E14" s="154">
        <f>PGL_Deliveries!H5/1000</f>
        <v>35.314999999999998</v>
      </c>
      <c r="F14" s="171"/>
      <c r="G14" s="154"/>
      <c r="H14"/>
      <c r="I14"/>
      <c r="J14"/>
      <c r="K14"/>
      <c r="L14"/>
      <c r="M14"/>
    </row>
    <row r="15" spans="1:13" ht="15">
      <c r="A15" s="172" t="s">
        <v>184</v>
      </c>
      <c r="B15" s="154">
        <f>PGL_Deliveries!AH5/1000+PGL_Deliveries!AX5/1000+PGL_Deliveries!AT5/1000-PGL_Deliveries!AS5/1000-PGL_Deliveries!AU5/1000+PGL_Deliveries!AE5/1000+PGL_Deliveries!AF5/1000-PGL_Deliveries!AV5/1000</f>
        <v>-134.63199999999998</v>
      </c>
      <c r="C15" s="64"/>
      <c r="D15" s="59" t="s">
        <v>402</v>
      </c>
      <c r="E15" s="154">
        <f>PGL_Deliveries!K5/1000</f>
        <v>0</v>
      </c>
      <c r="F15" s="171"/>
      <c r="H15"/>
      <c r="I15"/>
      <c r="J15"/>
      <c r="K15"/>
      <c r="L15"/>
      <c r="M15"/>
    </row>
    <row r="16" spans="1:13" ht="15">
      <c r="A16" s="172" t="s">
        <v>585</v>
      </c>
      <c r="B16" s="60"/>
      <c r="C16" s="226">
        <f>PGL_Deliveries!AO5/1000</f>
        <v>0.61299999999999999</v>
      </c>
      <c r="D16" s="117" t="s">
        <v>223</v>
      </c>
      <c r="E16" s="154">
        <f>PGL_Deliveries!L5/1000</f>
        <v>0.08</v>
      </c>
      <c r="F16" s="171"/>
      <c r="H16"/>
      <c r="I16"/>
      <c r="J16"/>
      <c r="K16"/>
      <c r="L16"/>
      <c r="M16"/>
    </row>
    <row r="17" spans="1:13" ht="15.75" thickBot="1">
      <c r="A17" s="170" t="s">
        <v>186</v>
      </c>
      <c r="B17" s="154">
        <f>PGL_Deliveries!AP5/1000</f>
        <v>0</v>
      </c>
      <c r="C17" s="169" t="s">
        <v>11</v>
      </c>
      <c r="D17" s="1162" t="s">
        <v>222</v>
      </c>
      <c r="E17" s="210">
        <f>PGL_Deliveries!M5/1000</f>
        <v>3.82</v>
      </c>
      <c r="F17" s="167"/>
      <c r="H17"/>
      <c r="I17"/>
      <c r="J17"/>
      <c r="K17"/>
      <c r="L17"/>
      <c r="M17"/>
    </row>
    <row r="18" spans="1:13" ht="16.5" thickBot="1">
      <c r="A18" s="180" t="s">
        <v>586</v>
      </c>
      <c r="B18" s="905">
        <f>SUM(B8:B17)-C16</f>
        <v>223.67</v>
      </c>
      <c r="C18" s="169"/>
      <c r="D18" s="179" t="s">
        <v>587</v>
      </c>
      <c r="E18" s="178">
        <f>SUM(E5:E17)</f>
        <v>79.550999999999988</v>
      </c>
      <c r="F18" s="167"/>
      <c r="H18"/>
      <c r="I18"/>
      <c r="J18"/>
      <c r="K18"/>
      <c r="L18"/>
      <c r="M18"/>
    </row>
    <row r="19" spans="1:13" ht="15">
      <c r="A19" s="444" t="s">
        <v>754</v>
      </c>
      <c r="B19" s="154">
        <f>PGL_Supplies!Y7/1000</f>
        <v>159.39099999999999</v>
      </c>
      <c r="C19" s="631"/>
      <c r="D19" s="117" t="s">
        <v>319</v>
      </c>
      <c r="E19" s="154">
        <f>PGL_Deliveries!AI5/1000</f>
        <v>6.0000000000000001E-3</v>
      </c>
      <c r="F19" s="171"/>
      <c r="H19"/>
      <c r="I19"/>
      <c r="J19"/>
      <c r="K19"/>
      <c r="L19"/>
      <c r="M19"/>
    </row>
    <row r="20" spans="1:13" ht="15">
      <c r="A20" s="172" t="s">
        <v>751</v>
      </c>
      <c r="B20" s="154">
        <f>PGL_Supplies!X7/1000</f>
        <v>0</v>
      </c>
      <c r="C20" s="64"/>
      <c r="D20" s="117" t="s">
        <v>189</v>
      </c>
      <c r="E20" s="154">
        <f>PGL_Deliveries!AW5/1000+B41</f>
        <v>2.8089</v>
      </c>
      <c r="F20" s="171"/>
      <c r="H20"/>
      <c r="I20"/>
      <c r="J20"/>
      <c r="K20"/>
      <c r="L20"/>
      <c r="M20"/>
    </row>
    <row r="21" spans="1:13" ht="16.5" thickBot="1">
      <c r="A21" s="172" t="s">
        <v>755</v>
      </c>
      <c r="C21" s="176">
        <f>PGL_Requirements!J7/1000</f>
        <v>0</v>
      </c>
      <c r="D21" s="630" t="s">
        <v>588</v>
      </c>
      <c r="E21" s="211">
        <f>SUM(E18:E20)</f>
        <v>82.365899999999982</v>
      </c>
      <c r="F21" s="177"/>
      <c r="H21"/>
      <c r="I21"/>
      <c r="J21"/>
      <c r="K21"/>
      <c r="L21"/>
      <c r="M21"/>
    </row>
    <row r="22" spans="1:13" ht="15">
      <c r="A22" s="175" t="s">
        <v>359</v>
      </c>
      <c r="B22" s="1134">
        <f>+B19+B20-C21</f>
        <v>159.39099999999999</v>
      </c>
      <c r="C22" s="1127"/>
      <c r="D22" s="251" t="s">
        <v>589</v>
      </c>
      <c r="E22" s="154">
        <f>NSG_Requirements!$L$7/1000</f>
        <v>0</v>
      </c>
      <c r="F22" s="171"/>
      <c r="H22"/>
      <c r="I22"/>
      <c r="J22"/>
      <c r="K22"/>
      <c r="L22"/>
      <c r="M22"/>
    </row>
    <row r="23" spans="1:13" ht="15">
      <c r="A23" s="172" t="s">
        <v>227</v>
      </c>
      <c r="B23" s="154">
        <f>PGL_Supplies!Z7/1000</f>
        <v>40</v>
      </c>
      <c r="C23" s="64"/>
      <c r="D23" s="251" t="s">
        <v>590</v>
      </c>
      <c r="E23" s="60"/>
      <c r="F23" s="176">
        <f>NSG_Supplies!H7/1000</f>
        <v>0</v>
      </c>
      <c r="H23"/>
      <c r="I23"/>
      <c r="J23"/>
      <c r="K23"/>
      <c r="L23"/>
      <c r="M23"/>
    </row>
    <row r="24" spans="1:13" ht="15">
      <c r="A24" s="173" t="s">
        <v>765</v>
      </c>
      <c r="B24" s="633"/>
      <c r="C24" s="226">
        <f>PGL_Requirements!U7/1000</f>
        <v>40</v>
      </c>
      <c r="D24" s="60" t="s">
        <v>591</v>
      </c>
      <c r="E24" s="60"/>
      <c r="F24" s="176">
        <v>0</v>
      </c>
      <c r="H24"/>
      <c r="I24"/>
      <c r="J24"/>
      <c r="K24"/>
      <c r="L24"/>
      <c r="M24"/>
    </row>
    <row r="25" spans="1:13" ht="15">
      <c r="A25" s="173" t="s">
        <v>764</v>
      </c>
      <c r="B25" s="154">
        <f>PGL_Supplies!R7/1000</f>
        <v>0</v>
      </c>
      <c r="C25" s="64"/>
      <c r="D25" s="251" t="s">
        <v>593</v>
      </c>
      <c r="E25" s="60"/>
      <c r="F25" s="176">
        <f>PGL_Requirements!S7/1000</f>
        <v>0</v>
      </c>
      <c r="H25"/>
      <c r="I25"/>
      <c r="J25"/>
      <c r="K25"/>
      <c r="L25"/>
      <c r="M25"/>
    </row>
    <row r="26" spans="1:13" ht="15">
      <c r="A26" s="175" t="s">
        <v>233</v>
      </c>
      <c r="B26" s="68" t="s">
        <v>11</v>
      </c>
      <c r="C26" s="484" t="s">
        <v>11</v>
      </c>
      <c r="D26" s="60" t="s">
        <v>595</v>
      </c>
      <c r="E26" s="60"/>
      <c r="F26" s="176">
        <v>0</v>
      </c>
      <c r="G26"/>
      <c r="H26"/>
      <c r="I26"/>
      <c r="J26"/>
      <c r="K26"/>
      <c r="L26"/>
      <c r="M26"/>
    </row>
    <row r="27" spans="1:13" ht="15">
      <c r="A27" s="172" t="s">
        <v>592</v>
      </c>
      <c r="B27" s="154">
        <f>PGL_Supplies!AA7/1000</f>
        <v>4.62</v>
      </c>
      <c r="C27" s="64"/>
      <c r="D27" s="60" t="s">
        <v>192</v>
      </c>
      <c r="E27" s="60" t="s">
        <v>11</v>
      </c>
      <c r="F27" s="176">
        <f>PGL_Requirements!L7/1000</f>
        <v>0</v>
      </c>
      <c r="H27"/>
      <c r="I27"/>
      <c r="J27"/>
      <c r="K27"/>
      <c r="L27"/>
      <c r="M27"/>
    </row>
    <row r="28" spans="1:13" ht="15">
      <c r="A28" s="172" t="s">
        <v>594</v>
      </c>
      <c r="B28" s="154">
        <v>0</v>
      </c>
      <c r="C28" s="64"/>
      <c r="D28" s="251" t="s">
        <v>597</v>
      </c>
      <c r="E28" s="60"/>
      <c r="F28" s="176">
        <f>(PGL_Requirements!$AC$7+PGL_Requirements!$AD$7+PGL_Requirements!$AE$7)/1000</f>
        <v>0</v>
      </c>
      <c r="H28"/>
      <c r="I28"/>
      <c r="J28"/>
      <c r="K28"/>
      <c r="L28"/>
      <c r="M28"/>
    </row>
    <row r="29" spans="1:13" ht="15">
      <c r="A29" s="175" t="s">
        <v>596</v>
      </c>
      <c r="B29" s="68"/>
      <c r="C29" s="484">
        <f>PGL_Requirements!J12/1000</f>
        <v>0</v>
      </c>
      <c r="D29" s="634" t="s">
        <v>196</v>
      </c>
      <c r="E29" s="235" t="s">
        <v>11</v>
      </c>
      <c r="F29" s="176">
        <f>(PGL_Requirements!$Y$7+PGL_Requirements!$Z$7+PGL_Requirements!$AA$7+PGL_Requirements!$AB$7)/1000</f>
        <v>0</v>
      </c>
      <c r="H29"/>
      <c r="I29"/>
      <c r="J29"/>
      <c r="K29"/>
      <c r="L29"/>
      <c r="M29"/>
    </row>
    <row r="30" spans="1:13" ht="15">
      <c r="A30" s="172" t="s">
        <v>598</v>
      </c>
      <c r="B30" s="1081">
        <f>PGL_Supplies!AD7/1000</f>
        <v>0</v>
      </c>
      <c r="C30" s="64"/>
      <c r="D30" s="634" t="s">
        <v>600</v>
      </c>
      <c r="E30" s="60" t="s">
        <v>11</v>
      </c>
      <c r="F30" s="176">
        <f>(PGL_Requirements!$W$7+PGL_Requirements!$X$7)/1000</f>
        <v>0</v>
      </c>
      <c r="H30"/>
      <c r="I30"/>
      <c r="J30"/>
      <c r="K30"/>
      <c r="L30"/>
      <c r="M30"/>
    </row>
    <row r="31" spans="1:13" ht="15">
      <c r="A31" s="172" t="s">
        <v>599</v>
      </c>
      <c r="B31" s="154">
        <f>PGL_Supplies!AE7/1000</f>
        <v>0</v>
      </c>
      <c r="C31" s="64"/>
      <c r="D31" s="251" t="s">
        <v>601</v>
      </c>
      <c r="E31" s="60" t="s">
        <v>11</v>
      </c>
      <c r="F31" s="176">
        <f>PGL_Requirements!O7/1000</f>
        <v>49.384</v>
      </c>
      <c r="H31"/>
      <c r="I31"/>
      <c r="J31"/>
      <c r="K31"/>
      <c r="L31"/>
      <c r="M31"/>
    </row>
    <row r="32" spans="1:13" ht="15">
      <c r="A32" s="173" t="s">
        <v>9</v>
      </c>
      <c r="B32" s="60"/>
      <c r="C32" s="226">
        <v>0</v>
      </c>
      <c r="D32" s="174" t="s">
        <v>602</v>
      </c>
      <c r="E32" s="154">
        <f>PGL_Deliveries!AR5/1000</f>
        <v>0</v>
      </c>
      <c r="F32" s="171"/>
      <c r="H32"/>
      <c r="I32"/>
      <c r="J32"/>
      <c r="K32"/>
      <c r="L32"/>
      <c r="M32"/>
    </row>
    <row r="33" spans="1:13" ht="15">
      <c r="A33" s="173" t="s">
        <v>8</v>
      </c>
      <c r="B33" s="154">
        <f>PGL_Supplies!Q7/1000</f>
        <v>0</v>
      </c>
      <c r="C33" s="64"/>
      <c r="D33" s="251" t="s">
        <v>736</v>
      </c>
      <c r="E33" s="154">
        <f>PGL_Supplies!M7/1000</f>
        <v>0</v>
      </c>
      <c r="F33" s="171"/>
      <c r="H33"/>
      <c r="I33"/>
      <c r="J33"/>
      <c r="K33"/>
      <c r="L33"/>
      <c r="M33"/>
    </row>
    <row r="34" spans="1:13" ht="15">
      <c r="A34" s="172" t="s">
        <v>603</v>
      </c>
      <c r="B34" s="635">
        <f>(PGL_Deliveries!AB5+PGL_Deliveries!AC5+PGL_Deliveries!AD5)/1000</f>
        <v>0</v>
      </c>
      <c r="C34" s="64"/>
      <c r="D34" s="60" t="s">
        <v>197</v>
      </c>
      <c r="E34" s="154">
        <f>PGL_Supplies!AC7/1000</f>
        <v>131.75</v>
      </c>
      <c r="F34" s="171"/>
      <c r="H34"/>
      <c r="I34"/>
      <c r="J34"/>
      <c r="K34"/>
      <c r="L34"/>
      <c r="M34"/>
    </row>
    <row r="35" spans="1:13" ht="15">
      <c r="A35" s="172" t="s">
        <v>604</v>
      </c>
      <c r="B35" s="60"/>
      <c r="C35" s="64">
        <f>PGL_Deliveries!AC5/1000</f>
        <v>0</v>
      </c>
      <c r="D35" s="60" t="s">
        <v>605</v>
      </c>
      <c r="E35" s="154">
        <v>0</v>
      </c>
      <c r="F35" s="171"/>
      <c r="H35"/>
      <c r="I35"/>
      <c r="J35"/>
      <c r="K35"/>
      <c r="L35"/>
      <c r="M35"/>
    </row>
    <row r="36" spans="1:13" ht="15">
      <c r="A36" s="175" t="s">
        <v>606</v>
      </c>
      <c r="B36" s="68"/>
      <c r="C36" s="484">
        <f>PGL_Deliveries!AB5/1000</f>
        <v>0</v>
      </c>
      <c r="D36" s="174" t="s">
        <v>607</v>
      </c>
      <c r="E36" s="154">
        <f>PGL_Supplies!N7/1000</f>
        <v>0</v>
      </c>
      <c r="F36" s="171"/>
      <c r="H36"/>
      <c r="I36"/>
      <c r="J36"/>
      <c r="K36"/>
      <c r="L36"/>
      <c r="M36"/>
    </row>
    <row r="37" spans="1:13" ht="15">
      <c r="A37" s="173" t="s">
        <v>608</v>
      </c>
      <c r="B37" s="154" t="s">
        <v>11</v>
      </c>
      <c r="C37" s="226">
        <f>PGL_Requirements!P7/1000</f>
        <v>187.26</v>
      </c>
      <c r="D37" s="251" t="s">
        <v>609</v>
      </c>
      <c r="E37" s="154">
        <f>PGL_Supplies!O7/1000</f>
        <v>0</v>
      </c>
      <c r="F37" s="171"/>
      <c r="H37"/>
      <c r="I37"/>
      <c r="J37"/>
      <c r="K37"/>
      <c r="L37"/>
      <c r="M37"/>
    </row>
    <row r="38" spans="1:13" ht="15">
      <c r="A38" s="173" t="s">
        <v>610</v>
      </c>
      <c r="B38" s="154">
        <f>PGL_Supplies!M7/1000</f>
        <v>0</v>
      </c>
      <c r="C38" s="64"/>
      <c r="F38" s="171"/>
      <c r="H38"/>
      <c r="I38"/>
      <c r="J38"/>
      <c r="K38"/>
      <c r="L38"/>
      <c r="M38"/>
    </row>
    <row r="39" spans="1:13" ht="15">
      <c r="A39" s="172" t="s">
        <v>611</v>
      </c>
      <c r="B39" s="60"/>
      <c r="C39" s="226">
        <f>PGL_Deliveries!AS5/1000</f>
        <v>0</v>
      </c>
      <c r="D39" s="60"/>
      <c r="E39" s="60"/>
      <c r="F39" s="171"/>
      <c r="G39" s="1" t="s">
        <v>11</v>
      </c>
      <c r="H39"/>
      <c r="I39"/>
      <c r="J39"/>
      <c r="K39"/>
      <c r="L39"/>
      <c r="M39"/>
    </row>
    <row r="40" spans="1:13" ht="16.5" thickBot="1">
      <c r="A40" s="172" t="s">
        <v>209</v>
      </c>
      <c r="B40" s="154">
        <f>PGL_Deliveries!AT5/1000</f>
        <v>0.627</v>
      </c>
      <c r="C40" s="64"/>
      <c r="D40" s="212" t="s">
        <v>224</v>
      </c>
      <c r="E40" s="211">
        <f>SUM(E22:E37)-SUM(F23:F39)-E33</f>
        <v>82.366</v>
      </c>
      <c r="F40" s="167"/>
      <c r="H40"/>
      <c r="I40"/>
      <c r="J40"/>
      <c r="K40"/>
      <c r="L40"/>
      <c r="M40"/>
    </row>
    <row r="41" spans="1:13" ht="15">
      <c r="A41" s="172" t="s">
        <v>216</v>
      </c>
      <c r="B41" s="154">
        <f>PGL_Deliveries!AG5/1000</f>
        <v>0</v>
      </c>
      <c r="C41" s="64"/>
      <c r="D41" s="780" t="s">
        <v>612</v>
      </c>
      <c r="E41" s="807"/>
      <c r="F41" s="176">
        <f>PGL_Requirements!K7/1000</f>
        <v>0</v>
      </c>
      <c r="H41"/>
      <c r="I41"/>
      <c r="J41"/>
      <c r="K41"/>
      <c r="L41"/>
      <c r="M41"/>
    </row>
    <row r="42" spans="1:13" ht="15">
      <c r="A42" s="173" t="s">
        <v>613</v>
      </c>
      <c r="B42" s="154">
        <f>PGL_Deliveries!AF5/1000</f>
        <v>52.640999999999998</v>
      </c>
      <c r="C42" s="64"/>
      <c r="D42" s="251" t="s">
        <v>524</v>
      </c>
      <c r="E42" s="808">
        <f>PGL_Supplies!AB7/1000</f>
        <v>242.78200000000001</v>
      </c>
      <c r="F42" s="171"/>
      <c r="H42"/>
      <c r="I42"/>
      <c r="J42"/>
      <c r="K42"/>
      <c r="L42"/>
      <c r="M42"/>
    </row>
    <row r="43" spans="1:13" ht="15">
      <c r="A43" s="172" t="s">
        <v>614</v>
      </c>
      <c r="B43" s="154">
        <f>PGL_Deliveries!AW5/1000</f>
        <v>2.8089</v>
      </c>
      <c r="C43" s="64"/>
      <c r="D43" s="60" t="s">
        <v>393</v>
      </c>
      <c r="E43" s="808">
        <f>PGL_Supplies!W7/1000</f>
        <v>0</v>
      </c>
      <c r="F43" s="171"/>
      <c r="H43"/>
      <c r="I43"/>
      <c r="J43"/>
      <c r="K43"/>
      <c r="L43"/>
      <c r="M43"/>
    </row>
    <row r="44" spans="1:13" ht="15.75" thickBot="1">
      <c r="A44" s="170" t="s">
        <v>745</v>
      </c>
      <c r="B44" s="210" t="s">
        <v>11</v>
      </c>
      <c r="C44" s="226">
        <f>PGL_Requirements!R7/1000</f>
        <v>0.64</v>
      </c>
      <c r="D44" s="60" t="s">
        <v>527</v>
      </c>
      <c r="E44" s="154"/>
      <c r="F44" s="176">
        <f>(PGL_Requirements!$AF$7+PGL_Requirements!$AG$7+PGL_Requirements!$AH$7+PGL_Requirements!$AI$7)/1000</f>
        <v>0</v>
      </c>
      <c r="H44"/>
      <c r="I44"/>
      <c r="J44"/>
      <c r="K44"/>
      <c r="L44"/>
      <c r="M44"/>
    </row>
    <row r="45" spans="1:13" ht="15">
      <c r="A45" s="444" t="s">
        <v>615</v>
      </c>
      <c r="B45" s="60">
        <f>Weather_Input!B5</f>
        <v>65</v>
      </c>
      <c r="C45" s="185"/>
      <c r="D45" s="60" t="s">
        <v>528</v>
      </c>
      <c r="E45" s="154">
        <f>NSG_Requirements!$AB$7+NSG_Requirements!$AC$7+NSG_Requirements!$AD$7+NSG_Requirements!$AE$7/1000+NSG_Requirements!K7/1000</f>
        <v>0</v>
      </c>
      <c r="F45" s="176"/>
    </row>
    <row r="46" spans="1:13" ht="15">
      <c r="A46" s="172" t="s">
        <v>616</v>
      </c>
      <c r="B46" s="239">
        <f>Weather_Input!C5</f>
        <v>46</v>
      </c>
      <c r="C46" s="162"/>
      <c r="D46" s="60" t="s">
        <v>625</v>
      </c>
      <c r="E46" s="808">
        <f>PGL_Supplies!T7/1000</f>
        <v>0</v>
      </c>
      <c r="F46" s="171"/>
    </row>
    <row r="47" spans="1:13" ht="15">
      <c r="A47" s="173" t="s">
        <v>617</v>
      </c>
      <c r="B47" s="60">
        <f>Weather_Input!E5</f>
        <v>55.3</v>
      </c>
      <c r="C47" s="162"/>
      <c r="D47" s="779" t="s">
        <v>624</v>
      </c>
      <c r="E47" s="68"/>
      <c r="F47" s="809">
        <f>PGL_Deliveries!BE5/1000</f>
        <v>19.57</v>
      </c>
    </row>
    <row r="48" spans="1:13" ht="15">
      <c r="A48" s="172" t="s">
        <v>618</v>
      </c>
      <c r="B48" s="227">
        <f>Weather_Input!D5</f>
        <v>8.6999999999999993</v>
      </c>
      <c r="C48" s="162"/>
      <c r="D48" s="251" t="s">
        <v>245</v>
      </c>
      <c r="E48" s="154">
        <f>PGL_Deliveries!AI5/1000</f>
        <v>6.0000000000000001E-3</v>
      </c>
      <c r="F48" s="161"/>
    </row>
    <row r="49" spans="1:6" ht="15">
      <c r="A49" s="172" t="s">
        <v>619</v>
      </c>
      <c r="B49" s="154">
        <f>PGL_Deliveries!AM5/1000</f>
        <v>1.0229999999999999</v>
      </c>
      <c r="C49" s="162"/>
      <c r="D49" s="60" t="s">
        <v>786</v>
      </c>
      <c r="E49" s="154">
        <f>PGL_Deliveries!AJ5/1000</f>
        <v>13.301</v>
      </c>
      <c r="F49" s="161"/>
    </row>
    <row r="50" spans="1:6" ht="15.75" outlineLevel="2" thickBot="1">
      <c r="A50" s="102" t="s">
        <v>620</v>
      </c>
      <c r="B50" s="163"/>
      <c r="C50" s="160"/>
      <c r="D50" s="168" t="s">
        <v>621</v>
      </c>
      <c r="E50" s="210">
        <f>PGL_Deliveries!AK5/1000</f>
        <v>0</v>
      </c>
      <c r="F50" s="443"/>
    </row>
    <row r="51" spans="1:6" ht="15" outlineLevel="2">
      <c r="A51" s="421" t="s">
        <v>622</v>
      </c>
      <c r="B51"/>
      <c r="C51"/>
      <c r="D51"/>
      <c r="E51"/>
      <c r="F51" s="122"/>
    </row>
    <row r="52" spans="1:6" ht="15" outlineLevel="2">
      <c r="A52" t="s">
        <v>11</v>
      </c>
      <c r="B52"/>
      <c r="C52"/>
      <c r="D52"/>
      <c r="E52"/>
      <c r="F52" s="122"/>
    </row>
    <row r="53" spans="1:6" ht="15" outlineLevel="2">
      <c r="A53" s="122"/>
      <c r="B53" s="122"/>
      <c r="C53"/>
      <c r="D53"/>
      <c r="E53"/>
      <c r="F53" s="122"/>
    </row>
    <row r="54" spans="1:6" ht="15" outlineLevel="2">
      <c r="A54" s="122"/>
      <c r="B54"/>
      <c r="C54"/>
      <c r="D54"/>
      <c r="E54"/>
      <c r="F54" s="122"/>
    </row>
    <row r="55" spans="1:6" ht="15" outlineLevel="2">
      <c r="A55" s="122"/>
      <c r="B55"/>
      <c r="C55"/>
      <c r="D55"/>
      <c r="E55"/>
      <c r="F55" s="122"/>
    </row>
    <row r="56" spans="1:6" ht="15" outlineLevel="2">
      <c r="A56" s="122"/>
      <c r="B56"/>
      <c r="C56"/>
      <c r="D56"/>
      <c r="E56"/>
      <c r="F56" s="122"/>
    </row>
    <row r="57" spans="1:6" ht="15" outlineLevel="2">
      <c r="A57" s="122"/>
      <c r="B57"/>
      <c r="C57"/>
      <c r="D57"/>
      <c r="E57"/>
      <c r="F57" s="122"/>
    </row>
    <row r="58" spans="1:6" ht="15" outlineLevel="1">
      <c r="A58" s="122"/>
      <c r="B58"/>
      <c r="C58"/>
      <c r="D58"/>
      <c r="E58"/>
      <c r="F58" s="122"/>
    </row>
    <row r="59" spans="1:6" ht="15" outlineLevel="2">
      <c r="A59" s="122"/>
      <c r="B59"/>
      <c r="C59"/>
      <c r="D59"/>
      <c r="E59"/>
      <c r="F59" s="122"/>
    </row>
    <row r="60" spans="1:6" ht="15" outlineLevel="1">
      <c r="A60" s="122"/>
      <c r="B60"/>
      <c r="C60"/>
      <c r="D60"/>
      <c r="E60"/>
      <c r="F60" s="122"/>
    </row>
    <row r="61" spans="1:6" ht="15">
      <c r="A61" s="60" t="s">
        <v>11</v>
      </c>
      <c r="B61" s="227" t="s">
        <v>11</v>
      </c>
      <c r="C61" s="122"/>
      <c r="D61" s="122"/>
      <c r="E61" s="122"/>
      <c r="F61" s="122"/>
    </row>
    <row r="62" spans="1:6" ht="15">
      <c r="A62" s="122"/>
      <c r="B62"/>
      <c r="C62"/>
      <c r="D62"/>
      <c r="E62"/>
      <c r="F62"/>
    </row>
    <row r="63" spans="1:6" ht="15">
      <c r="A63" s="122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73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>
      <selection activeCell="A10" sqref="A10"/>
    </sheetView>
  </sheetViews>
  <sheetFormatPr defaultRowHeight="12.75"/>
  <cols>
    <col min="1" max="1" width="18.21875" style="1" customWidth="1"/>
    <col min="2" max="2" width="7.6640625" style="1" customWidth="1"/>
    <col min="3" max="3" width="6.5546875" style="1" customWidth="1"/>
    <col min="4" max="4" width="25" style="1" customWidth="1"/>
    <col min="5" max="5" width="8.88671875" style="1"/>
    <col min="6" max="6" width="7.6640625" style="1" customWidth="1"/>
    <col min="7" max="16384" width="8.88671875" style="1"/>
  </cols>
  <sheetData>
    <row r="1" spans="1:11" ht="15">
      <c r="A1" s="119"/>
    </row>
    <row r="2" spans="1:11" ht="15">
      <c r="A2" s="122" t="s">
        <v>11</v>
      </c>
      <c r="B2" s="135"/>
      <c r="C2"/>
      <c r="D2"/>
      <c r="E2"/>
      <c r="F2"/>
      <c r="G2"/>
      <c r="J2"/>
      <c r="K2"/>
    </row>
    <row r="3" spans="1:11" ht="15.75" thickBot="1">
      <c r="A3" s="1135" t="s">
        <v>5</v>
      </c>
      <c r="B3" s="244">
        <f>NSG_Deliveries!H5/1000</f>
        <v>56.116999999999997</v>
      </c>
      <c r="C3" s="120"/>
      <c r="D3" s="230" t="s">
        <v>324</v>
      </c>
      <c r="E3" s="429">
        <f>Weather_Input!A5</f>
        <v>37009</v>
      </c>
      <c r="F3" s="120"/>
      <c r="G3"/>
      <c r="J3"/>
      <c r="K3"/>
    </row>
    <row r="4" spans="1:11" ht="15.75" thickTop="1">
      <c r="A4" s="249"/>
      <c r="B4" s="242"/>
      <c r="C4" s="132"/>
      <c r="D4" s="162"/>
      <c r="E4" s="162"/>
      <c r="F4" s="126"/>
      <c r="G4"/>
      <c r="J4"/>
      <c r="K4"/>
    </row>
    <row r="5" spans="1:11" ht="15">
      <c r="A5" s="250" t="s">
        <v>178</v>
      </c>
      <c r="B5" s="243">
        <f>NSG_Deliveries!E5/1000</f>
        <v>56.116999999999997</v>
      </c>
      <c r="C5" s="146"/>
      <c r="D5" s="222" t="s">
        <v>326</v>
      </c>
      <c r="E5" s="217">
        <f>NSG_Deliveries!D5/1000</f>
        <v>0</v>
      </c>
      <c r="F5" s="213"/>
      <c r="G5"/>
      <c r="J5"/>
      <c r="K5"/>
    </row>
    <row r="6" spans="1:11" ht="15" customHeight="1">
      <c r="A6" s="249"/>
      <c r="B6" s="242"/>
      <c r="C6" s="132"/>
      <c r="D6" s="162"/>
      <c r="E6" s="162"/>
      <c r="F6" s="127"/>
      <c r="G6"/>
    </row>
    <row r="7" spans="1:11" ht="15" customHeight="1">
      <c r="A7" s="250" t="s">
        <v>327</v>
      </c>
      <c r="B7" s="217">
        <f>NSG_Deliveries!G5/1000</f>
        <v>0</v>
      </c>
      <c r="C7" s="819"/>
      <c r="D7" s="222" t="s">
        <v>328</v>
      </c>
      <c r="E7" s="217">
        <f>NSG_Supplies!U7/1000</f>
        <v>0</v>
      </c>
      <c r="F7" s="115"/>
      <c r="G7"/>
    </row>
    <row r="8" spans="1:11" ht="15" customHeight="1">
      <c r="A8" s="237" t="s">
        <v>224</v>
      </c>
      <c r="B8" s="217">
        <f>B5+B7</f>
        <v>56.116999999999997</v>
      </c>
      <c r="C8" s="161"/>
      <c r="D8" s="820" t="s">
        <v>643</v>
      </c>
      <c r="E8" s="814">
        <f>NSG_Deliveries!F5/1000</f>
        <v>0</v>
      </c>
      <c r="F8" s="813"/>
      <c r="G8"/>
    </row>
    <row r="9" spans="1:11" ht="15" customHeight="1">
      <c r="A9" s="245" t="s">
        <v>323</v>
      </c>
      <c r="B9" s="218" t="s">
        <v>11</v>
      </c>
      <c r="C9" s="134">
        <f>NSG_Requirements!L7/1000</f>
        <v>0</v>
      </c>
      <c r="D9" s="1" t="s">
        <v>633</v>
      </c>
      <c r="E9" s="815" t="s">
        <v>11</v>
      </c>
      <c r="F9" s="1040">
        <f>NSG_Deliveries!M5/1000</f>
        <v>20</v>
      </c>
      <c r="G9" s="122"/>
    </row>
    <row r="10" spans="1:11" ht="15" customHeight="1">
      <c r="A10" s="128" t="s">
        <v>330</v>
      </c>
      <c r="B10" s="219">
        <f>NSG_Supplies!H7/1000</f>
        <v>0</v>
      </c>
      <c r="C10" s="133"/>
      <c r="D10" s="1042" t="s">
        <v>634</v>
      </c>
      <c r="E10" s="446">
        <f>NSG_Deliveries!N5/1000</f>
        <v>0</v>
      </c>
      <c r="F10" s="816"/>
      <c r="G10"/>
    </row>
    <row r="11" spans="1:11" ht="15" customHeight="1" thickBot="1">
      <c r="A11" s="131" t="s">
        <v>331</v>
      </c>
      <c r="B11" s="427" t="s">
        <v>11</v>
      </c>
      <c r="C11" s="428"/>
      <c r="D11" s="170" t="s">
        <v>644</v>
      </c>
      <c r="E11" s="817">
        <f>NSG_Supplies!Q7/1000</f>
        <v>20</v>
      </c>
      <c r="F11" s="818"/>
      <c r="G11"/>
    </row>
    <row r="12" spans="1:11" ht="15" customHeight="1">
      <c r="A12" s="128" t="s">
        <v>394</v>
      </c>
      <c r="B12" s="219">
        <v>0</v>
      </c>
      <c r="C12" s="132"/>
      <c r="D12" t="s">
        <v>329</v>
      </c>
      <c r="E12" s="242"/>
      <c r="F12" s="798">
        <f>NSG_Requirements!K7/1000+NSG_Requirements!L7/1000+NSG_Requirements!M7/1000+NSG_Requirements!N7/1000</f>
        <v>0</v>
      </c>
      <c r="G12"/>
    </row>
    <row r="13" spans="1:11" ht="15" customHeight="1">
      <c r="A13" s="128" t="s">
        <v>334</v>
      </c>
      <c r="B13" s="219">
        <f>NSG_Supplies!R7/1000</f>
        <v>49.755000000000003</v>
      </c>
      <c r="C13" s="132"/>
      <c r="D13" s="247" t="s">
        <v>332</v>
      </c>
      <c r="E13" s="240"/>
      <c r="F13" s="248"/>
      <c r="G13"/>
    </row>
    <row r="14" spans="1:11" ht="15" customHeight="1">
      <c r="A14" s="128" t="s">
        <v>194</v>
      </c>
      <c r="B14" s="219">
        <f>NSG_Supplies!C7/1000</f>
        <v>0</v>
      </c>
      <c r="C14" s="132"/>
      <c r="D14" s="214" t="s">
        <v>333</v>
      </c>
      <c r="E14" s="246" t="s">
        <v>11</v>
      </c>
      <c r="F14" s="129">
        <f>NSG_Requirements!M7/1000</f>
        <v>0</v>
      </c>
    </row>
    <row r="15" spans="1:11" ht="15" customHeight="1">
      <c r="A15" s="130" t="s">
        <v>336</v>
      </c>
      <c r="B15" s="214"/>
      <c r="C15" s="134">
        <f>NSG_Deliveries!K5/1000</f>
        <v>0</v>
      </c>
      <c r="D15" s="238" t="s">
        <v>335</v>
      </c>
      <c r="E15" s="772">
        <f>+NSG_Supplies!O7/1000</f>
        <v>0</v>
      </c>
      <c r="F15" s="215"/>
    </row>
    <row r="16" spans="1:11" ht="15" customHeight="1" thickBot="1">
      <c r="A16" s="130" t="s">
        <v>337</v>
      </c>
      <c r="B16" s="446">
        <f>NSG_Deliveries!L5/1000</f>
        <v>6.3620000000000001</v>
      </c>
      <c r="C16" s="1041"/>
      <c r="D16" s="828" t="s">
        <v>243</v>
      </c>
      <c r="E16" s="236" t="s">
        <v>11</v>
      </c>
      <c r="F16" s="129">
        <f>NSG_Requirements!X7/1000</f>
        <v>0</v>
      </c>
    </row>
    <row r="17" spans="1:8" ht="15" customHeight="1" thickBot="1">
      <c r="A17" s="128" t="s">
        <v>338</v>
      </c>
      <c r="B17" s="214"/>
      <c r="C17" s="134">
        <f>NSG_Requirements!P7/1000</f>
        <v>0</v>
      </c>
      <c r="D17" s="431" t="s">
        <v>339</v>
      </c>
      <c r="E17" s="430"/>
      <c r="F17" s="432"/>
    </row>
    <row r="18" spans="1:8" ht="15" customHeight="1">
      <c r="A18" s="128" t="s">
        <v>340</v>
      </c>
      <c r="B18" s="219">
        <f>NSG_Supplies!I7/1000</f>
        <v>0</v>
      </c>
      <c r="C18" s="132"/>
      <c r="D18" s="64" t="s">
        <v>341</v>
      </c>
      <c r="E18" s="162"/>
      <c r="F18" s="129">
        <f>NSG_Requirements!N7/1000</f>
        <v>0</v>
      </c>
    </row>
    <row r="19" spans="1:8" ht="15" customHeight="1">
      <c r="A19" s="130" t="s">
        <v>491</v>
      </c>
      <c r="B19" s="446">
        <f>PGL_Requirements!Y7/1000+PGL_Requirements!AB7/1000</f>
        <v>0</v>
      </c>
      <c r="C19" s="445"/>
      <c r="D19" s="232" t="s">
        <v>342</v>
      </c>
      <c r="E19" s="162"/>
      <c r="F19" s="129">
        <f>NSG_Requirements!S7/1000</f>
        <v>0</v>
      </c>
    </row>
    <row r="20" spans="1:8" ht="15" customHeight="1">
      <c r="A20" s="130" t="s">
        <v>343</v>
      </c>
      <c r="B20" s="446">
        <f>PGL_Requirements!Z7/1000</f>
        <v>0</v>
      </c>
      <c r="C20" s="445" t="s">
        <v>11</v>
      </c>
      <c r="D20" s="214" t="s">
        <v>344</v>
      </c>
      <c r="E20" s="162"/>
      <c r="F20" s="129">
        <f>NSG_Requirements!O7/1000</f>
        <v>0</v>
      </c>
    </row>
    <row r="21" spans="1:8" ht="15" customHeight="1">
      <c r="A21" s="130" t="s">
        <v>520</v>
      </c>
      <c r="B21" s="446">
        <f>PGL_Requirements!AA7/1000</f>
        <v>0</v>
      </c>
      <c r="C21" s="445"/>
      <c r="D21" s="223" t="s">
        <v>345</v>
      </c>
      <c r="E21" s="219">
        <f>NSG_Supplies!L7/1000</f>
        <v>0</v>
      </c>
      <c r="F21" s="144"/>
    </row>
    <row r="22" spans="1:8" ht="15" customHeight="1">
      <c r="A22" s="128" t="s">
        <v>325</v>
      </c>
      <c r="B22" s="214"/>
      <c r="C22" s="134">
        <f>NSG_Requirements!C7/1000</f>
        <v>0</v>
      </c>
      <c r="D22" s="223" t="s">
        <v>369</v>
      </c>
      <c r="E22" s="219">
        <f>NSG_Supplies!M7/1000</f>
        <v>0</v>
      </c>
      <c r="F22" s="144"/>
    </row>
    <row r="23" spans="1:8" ht="15" customHeight="1">
      <c r="A23" s="128" t="s">
        <v>346</v>
      </c>
      <c r="B23" s="214"/>
      <c r="C23" s="134">
        <f>NSG_Requirements!R7/1000</f>
        <v>0</v>
      </c>
      <c r="D23" s="223" t="s">
        <v>347</v>
      </c>
      <c r="E23" s="219">
        <f>PGL_Supplies!S7/1000</f>
        <v>0</v>
      </c>
      <c r="F23" s="129" t="s">
        <v>11</v>
      </c>
    </row>
    <row r="24" spans="1:8" ht="15" customHeight="1">
      <c r="A24" s="128" t="s">
        <v>348</v>
      </c>
      <c r="B24" s="219">
        <f>NSG_Supplies!K7/1000</f>
        <v>0</v>
      </c>
      <c r="C24" s="132"/>
      <c r="D24" s="231" t="s">
        <v>349</v>
      </c>
      <c r="E24" s="224">
        <f>NSG_Supplies!P7/1000</f>
        <v>0</v>
      </c>
      <c r="F24" s="127"/>
    </row>
    <row r="25" spans="1:8" ht="15" customHeight="1">
      <c r="A25" s="130" t="s">
        <v>350</v>
      </c>
      <c r="B25" s="214"/>
      <c r="C25" s="134">
        <f>NSG_Requirements!Q7/1000</f>
        <v>0</v>
      </c>
      <c r="D25" s="231" t="s">
        <v>351</v>
      </c>
      <c r="E25" s="219">
        <f>PGL_Requirements!V71/1000</f>
        <v>0</v>
      </c>
      <c r="F25" s="118"/>
    </row>
    <row r="26" spans="1:8" ht="15" customHeight="1">
      <c r="A26" s="145" t="s">
        <v>352</v>
      </c>
      <c r="B26" s="220">
        <f>NSG_Supplies!J7/1000</f>
        <v>0</v>
      </c>
      <c r="C26" s="146"/>
      <c r="D26" s="773" t="s">
        <v>353</v>
      </c>
      <c r="E26" s="777"/>
      <c r="F26" s="129">
        <f>NSG_Requirements!D7/1000</f>
        <v>0</v>
      </c>
    </row>
    <row r="27" spans="1:8" ht="15" customHeight="1" thickBot="1">
      <c r="A27" s="147" t="s">
        <v>224</v>
      </c>
      <c r="B27" s="221">
        <f>SUM(B9:B26)-SUM(C9:C26)</f>
        <v>56.117000000000004</v>
      </c>
      <c r="C27" s="148"/>
      <c r="D27" s="241" t="s">
        <v>354</v>
      </c>
      <c r="E27" s="221">
        <f>SUM(E18:E26)-SUM(F18:F26)</f>
        <v>0</v>
      </c>
      <c r="F27" s="149"/>
      <c r="H27" s="1" t="s">
        <v>11</v>
      </c>
    </row>
    <row r="28" spans="1:8" ht="15" customHeight="1" thickTop="1">
      <c r="A28" s="164" t="s">
        <v>395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87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77734375" customWidth="1"/>
  </cols>
  <sheetData>
    <row r="1" spans="1:3">
      <c r="A1" s="164" t="s">
        <v>11</v>
      </c>
    </row>
    <row r="2" spans="1:3" ht="15.75">
      <c r="C2" s="96" t="s">
        <v>355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75"/>
  <cols>
    <col min="2" max="2" width="8.88671875" style="800"/>
  </cols>
  <sheetData>
    <row r="1" spans="2:7">
      <c r="E1" s="800" t="s">
        <v>11</v>
      </c>
    </row>
    <row r="2" spans="2:7">
      <c r="B2" s="929" t="s">
        <v>11</v>
      </c>
      <c r="C2" s="929" t="s">
        <v>11</v>
      </c>
      <c r="D2" s="929" t="s">
        <v>172</v>
      </c>
      <c r="E2" s="929" t="s">
        <v>11</v>
      </c>
      <c r="F2" s="929" t="s">
        <v>172</v>
      </c>
      <c r="G2" s="929" t="s">
        <v>11</v>
      </c>
    </row>
    <row r="4" spans="2:7">
      <c r="B4" s="930" t="s">
        <v>172</v>
      </c>
    </row>
    <row r="6" spans="2:7">
      <c r="B6" s="929" t="s">
        <v>11</v>
      </c>
    </row>
    <row r="7" spans="2:7">
      <c r="B7" s="929"/>
    </row>
    <row r="8" spans="2:7">
      <c r="B8" s="929" t="s">
        <v>11</v>
      </c>
    </row>
    <row r="9" spans="2:7">
      <c r="B9" s="929"/>
    </row>
    <row r="10" spans="2:7">
      <c r="B10" s="929" t="s">
        <v>11</v>
      </c>
    </row>
    <row r="11" spans="2:7">
      <c r="B11" s="929" t="s">
        <v>11</v>
      </c>
    </row>
    <row r="12" spans="2:7">
      <c r="B12" s="929" t="s">
        <v>11</v>
      </c>
    </row>
    <row r="13" spans="2:7">
      <c r="B13" s="929"/>
    </row>
    <row r="14" spans="2:7">
      <c r="B14" s="929" t="s">
        <v>11</v>
      </c>
    </row>
    <row r="15" spans="2:7">
      <c r="B15" s="929"/>
    </row>
    <row r="16" spans="2:7">
      <c r="B16" s="929" t="s">
        <v>11</v>
      </c>
    </row>
    <row r="17" spans="2:5">
      <c r="B17" s="929"/>
    </row>
    <row r="18" spans="2:5">
      <c r="B18" s="929" t="s">
        <v>11</v>
      </c>
    </row>
    <row r="19" spans="2:5">
      <c r="B19" s="929"/>
    </row>
    <row r="20" spans="2:5">
      <c r="B20" s="929" t="s">
        <v>11</v>
      </c>
    </row>
    <row r="21" spans="2:5">
      <c r="B21" s="929"/>
    </row>
    <row r="22" spans="2:5">
      <c r="B22" s="929" t="s">
        <v>11</v>
      </c>
    </row>
    <row r="24" spans="2:5">
      <c r="B24" s="929" t="s">
        <v>11</v>
      </c>
    </row>
    <row r="25" spans="2:5">
      <c r="E25" s="929" t="s">
        <v>11</v>
      </c>
    </row>
    <row r="27" spans="2:5">
      <c r="B27" s="929" t="s">
        <v>11</v>
      </c>
    </row>
    <row r="29" spans="2:5">
      <c r="B29" s="929" t="s">
        <v>11</v>
      </c>
    </row>
    <row r="30" spans="2:5">
      <c r="B30" s="929"/>
    </row>
    <row r="31" spans="2:5">
      <c r="B31" s="929" t="s">
        <v>11</v>
      </c>
    </row>
    <row r="32" spans="2:5">
      <c r="B32" s="929"/>
    </row>
    <row r="33" spans="2:2">
      <c r="B33" s="929" t="s">
        <v>11</v>
      </c>
    </row>
    <row r="34" spans="2:2">
      <c r="B34" s="929"/>
    </row>
    <row r="35" spans="2:2">
      <c r="B35" s="929" t="s">
        <v>11</v>
      </c>
    </row>
    <row r="36" spans="2:2">
      <c r="B36" s="929"/>
    </row>
    <row r="37" spans="2:2">
      <c r="B37" s="929" t="s">
        <v>11</v>
      </c>
    </row>
    <row r="38" spans="2:2">
      <c r="B38" s="929"/>
    </row>
    <row r="39" spans="2:2">
      <c r="B39" s="929" t="s">
        <v>11</v>
      </c>
    </row>
    <row r="40" spans="2:2">
      <c r="B40" s="929"/>
    </row>
    <row r="41" spans="2:2">
      <c r="B41" s="929" t="s">
        <v>11</v>
      </c>
    </row>
    <row r="42" spans="2:2">
      <c r="B42" s="929"/>
    </row>
    <row r="43" spans="2:2">
      <c r="B43" s="929" t="s">
        <v>11</v>
      </c>
    </row>
    <row r="44" spans="2:2">
      <c r="B44" s="929"/>
    </row>
    <row r="45" spans="2:2">
      <c r="B45" s="929" t="s">
        <v>11</v>
      </c>
    </row>
    <row r="47" spans="2:2">
      <c r="B47" s="929" t="s">
        <v>11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RowHeight="12.75"/>
  <cols>
    <col min="1" max="1" width="8.88671875" style="141"/>
    <col min="2" max="16384" width="8.88671875" style="138"/>
  </cols>
  <sheetData>
    <row r="1" spans="1:131" ht="15.75">
      <c r="A1" s="136"/>
      <c r="B1" s="137"/>
      <c r="D1" s="139"/>
    </row>
    <row r="2" spans="1:131" ht="15.75">
      <c r="A2" s="140"/>
      <c r="G2" s="137"/>
    </row>
    <row r="3" spans="1:131" ht="15">
      <c r="DZ3"/>
      <c r="EA3" s="152"/>
    </row>
    <row r="5" spans="1:131" ht="15.75">
      <c r="A5" s="142"/>
      <c r="B5" s="137"/>
    </row>
    <row r="6" spans="1:131">
      <c r="A6" s="143"/>
    </row>
    <row r="7" spans="1:131">
      <c r="A7" s="143"/>
    </row>
    <row r="8" spans="1:131">
      <c r="A8" s="143"/>
    </row>
    <row r="9" spans="1:131">
      <c r="A9" s="143" t="s">
        <v>11</v>
      </c>
      <c r="C9" s="928"/>
    </row>
    <row r="10" spans="1:131">
      <c r="A10" s="143"/>
    </row>
    <row r="11" spans="1:131">
      <c r="A11" s="143"/>
    </row>
    <row r="12" spans="1:131">
      <c r="A12" s="143"/>
    </row>
    <row r="13" spans="1:131">
      <c r="A13" s="143"/>
    </row>
    <row r="14" spans="1:131">
      <c r="A14" s="143"/>
      <c r="C14" s="138" t="s">
        <v>11</v>
      </c>
      <c r="D14" s="138" t="s">
        <v>11</v>
      </c>
    </row>
    <row r="15" spans="1:131">
      <c r="A15" s="143"/>
    </row>
    <row r="16" spans="1:131">
      <c r="A16" s="143"/>
    </row>
    <row r="17" spans="1:1">
      <c r="A17" s="143"/>
    </row>
    <row r="18" spans="1:1">
      <c r="A18" s="143"/>
    </row>
    <row r="19" spans="1:1">
      <c r="A19" s="143"/>
    </row>
    <row r="20" spans="1:1">
      <c r="A20" s="143"/>
    </row>
    <row r="21" spans="1:1">
      <c r="A21" s="143"/>
    </row>
    <row r="22" spans="1:1">
      <c r="A22" s="143"/>
    </row>
    <row r="23" spans="1:1">
      <c r="A23" s="143"/>
    </row>
    <row r="24" spans="1:1">
      <c r="A24" s="143"/>
    </row>
    <row r="25" spans="1:1">
      <c r="A25" s="143"/>
    </row>
    <row r="26" spans="1:1">
      <c r="A26" s="143"/>
    </row>
    <row r="27" spans="1:1">
      <c r="A27" s="143"/>
    </row>
    <row r="28" spans="1:1">
      <c r="A28" s="143"/>
    </row>
    <row r="29" spans="1:1">
      <c r="A29" s="143"/>
    </row>
    <row r="30" spans="1:1">
      <c r="A30" s="143"/>
    </row>
    <row r="31" spans="1:1">
      <c r="A31" s="143"/>
    </row>
    <row r="32" spans="1:1">
      <c r="A32" s="143"/>
    </row>
    <row r="33" spans="1:1">
      <c r="A33" s="143"/>
    </row>
    <row r="34" spans="1:1">
      <c r="A34" s="143"/>
    </row>
    <row r="35" spans="1:1">
      <c r="A35" s="143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4140625" customWidth="1"/>
    <col min="2" max="3" width="9.5546875" customWidth="1"/>
    <col min="4" max="5" width="11.6640625" hidden="1" customWidth="1"/>
    <col min="6" max="7" width="11.6640625" customWidth="1"/>
    <col min="8" max="8" width="9.5546875" customWidth="1"/>
    <col min="9" max="9" width="11.6640625" customWidth="1"/>
    <col min="10" max="11" width="11.6640625" hidden="1" customWidth="1"/>
    <col min="12" max="13" width="11.6640625" customWidth="1"/>
    <col min="16" max="17" width="0" hidden="1" customWidth="1"/>
  </cols>
  <sheetData>
    <row r="1" spans="1:19">
      <c r="A1" s="1" t="s">
        <v>356</v>
      </c>
      <c r="B1" s="51">
        <f>Weather_Input!A5</f>
        <v>37009</v>
      </c>
      <c r="C1" s="4"/>
    </row>
    <row r="2" spans="1:19">
      <c r="A2" s="111" t="s">
        <v>357</v>
      </c>
      <c r="B2" s="4"/>
      <c r="C2" s="4"/>
    </row>
    <row r="3" spans="1:19" ht="15.75">
      <c r="B3" s="206" t="s">
        <v>68</v>
      </c>
      <c r="C3" s="97"/>
      <c r="D3" s="6"/>
      <c r="E3" s="6"/>
      <c r="F3" s="6"/>
      <c r="G3" s="199"/>
      <c r="H3" s="97" t="s">
        <v>69</v>
      </c>
      <c r="I3" s="97"/>
      <c r="J3" s="6"/>
      <c r="K3" s="6"/>
      <c r="L3" s="6"/>
      <c r="M3" s="199"/>
      <c r="N3" s="97" t="s">
        <v>37</v>
      </c>
      <c r="O3" s="6"/>
      <c r="P3" s="6"/>
      <c r="Q3" s="6"/>
      <c r="R3" s="6"/>
      <c r="S3" s="6"/>
    </row>
    <row r="4" spans="1:19">
      <c r="B4" s="207" t="s">
        <v>358</v>
      </c>
      <c r="C4" s="202"/>
      <c r="D4" s="198" t="s">
        <v>359</v>
      </c>
      <c r="E4" s="198" t="s">
        <v>359</v>
      </c>
      <c r="F4" s="6" t="s">
        <v>360</v>
      </c>
      <c r="G4" s="199"/>
      <c r="H4" s="6" t="s">
        <v>358</v>
      </c>
      <c r="I4" s="6"/>
      <c r="J4" s="198" t="s">
        <v>359</v>
      </c>
      <c r="K4" s="198" t="s">
        <v>359</v>
      </c>
      <c r="L4" s="6" t="s">
        <v>360</v>
      </c>
      <c r="M4" s="199"/>
      <c r="N4" s="6" t="s">
        <v>358</v>
      </c>
      <c r="O4" s="6"/>
      <c r="P4" s="198" t="s">
        <v>359</v>
      </c>
      <c r="Q4" s="198" t="s">
        <v>359</v>
      </c>
      <c r="R4" s="6" t="s">
        <v>360</v>
      </c>
      <c r="S4" s="6"/>
    </row>
    <row r="5" spans="1:19">
      <c r="A5" s="105"/>
      <c r="B5" s="208" t="s">
        <v>361</v>
      </c>
      <c r="C5" s="203" t="s">
        <v>362</v>
      </c>
      <c r="D5" s="200" t="s">
        <v>363</v>
      </c>
      <c r="E5" s="200" t="s">
        <v>364</v>
      </c>
      <c r="F5" s="200" t="s">
        <v>361</v>
      </c>
      <c r="G5" s="201" t="s">
        <v>362</v>
      </c>
      <c r="H5" s="200" t="s">
        <v>361</v>
      </c>
      <c r="I5" s="200" t="s">
        <v>362</v>
      </c>
      <c r="J5" s="200" t="s">
        <v>363</v>
      </c>
      <c r="K5" s="200" t="s">
        <v>364</v>
      </c>
      <c r="L5" s="200" t="s">
        <v>361</v>
      </c>
      <c r="M5" s="201" t="s">
        <v>362</v>
      </c>
      <c r="N5" s="200" t="s">
        <v>361</v>
      </c>
      <c r="O5" s="200" t="s">
        <v>362</v>
      </c>
      <c r="P5" s="200" t="s">
        <v>363</v>
      </c>
      <c r="Q5" s="200" t="s">
        <v>364</v>
      </c>
      <c r="R5" s="200" t="s">
        <v>361</v>
      </c>
      <c r="S5" s="200" t="s">
        <v>362</v>
      </c>
    </row>
    <row r="6" spans="1:19">
      <c r="A6" s="4">
        <f>B1-1</f>
        <v>37008</v>
      </c>
      <c r="B6" s="100" t="e">
        <v>#REF!</v>
      </c>
      <c r="C6" s="204" t="e">
        <v>#REF!</v>
      </c>
      <c r="D6" s="204" t="e">
        <v>#REF!</v>
      </c>
      <c r="E6" s="204" t="e">
        <v>#REF!</v>
      </c>
      <c r="F6" s="204" t="e">
        <v>#REF!</v>
      </c>
      <c r="G6" s="204" t="e">
        <v>#REF!</v>
      </c>
      <c r="H6" s="204" t="e">
        <v>#REF!</v>
      </c>
      <c r="I6" s="204" t="e">
        <v>#REF!</v>
      </c>
      <c r="J6" s="204" t="e">
        <v>#REF!</v>
      </c>
      <c r="K6" s="204" t="e">
        <v>#REF!</v>
      </c>
      <c r="L6" s="204" t="e">
        <v>#REF!</v>
      </c>
      <c r="M6" s="204" t="e">
        <v>#REF!</v>
      </c>
      <c r="N6" s="204">
        <v>152629</v>
      </c>
      <c r="O6" s="204">
        <v>0</v>
      </c>
      <c r="P6" s="204">
        <v>44762063</v>
      </c>
      <c r="Q6" s="204">
        <v>15045098</v>
      </c>
      <c r="R6" s="204">
        <v>29716965</v>
      </c>
      <c r="S6" s="204">
        <v>0</v>
      </c>
    </row>
    <row r="7" spans="1:19">
      <c r="A7" s="4">
        <f>B1</f>
        <v>37009</v>
      </c>
      <c r="B7" s="100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(PGL_Supplies!$Z$7+PGL_Supplies!$U$7+PGL_Supplies!$R$7+NSG_Requirements!$S$7+PGL_Supplies!$C$7+NSG_Requirements!$T$7+NSG_Requirements!$V$7+NSG_Requirements!$W$7+PGL_Requirements!#REF!+PGL_Requirements!$U$7+PGL_Requirements!$V$7+PGL_Requirements!$W$7-PGL_Deliveries!$W$5),0)</f>
        <v>#REF!</v>
      </c>
      <c r="C7" s="205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0,0,(PGL_Deliveries!$W$5-(PGL_Supplies!$Z$7+PGL_Supplies!$U$7+PGL_Supplies!$R$7+PGL_Supplies!$S$7+NSG_Requirements!$S$7+NSG_Requirements!$T$7+NSG_Requirements!$V$7+NSG_Requirements!$W$7)+PGL_Requirements!#REF!+PGL_Requirements!$U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61" t="e">
        <f>IF(E7&gt;D7,E7-D7,0)</f>
        <v>#REF!</v>
      </c>
      <c r="H7" t="e">
        <f>IF((PGL_Deliveries!$X$5-(PGL_Supplies!$V$7+PGL_Supplies!#REF!+PGL_Supplies!$Q$7))&lt;0,(PGL_Supplies!$V$7+PGL_Supplies!#REF!+PGL_Supplies!$Q$7-PGL_Deliveries!$X$5),0)</f>
        <v>#REF!</v>
      </c>
      <c r="I7" t="e">
        <f>IF((PGL_Deliveries!$X$5-(PGL_Supplies!$V$7+PGL_Supplies!#REF!+PGL_Supplies!$Q$7))&lt;0,0,(PGL_Deliveries!$X$5-(PGL_Supplies!$V$7+PGL_Supplies!#REF!+PGL_Supplies!$Q$7)))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61" t="e">
        <f>IF(K7&gt;J7,K7-J7,0)</f>
        <v>#REF!</v>
      </c>
      <c r="N7">
        <f>IF((PGL_Deliveries!AB5+PGL_Deliveries!AC5+PGL_Deliveries!AD5)-(PGL_Supplies!P7+PGL_Supplies!Y7+PGL_Supplies!AD7+PGL_Supplies!AE7)+(PGL_Requirements!N7+PGL_Requirements!T7)&lt;0,(PGL_Supplies!$P$7+PGL_Supplies!$Y$7+PGL_Supplies!$AD$7+PGL_Supplies!$AE$7)-(PGL_Requirements!N7+PGL_Requirements!T7)-(PGL_Deliveries!$AB$5+PGL_Deliveries!$AC$5+PGL_Deliveries!$AD$5),0)</f>
        <v>159391</v>
      </c>
      <c r="O7">
        <f>IF((PGL_Deliveries!$AB$5+PGL_Deliveries!$AC$5+PGL_Deliveries!$AD$5)-(PGL_Supplies!$P$7+PGL_Supplies!$Y$7+PGL_Supplies!$AD$7+PGL_Supplies!$AE$7)+PGL_Requirements!N7+PGL_Requirements!T7&lt;0,0,(PGL_Deliveries!$AB$5+PGL_Deliveries!$AC$5+PGL_Deliveries!$AD$5)-(PGL_Supplies!$P$7+PGL_Supplies!$Y$7+PGL_Supplies!$AD$7+PGL_Supplies!$AE$7)+(PGL_Requirements!N7+PGL_Requirements!T7))</f>
        <v>0</v>
      </c>
      <c r="P7">
        <f>IF(N7&gt;0,P6+N7,N6)</f>
        <v>44921454</v>
      </c>
      <c r="Q7">
        <f>IF(O7&gt;0,Q6+O7,Q6)</f>
        <v>15045098</v>
      </c>
      <c r="R7">
        <f>IF(P7&gt;Q7,P7-Q7,0)</f>
        <v>29876356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88671875" style="4"/>
    <col min="2" max="2" width="12" customWidth="1"/>
    <col min="3" max="3" width="10.88671875" customWidth="1"/>
    <col min="4" max="4" width="11.6640625" customWidth="1"/>
  </cols>
  <sheetData>
    <row r="1" spans="1:4">
      <c r="B1" s="3" t="s">
        <v>365</v>
      </c>
      <c r="C1" s="3" t="s">
        <v>366</v>
      </c>
      <c r="D1" s="9" t="s">
        <v>367</v>
      </c>
    </row>
    <row r="2" spans="1:4">
      <c r="B2" s="3" t="s">
        <v>368</v>
      </c>
      <c r="C2" s="3" t="s">
        <v>27</v>
      </c>
      <c r="D2" s="7" t="s">
        <v>27</v>
      </c>
    </row>
    <row r="3" spans="1:4">
      <c r="A3" s="4">
        <v>36739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36740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36741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36742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36743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36744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36745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36746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36747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36748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36749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36750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36751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36752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36753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36754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36755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36756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36757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36758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36759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36760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36761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36762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36763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36764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36765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36766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36767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36768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36769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36770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36771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36772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36773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36774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36775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36776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36777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36778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36779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36780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36781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36782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36783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36784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36785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36786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36787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36788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36789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36790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36791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36792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36793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36794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36795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36796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36797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36798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36799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36800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36801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36802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36803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36804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36805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36806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36807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36808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36809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36810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36811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36812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36813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36814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36815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36816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36817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36818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36819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36820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36821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36822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36823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36824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36825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36826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36827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36828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36829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36830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36831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36832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36833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36834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36835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36836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36837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36838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36839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36840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36841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36842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36843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36844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36845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36846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36847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36848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36849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36850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36851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36852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36853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36854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36855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36856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36857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36858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36859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36860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36861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36862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36863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36864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36865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36866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36867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36868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36869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36870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36871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36872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36873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36874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36875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36876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36877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36878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36879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36880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36881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36882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36883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36884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36885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36886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36887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36888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36889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36890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36891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36892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36893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36894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36895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36896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36897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36898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36899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36900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36901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36902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36903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36904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36905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36906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36907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36908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36909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36910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36911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36912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36913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36914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36915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36916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36917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36918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36919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36920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36921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36922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36923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36924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36925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36926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36927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36928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36929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36930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36931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36932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36933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36934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36935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36936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36937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36938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36939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36940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36941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36942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36943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36944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36945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36946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36947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36948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36949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36950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36951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36952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36953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36954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36955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36956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36957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36958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36959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36960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36961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36962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36963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36964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36965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36966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36967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36968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36969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36970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36971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36972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36973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36974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36975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36976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36977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36978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36979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36980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36981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36982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36983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36984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36985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36986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36987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36988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36989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36990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36991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36992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36993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36994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36995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36996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36997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36998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36999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37000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37001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37002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37003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37004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37005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37006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37007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37008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37009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37010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37011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37012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37013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37014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37015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37016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37017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37018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37019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37020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37021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37022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37023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37024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37025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37026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37027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37028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37029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37030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37031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37032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37033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37034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37035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37036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37037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37038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37039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37040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37041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37042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37043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37044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37045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37046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37047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37048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37049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37050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37051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37052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37053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37054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37055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37056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37057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37058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37059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37060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37061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37062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37063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37064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37065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37066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37067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37068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37069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37070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37071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37072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37073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37074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37075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37076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37077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37078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37079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37080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37081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37082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37083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37084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37085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37086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37087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37088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37089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37090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37091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37092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37093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37094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37095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37096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37097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37098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37099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37100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37101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37102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37103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37104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37105</v>
      </c>
      <c r="B369">
        <v>0</v>
      </c>
      <c r="C369">
        <v>0</v>
      </c>
      <c r="D369">
        <v>0</v>
      </c>
    </row>
    <row r="370" spans="1:4">
      <c r="A370" s="4">
        <f t="shared" si="15"/>
        <v>37106</v>
      </c>
      <c r="B370">
        <v>0</v>
      </c>
      <c r="C370">
        <v>0</v>
      </c>
      <c r="D370">
        <v>0</v>
      </c>
    </row>
    <row r="371" spans="1:4">
      <c r="A371" s="4">
        <f t="shared" si="15"/>
        <v>37107</v>
      </c>
      <c r="B371">
        <v>0</v>
      </c>
      <c r="C371">
        <v>0</v>
      </c>
      <c r="D371">
        <v>0</v>
      </c>
    </row>
    <row r="372" spans="1:4">
      <c r="A372" s="4">
        <f t="shared" si="15"/>
        <v>37108</v>
      </c>
      <c r="B372">
        <v>0</v>
      </c>
      <c r="C372">
        <v>0</v>
      </c>
      <c r="D372">
        <v>0</v>
      </c>
    </row>
    <row r="373" spans="1:4">
      <c r="A373" s="4">
        <f t="shared" si="15"/>
        <v>37109</v>
      </c>
      <c r="B373">
        <v>0</v>
      </c>
      <c r="C373">
        <v>0</v>
      </c>
      <c r="D373">
        <v>0</v>
      </c>
    </row>
    <row r="374" spans="1:4">
      <c r="A374" s="4">
        <f t="shared" si="15"/>
        <v>37110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N30"/>
  <sheetViews>
    <sheetView topLeftCell="AO1" zoomScale="75" workbookViewId="0">
      <selection activeCell="AO6" sqref="AO6"/>
    </sheetView>
  </sheetViews>
  <sheetFormatPr defaultRowHeight="15"/>
  <cols>
    <col min="2" max="2" width="4.33203125" customWidth="1"/>
    <col min="3" max="3" width="8" customWidth="1"/>
    <col min="4" max="4" width="6.77734375" customWidth="1"/>
    <col min="5" max="18" width="7.88671875" customWidth="1"/>
    <col min="19" max="20" width="9.5546875" customWidth="1"/>
    <col min="21" max="34" width="7.88671875" customWidth="1"/>
    <col min="40" max="40" width="4.77734375" customWidth="1"/>
    <col min="41" max="50" width="7.88671875" customWidth="1"/>
    <col min="51" max="51" width="4.77734375" customWidth="1"/>
    <col min="56" max="56" width="4.77734375" customWidth="1"/>
  </cols>
  <sheetData>
    <row r="1" spans="1:92">
      <c r="A1" s="233" t="s">
        <v>11</v>
      </c>
      <c r="B1" s="1"/>
      <c r="C1" s="1"/>
      <c r="D1" s="7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Z1" s="898" t="s">
        <v>731</v>
      </c>
      <c r="BE1" t="s">
        <v>732</v>
      </c>
    </row>
    <row r="2" spans="1:92">
      <c r="A2" s="1"/>
      <c r="B2" s="1"/>
      <c r="C2" s="1"/>
      <c r="D2" s="108" t="s">
        <v>36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09" t="s">
        <v>37</v>
      </c>
      <c r="AC2" s="110" t="s">
        <v>11</v>
      </c>
      <c r="AD2" s="110" t="s">
        <v>11</v>
      </c>
      <c r="AE2" s="157" t="s">
        <v>38</v>
      </c>
      <c r="AF2" s="157"/>
      <c r="AG2" s="157" t="s">
        <v>38</v>
      </c>
      <c r="AH2" s="109" t="s">
        <v>11</v>
      </c>
      <c r="AO2" s="433"/>
      <c r="AP2" s="433"/>
      <c r="AQ2" s="433"/>
      <c r="AR2" s="433"/>
      <c r="AS2" s="433"/>
      <c r="AT2" s="433"/>
      <c r="AU2" s="433" t="s">
        <v>11</v>
      </c>
      <c r="AV2" s="433"/>
      <c r="AW2" s="433"/>
      <c r="AX2" s="433"/>
      <c r="AZ2" s="198" t="s">
        <v>38</v>
      </c>
      <c r="BA2" t="s">
        <v>728</v>
      </c>
      <c r="BC2" t="s">
        <v>729</v>
      </c>
      <c r="BE2" s="1094">
        <v>1</v>
      </c>
      <c r="BF2" s="198" t="s">
        <v>729</v>
      </c>
    </row>
    <row r="3" spans="1:92">
      <c r="A3" s="1"/>
      <c r="B3" s="3" t="s">
        <v>39</v>
      </c>
      <c r="C3" s="1" t="s">
        <v>11</v>
      </c>
      <c r="D3" s="56" t="s">
        <v>41</v>
      </c>
      <c r="E3" s="3" t="s">
        <v>42</v>
      </c>
      <c r="F3" s="3" t="s">
        <v>42</v>
      </c>
      <c r="G3" s="156" t="s">
        <v>42</v>
      </c>
      <c r="H3" s="3" t="s">
        <v>43</v>
      </c>
      <c r="I3" s="3" t="s">
        <v>43</v>
      </c>
      <c r="J3" s="3" t="s">
        <v>43</v>
      </c>
      <c r="K3" s="3" t="s">
        <v>403</v>
      </c>
      <c r="L3" s="3" t="s">
        <v>44</v>
      </c>
      <c r="M3" s="3" t="s">
        <v>44</v>
      </c>
      <c r="N3" s="156" t="s">
        <v>45</v>
      </c>
      <c r="O3" s="3" t="s">
        <v>46</v>
      </c>
      <c r="P3" s="3" t="s">
        <v>47</v>
      </c>
      <c r="R3" s="3"/>
      <c r="S3" s="3"/>
      <c r="T3" s="3" t="s">
        <v>403</v>
      </c>
      <c r="U3" s="3" t="s">
        <v>15</v>
      </c>
      <c r="V3" s="3"/>
      <c r="W3" s="111"/>
      <c r="X3" s="1"/>
      <c r="Y3" s="1" t="s">
        <v>525</v>
      </c>
      <c r="Z3" s="1"/>
      <c r="AA3" s="1"/>
      <c r="AB3" s="3" t="s">
        <v>48</v>
      </c>
      <c r="AC3" s="156" t="s">
        <v>37</v>
      </c>
      <c r="AD3" s="3" t="s">
        <v>37</v>
      </c>
      <c r="AE3" s="3" t="s">
        <v>49</v>
      </c>
      <c r="AF3" s="156" t="s">
        <v>49</v>
      </c>
      <c r="AG3" s="3" t="s">
        <v>50</v>
      </c>
      <c r="AH3" s="3" t="s">
        <v>50</v>
      </c>
      <c r="AI3" s="156" t="s">
        <v>51</v>
      </c>
      <c r="AJ3" s="156" t="s">
        <v>52</v>
      </c>
      <c r="AK3" s="156" t="s">
        <v>53</v>
      </c>
      <c r="AL3" s="156" t="s">
        <v>54</v>
      </c>
      <c r="AM3" s="155" t="s">
        <v>55</v>
      </c>
      <c r="AO3" s="795" t="s">
        <v>710</v>
      </c>
      <c r="AP3" s="1074"/>
      <c r="AQ3" s="795" t="s">
        <v>711</v>
      </c>
      <c r="AR3" s="1074"/>
      <c r="AS3" s="795" t="s">
        <v>712</v>
      </c>
      <c r="AT3" s="1074"/>
      <c r="AU3" s="433" t="s">
        <v>184</v>
      </c>
      <c r="AV3" s="433" t="s">
        <v>184</v>
      </c>
      <c r="AW3" s="433"/>
      <c r="AX3" s="433" t="s">
        <v>184</v>
      </c>
      <c r="AZ3" s="122" t="s">
        <v>726</v>
      </c>
      <c r="BA3" s="122"/>
      <c r="BB3" s="162"/>
      <c r="BC3" s="122" t="s">
        <v>43</v>
      </c>
      <c r="BE3" s="1094" t="s">
        <v>526</v>
      </c>
    </row>
    <row r="4" spans="1:92">
      <c r="A4" s="1" t="s">
        <v>11</v>
      </c>
      <c r="B4" s="3" t="s">
        <v>26</v>
      </c>
      <c r="C4" s="3" t="s">
        <v>56</v>
      </c>
      <c r="D4" s="56" t="s">
        <v>57</v>
      </c>
      <c r="E4" s="3">
        <v>2</v>
      </c>
      <c r="F4" s="3">
        <v>3</v>
      </c>
      <c r="G4" s="3" t="s">
        <v>58</v>
      </c>
      <c r="H4" s="3" t="s">
        <v>59</v>
      </c>
      <c r="I4" s="3" t="s">
        <v>60</v>
      </c>
      <c r="J4" s="3" t="s">
        <v>61</v>
      </c>
      <c r="K4" s="3" t="s">
        <v>404</v>
      </c>
      <c r="L4" s="3">
        <v>1</v>
      </c>
      <c r="M4" s="3">
        <v>2</v>
      </c>
      <c r="N4" s="3" t="s">
        <v>62</v>
      </c>
      <c r="O4" s="3" t="s">
        <v>63</v>
      </c>
      <c r="P4" s="3" t="s">
        <v>64</v>
      </c>
      <c r="Q4" s="3" t="s">
        <v>65</v>
      </c>
      <c r="R4" s="3" t="s">
        <v>66</v>
      </c>
      <c r="S4" s="3" t="s">
        <v>67</v>
      </c>
      <c r="T4" s="3" t="s">
        <v>400</v>
      </c>
      <c r="U4" s="3" t="s">
        <v>56</v>
      </c>
      <c r="V4" s="3" t="s">
        <v>746</v>
      </c>
      <c r="W4" s="3" t="s">
        <v>68</v>
      </c>
      <c r="X4" s="3" t="s">
        <v>69</v>
      </c>
      <c r="Y4" s="3" t="s">
        <v>571</v>
      </c>
      <c r="Z4" s="3" t="s">
        <v>572</v>
      </c>
      <c r="AA4" s="3" t="s">
        <v>779</v>
      </c>
      <c r="AB4" s="3" t="s">
        <v>60</v>
      </c>
      <c r="AC4" s="3" t="s">
        <v>70</v>
      </c>
      <c r="AD4" s="3" t="s">
        <v>71</v>
      </c>
      <c r="AE4" s="3" t="s">
        <v>72</v>
      </c>
      <c r="AF4" s="3" t="s">
        <v>71</v>
      </c>
      <c r="AG4" s="3" t="s">
        <v>72</v>
      </c>
      <c r="AH4" s="3" t="s">
        <v>71</v>
      </c>
      <c r="AI4" s="156" t="s">
        <v>73</v>
      </c>
      <c r="AJ4" s="156" t="s">
        <v>74</v>
      </c>
      <c r="AK4" s="156" t="s">
        <v>74</v>
      </c>
      <c r="AL4" s="156" t="s">
        <v>75</v>
      </c>
      <c r="AM4" s="156" t="s">
        <v>76</v>
      </c>
      <c r="AN4" s="1"/>
      <c r="AO4" s="1073" t="s">
        <v>708</v>
      </c>
      <c r="AP4" s="3" t="s">
        <v>709</v>
      </c>
      <c r="AQ4" s="3" t="s">
        <v>708</v>
      </c>
      <c r="AR4" s="3" t="s">
        <v>709</v>
      </c>
      <c r="AS4" s="3" t="s">
        <v>708</v>
      </c>
      <c r="AT4" s="3" t="s">
        <v>709</v>
      </c>
      <c r="AU4" s="433" t="s">
        <v>203</v>
      </c>
      <c r="AV4" s="433" t="s">
        <v>744</v>
      </c>
      <c r="AW4" s="433" t="s">
        <v>212</v>
      </c>
      <c r="AX4" s="433" t="s">
        <v>707</v>
      </c>
      <c r="AY4" s="1"/>
      <c r="AZ4" s="1095" t="s">
        <v>42</v>
      </c>
      <c r="BA4" s="1096" t="s">
        <v>43</v>
      </c>
      <c r="BB4" s="1097" t="s">
        <v>725</v>
      </c>
      <c r="BC4" s="1097" t="s">
        <v>730</v>
      </c>
      <c r="BE4" s="198" t="s">
        <v>400</v>
      </c>
      <c r="BF4" s="198" t="s">
        <v>727</v>
      </c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>
      <c r="A5" s="88">
        <f>SUM(First_date)</f>
        <v>37009</v>
      </c>
      <c r="B5" s="1">
        <f>(Weather_Input!B5+Weather_Input!C5)/2</f>
        <v>55.5</v>
      </c>
      <c r="C5" s="912">
        <v>288000</v>
      </c>
      <c r="D5" s="913">
        <v>72175</v>
      </c>
      <c r="E5" s="913">
        <v>0</v>
      </c>
      <c r="F5" s="913">
        <v>33955</v>
      </c>
      <c r="G5" s="913">
        <v>22</v>
      </c>
      <c r="H5" s="913">
        <v>35315</v>
      </c>
      <c r="I5" s="913">
        <v>151495</v>
      </c>
      <c r="J5" s="913">
        <v>0</v>
      </c>
      <c r="K5" s="913">
        <v>0</v>
      </c>
      <c r="L5" s="913">
        <v>80</v>
      </c>
      <c r="M5" s="913">
        <v>3820</v>
      </c>
      <c r="N5" s="913">
        <v>162</v>
      </c>
      <c r="O5" s="913">
        <v>81</v>
      </c>
      <c r="P5" s="913">
        <v>765</v>
      </c>
      <c r="Q5" s="913">
        <v>198</v>
      </c>
      <c r="R5" s="913">
        <v>1166</v>
      </c>
      <c r="S5" s="918">
        <v>3987</v>
      </c>
      <c r="T5" s="1161">
        <v>0</v>
      </c>
      <c r="U5" s="912">
        <f>SUM(D5:S5)-T5</f>
        <v>303221</v>
      </c>
      <c r="V5" s="912">
        <v>112449</v>
      </c>
      <c r="W5" s="11">
        <v>0</v>
      </c>
      <c r="X5" s="11">
        <v>0</v>
      </c>
      <c r="Y5" s="11">
        <v>0</v>
      </c>
      <c r="Z5" s="11">
        <v>233165</v>
      </c>
      <c r="AA5" s="11">
        <v>19570</v>
      </c>
      <c r="AB5" s="11">
        <v>0</v>
      </c>
      <c r="AC5" s="11">
        <v>0</v>
      </c>
      <c r="AD5" s="11">
        <v>0</v>
      </c>
      <c r="AE5" s="11">
        <v>0</v>
      </c>
      <c r="AF5" s="11">
        <v>52641</v>
      </c>
      <c r="AG5" s="11">
        <v>0</v>
      </c>
      <c r="AH5" s="11">
        <v>0</v>
      </c>
      <c r="AI5" s="11">
        <v>6</v>
      </c>
      <c r="AJ5" s="11">
        <v>13301</v>
      </c>
      <c r="AK5" s="11">
        <v>0</v>
      </c>
      <c r="AL5" s="11">
        <v>0</v>
      </c>
      <c r="AM5" s="1">
        <v>1023</v>
      </c>
      <c r="AN5" s="1"/>
      <c r="AO5" s="1">
        <v>613</v>
      </c>
      <c r="AP5" s="1">
        <v>0</v>
      </c>
      <c r="AQ5" s="1">
        <v>49384</v>
      </c>
      <c r="AR5" s="1">
        <v>0</v>
      </c>
      <c r="AS5" s="1">
        <v>0</v>
      </c>
      <c r="AT5" s="1">
        <v>627</v>
      </c>
      <c r="AU5" s="1">
        <v>187260</v>
      </c>
      <c r="AV5" s="1">
        <v>640</v>
      </c>
      <c r="AW5" s="627">
        <f>AU5*0.015</f>
        <v>2808.9</v>
      </c>
      <c r="AX5" s="1">
        <v>0</v>
      </c>
      <c r="AY5" s="1"/>
      <c r="AZ5" s="1">
        <v>22</v>
      </c>
      <c r="BA5" s="1">
        <v>12</v>
      </c>
      <c r="BB5" s="1">
        <v>0</v>
      </c>
      <c r="BC5" s="1">
        <v>0</v>
      </c>
      <c r="BD5" s="1"/>
      <c r="BE5" s="1">
        <v>19570</v>
      </c>
      <c r="BF5" s="1">
        <v>0</v>
      </c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>
      <c r="A6" s="88">
        <f>A5+1</f>
        <v>37010</v>
      </c>
      <c r="B6" s="931">
        <f>(Weather_Input!B6+Weather_Input!C6)/2</f>
        <v>67</v>
      </c>
      <c r="C6" s="912">
        <v>250000</v>
      </c>
      <c r="D6" s="914" t="s">
        <v>11</v>
      </c>
      <c r="E6" s="915"/>
      <c r="F6" s="915"/>
      <c r="G6" s="915"/>
      <c r="H6" s="915"/>
      <c r="I6" s="915" t="s">
        <v>11</v>
      </c>
      <c r="J6" s="915"/>
      <c r="K6" s="915"/>
      <c r="L6" s="915" t="s">
        <v>11</v>
      </c>
      <c r="M6" s="915"/>
      <c r="N6" s="915"/>
      <c r="O6" s="915"/>
      <c r="P6" s="915"/>
      <c r="Q6" s="915"/>
      <c r="R6" s="915"/>
      <c r="S6" s="915"/>
      <c r="T6" s="915"/>
      <c r="U6" s="915"/>
      <c r="V6" s="915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 t="s">
        <v>11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 t="s">
        <v>706</v>
      </c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>
      <c r="A7" s="88">
        <f>A6+1</f>
        <v>37011</v>
      </c>
      <c r="B7" s="931">
        <f>(Weather_Input!B7+Weather_Input!C7)/2</f>
        <v>70</v>
      </c>
      <c r="C7" s="912">
        <v>250000</v>
      </c>
      <c r="D7" s="914" t="s">
        <v>11</v>
      </c>
      <c r="E7" s="915"/>
      <c r="F7" s="915"/>
      <c r="G7" s="915"/>
      <c r="H7" s="916" t="s">
        <v>77</v>
      </c>
      <c r="I7" s="915"/>
      <c r="J7" s="915"/>
      <c r="K7" s="915"/>
      <c r="L7" s="915"/>
      <c r="M7" s="915"/>
      <c r="N7" s="915"/>
      <c r="O7" s="915"/>
      <c r="P7" s="915"/>
      <c r="Q7" s="915"/>
      <c r="R7" s="915" t="s">
        <v>538</v>
      </c>
      <c r="S7" s="919">
        <v>0</v>
      </c>
      <c r="T7" s="919"/>
      <c r="U7" s="915"/>
      <c r="V7" s="915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 t="s">
        <v>11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>
      <c r="A8" s="88">
        <f>A7+1</f>
        <v>37012</v>
      </c>
      <c r="B8" s="931">
        <f>(Weather_Input!B8+Weather_Input!C8)/2</f>
        <v>73.5</v>
      </c>
      <c r="C8" s="912">
        <v>240000</v>
      </c>
      <c r="D8" s="914" t="s">
        <v>11</v>
      </c>
      <c r="E8" s="915" t="s">
        <v>11</v>
      </c>
      <c r="F8" s="915"/>
      <c r="G8" s="915"/>
      <c r="H8" s="917" t="s">
        <v>78</v>
      </c>
      <c r="I8" s="915"/>
      <c r="J8" s="915"/>
      <c r="K8" s="915"/>
      <c r="L8" s="915"/>
      <c r="M8" s="915"/>
      <c r="N8" s="915"/>
      <c r="O8" s="915"/>
      <c r="P8" s="915"/>
      <c r="Q8" s="915"/>
      <c r="R8" s="915" t="s">
        <v>539</v>
      </c>
      <c r="S8" s="919">
        <v>0</v>
      </c>
      <c r="T8" s="919"/>
      <c r="U8" s="915"/>
      <c r="V8" s="915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>
      <c r="A9" s="88">
        <f>A8+1</f>
        <v>37013</v>
      </c>
      <c r="B9" s="931">
        <f>(Weather_Input!B9+Weather_Input!C9)/2</f>
        <v>73.5</v>
      </c>
      <c r="C9" s="912">
        <v>240000</v>
      </c>
      <c r="D9" s="914" t="s">
        <v>11</v>
      </c>
      <c r="E9" s="915"/>
      <c r="F9" s="915"/>
      <c r="G9" s="915"/>
      <c r="H9" s="915" t="s">
        <v>79</v>
      </c>
      <c r="I9" s="915"/>
      <c r="J9" s="915"/>
      <c r="K9" s="915"/>
      <c r="L9" s="915"/>
      <c r="M9" s="915"/>
      <c r="N9" s="915"/>
      <c r="O9" s="915"/>
      <c r="P9" s="915"/>
      <c r="Q9" s="915"/>
      <c r="R9" s="915" t="s">
        <v>540</v>
      </c>
      <c r="S9" s="919">
        <v>0</v>
      </c>
      <c r="T9" s="919"/>
      <c r="U9" s="915"/>
      <c r="V9" s="915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>
      <c r="A10" s="88">
        <f>A9+1</f>
        <v>37014</v>
      </c>
      <c r="B10" s="931">
        <f>(Weather_Input!B10+Weather_Input!C10)/2</f>
        <v>72.5</v>
      </c>
      <c r="C10" s="912">
        <v>245000</v>
      </c>
      <c r="D10" s="914" t="s">
        <v>11</v>
      </c>
      <c r="E10" s="915" t="s">
        <v>11</v>
      </c>
      <c r="F10" s="915"/>
      <c r="G10" s="915"/>
      <c r="H10" s="915" t="s">
        <v>80</v>
      </c>
      <c r="I10" s="915"/>
      <c r="J10" s="915"/>
      <c r="K10" s="915"/>
      <c r="L10" s="915"/>
      <c r="M10" s="915"/>
      <c r="N10" s="915"/>
      <c r="O10" s="915"/>
      <c r="P10" s="915"/>
      <c r="Q10" s="915"/>
      <c r="R10" s="915" t="s">
        <v>543</v>
      </c>
      <c r="S10" s="919">
        <v>0</v>
      </c>
      <c r="T10" s="919"/>
      <c r="U10" s="915"/>
      <c r="V10" s="915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>
      <c r="A11" t="s">
        <v>172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541</v>
      </c>
      <c r="S11" s="77">
        <v>0</v>
      </c>
      <c r="T11" s="77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>
      <c r="B12" s="417"/>
      <c r="C12" s="417"/>
      <c r="D12" s="417"/>
      <c r="E12" s="417"/>
      <c r="F12" s="417"/>
      <c r="G12" s="417"/>
      <c r="H12" s="417"/>
      <c r="I12" s="417"/>
      <c r="J12" s="417"/>
      <c r="K12" s="417"/>
      <c r="L12" s="417"/>
      <c r="M12" s="417"/>
      <c r="N12" s="1"/>
      <c r="O12" s="1"/>
      <c r="P12" s="1"/>
      <c r="Q12" s="1"/>
      <c r="R12" s="1" t="s">
        <v>542</v>
      </c>
      <c r="S12" s="77">
        <v>0</v>
      </c>
      <c r="T12" s="77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>
      <c r="N13" s="1"/>
      <c r="O13" s="1"/>
      <c r="P13" s="1"/>
      <c r="Q13" s="1"/>
      <c r="R13" s="1" t="s">
        <v>544</v>
      </c>
      <c r="S13" s="77">
        <v>0</v>
      </c>
      <c r="T13" s="77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>
      <c r="N14" s="1"/>
      <c r="O14" s="1"/>
      <c r="P14" s="1"/>
      <c r="Q14" s="1"/>
      <c r="R14" s="1" t="s">
        <v>545</v>
      </c>
      <c r="S14" s="77">
        <v>0</v>
      </c>
      <c r="T14" s="77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>
      <c r="N15" s="1"/>
      <c r="O15" s="1"/>
      <c r="P15" s="1"/>
      <c r="Q15" s="1"/>
      <c r="R15" s="1" t="s">
        <v>546</v>
      </c>
      <c r="S15" s="77">
        <v>0</v>
      </c>
      <c r="T15" s="77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>
      <c r="N16" s="1"/>
      <c r="O16" s="1"/>
      <c r="P16" s="1"/>
      <c r="Q16" s="1"/>
      <c r="R16" s="1"/>
      <c r="S16" s="832" t="s">
        <v>11</v>
      </c>
      <c r="T16" s="832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3:92" ht="15.75" customHeight="1"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3:92">
      <c r="C18" t="s">
        <v>172</v>
      </c>
      <c r="F18" s="490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3:92"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9" spans="3:92">
      <c r="S29" s="797"/>
      <c r="T29" s="797"/>
    </row>
    <row r="30" spans="3:92">
      <c r="S30" s="797"/>
      <c r="T30" s="797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topLeftCell="G1" zoomScale="75" workbookViewId="0">
      <selection activeCell="R5" sqref="R5"/>
    </sheetView>
  </sheetViews>
  <sheetFormatPr defaultRowHeight="12.75"/>
  <cols>
    <col min="1" max="2" width="8.88671875" style="1"/>
    <col min="3" max="3" width="11.88671875" style="1" bestFit="1" customWidth="1"/>
    <col min="4" max="4" width="9.44140625" style="1" customWidth="1"/>
    <col min="5" max="6" width="9.109375" style="1" customWidth="1"/>
    <col min="7" max="7" width="8.88671875" style="1"/>
    <col min="8" max="8" width="12.5546875" style="1" customWidth="1"/>
    <col min="9" max="16384" width="8.88671875" style="1"/>
  </cols>
  <sheetData>
    <row r="1" spans="1:14">
      <c r="A1" s="10" t="s">
        <v>11</v>
      </c>
      <c r="B1" s="10"/>
      <c r="C1" s="10"/>
      <c r="M1" s="1" t="s">
        <v>68</v>
      </c>
      <c r="N1" s="1" t="s">
        <v>68</v>
      </c>
    </row>
    <row r="2" spans="1:14" ht="15">
      <c r="K2" t="s">
        <v>704</v>
      </c>
      <c r="L2" t="s">
        <v>704</v>
      </c>
      <c r="M2" t="s">
        <v>704</v>
      </c>
      <c r="N2" t="s">
        <v>704</v>
      </c>
    </row>
    <row r="3" spans="1:14" ht="15">
      <c r="B3" s="11" t="s">
        <v>39</v>
      </c>
      <c r="C3" s="1" t="s">
        <v>56</v>
      </c>
      <c r="D3" s="3" t="s">
        <v>81</v>
      </c>
      <c r="F3" s="3" t="s">
        <v>638</v>
      </c>
      <c r="G3" s="156" t="s">
        <v>82</v>
      </c>
      <c r="H3" s="3" t="s">
        <v>15</v>
      </c>
      <c r="I3" s="156" t="s">
        <v>83</v>
      </c>
      <c r="K3" t="s">
        <v>705</v>
      </c>
      <c r="L3" t="s">
        <v>705</v>
      </c>
      <c r="M3" t="s">
        <v>705</v>
      </c>
      <c r="N3" t="s">
        <v>705</v>
      </c>
    </row>
    <row r="4" spans="1:14">
      <c r="B4" s="11" t="s">
        <v>84</v>
      </c>
      <c r="D4" s="3" t="s">
        <v>85</v>
      </c>
      <c r="E4" s="3" t="s">
        <v>86</v>
      </c>
      <c r="F4" s="3" t="s">
        <v>85</v>
      </c>
      <c r="G4" s="156" t="s">
        <v>85</v>
      </c>
      <c r="H4" s="3" t="s">
        <v>56</v>
      </c>
      <c r="I4" s="156" t="s">
        <v>87</v>
      </c>
      <c r="K4" s="1" t="s">
        <v>702</v>
      </c>
      <c r="L4" s="1" t="s">
        <v>703</v>
      </c>
      <c r="M4" s="1" t="s">
        <v>702</v>
      </c>
      <c r="N4" s="1" t="s">
        <v>703</v>
      </c>
    </row>
    <row r="5" spans="1:14">
      <c r="A5" s="12">
        <f>Weather_Input!A5</f>
        <v>37009</v>
      </c>
      <c r="B5" s="1">
        <f>(Weather_Input!B5+Weather_Input!C5)/2</f>
        <v>55.5</v>
      </c>
      <c r="C5" s="912">
        <v>56000</v>
      </c>
      <c r="D5" s="912">
        <v>0</v>
      </c>
      <c r="E5" s="912">
        <v>56117</v>
      </c>
      <c r="F5" s="912">
        <v>0</v>
      </c>
      <c r="G5" s="912">
        <v>0</v>
      </c>
      <c r="H5" s="920">
        <f>SUM(D5:G5)</f>
        <v>56117</v>
      </c>
      <c r="I5" s="1">
        <v>1005</v>
      </c>
      <c r="J5" s="1" t="s">
        <v>11</v>
      </c>
      <c r="K5" s="1">
        <v>0</v>
      </c>
      <c r="L5" s="1">
        <v>6362</v>
      </c>
      <c r="M5" s="1">
        <v>20000</v>
      </c>
      <c r="N5" s="1">
        <v>0</v>
      </c>
    </row>
    <row r="6" spans="1:14">
      <c r="A6" s="12">
        <f>A5+1</f>
        <v>37010</v>
      </c>
      <c r="B6" s="931">
        <f>(Weather_Input!B6+Weather_Input!C6)/2</f>
        <v>67</v>
      </c>
      <c r="C6" s="912">
        <v>47000</v>
      </c>
      <c r="D6" s="915" t="s">
        <v>11</v>
      </c>
      <c r="E6" s="915"/>
      <c r="F6" s="915"/>
      <c r="G6" s="915"/>
      <c r="H6" s="15"/>
      <c r="I6" s="1" t="s">
        <v>11</v>
      </c>
    </row>
    <row r="7" spans="1:14">
      <c r="A7" s="12">
        <f>A6+1</f>
        <v>37011</v>
      </c>
      <c r="B7" s="931">
        <f>(Weather_Input!B7+Weather_Input!C7)/2</f>
        <v>70</v>
      </c>
      <c r="C7" s="912">
        <v>46000</v>
      </c>
      <c r="D7" s="915" t="s">
        <v>11</v>
      </c>
      <c r="E7" s="915" t="s">
        <v>11</v>
      </c>
      <c r="F7" s="915"/>
      <c r="G7" s="915"/>
      <c r="H7" s="15"/>
    </row>
    <row r="8" spans="1:14">
      <c r="A8" s="12">
        <f>A7+1</f>
        <v>37012</v>
      </c>
      <c r="B8" s="931">
        <f>(Weather_Input!B8+Weather_Input!C8)/2</f>
        <v>73.5</v>
      </c>
      <c r="C8" s="912">
        <v>42000</v>
      </c>
      <c r="D8" s="915" t="s">
        <v>11</v>
      </c>
      <c r="E8" s="915"/>
      <c r="F8" s="915"/>
      <c r="G8" s="915"/>
      <c r="H8" s="15"/>
    </row>
    <row r="9" spans="1:14">
      <c r="A9" s="12">
        <f>A8+1</f>
        <v>37013</v>
      </c>
      <c r="B9" s="931">
        <f>(Weather_Input!B9+Weather_Input!C9)/2</f>
        <v>73.5</v>
      </c>
      <c r="C9" s="912">
        <v>42000</v>
      </c>
      <c r="D9" s="915" t="s">
        <v>11</v>
      </c>
      <c r="E9" s="915"/>
      <c r="F9" s="915"/>
      <c r="G9" s="915"/>
      <c r="H9" s="15"/>
    </row>
    <row r="10" spans="1:14">
      <c r="A10" s="12">
        <f>A9+1</f>
        <v>37014</v>
      </c>
      <c r="B10" s="931">
        <f>(Weather_Input!B10+Weather_Input!C10)/2</f>
        <v>72.5</v>
      </c>
      <c r="C10" s="912">
        <v>43000</v>
      </c>
      <c r="D10" s="915" t="s">
        <v>11</v>
      </c>
      <c r="E10" s="915"/>
      <c r="F10" s="915"/>
      <c r="G10" s="915"/>
      <c r="H10" s="15"/>
    </row>
    <row r="11" spans="1:14">
      <c r="A11" s="1" t="s">
        <v>172</v>
      </c>
      <c r="C11" s="1191" t="s">
        <v>11</v>
      </c>
    </row>
    <row r="12" spans="1:14">
      <c r="C12" s="1" t="s">
        <v>11</v>
      </c>
    </row>
    <row r="17" spans="11:11">
      <c r="K17" s="1" t="s">
        <v>11</v>
      </c>
    </row>
    <row r="104" spans="4:4">
      <c r="D104" s="1" t="s">
        <v>11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K17"/>
  <sheetViews>
    <sheetView zoomScale="75" workbookViewId="0">
      <selection activeCell="H7" sqref="H7"/>
    </sheetView>
  </sheetViews>
  <sheetFormatPr defaultRowHeight="15"/>
  <cols>
    <col min="1" max="8" width="8.6640625" customWidth="1"/>
    <col min="9" max="9" width="9" bestFit="1" customWidth="1"/>
    <col min="10" max="10" width="10.33203125" customWidth="1"/>
    <col min="11" max="35" width="9" bestFit="1" customWidth="1"/>
    <col min="36" max="36" width="10.109375" bestFit="1" customWidth="1"/>
  </cols>
  <sheetData>
    <row r="1" spans="1:89">
      <c r="A1" s="10"/>
      <c r="B1" s="5"/>
      <c r="C1" s="5"/>
      <c r="D1" s="5"/>
      <c r="E1" s="5"/>
      <c r="F1" s="5"/>
      <c r="G1" s="5"/>
      <c r="H1" s="5"/>
    </row>
    <row r="2" spans="1:89" s="1" customFormat="1" ht="12.75">
      <c r="A2" s="10"/>
      <c r="B2" s="10"/>
      <c r="C2" s="76"/>
      <c r="D2" s="10"/>
      <c r="E2" s="10"/>
      <c r="F2" s="10"/>
      <c r="G2" s="10"/>
      <c r="H2" s="10"/>
    </row>
    <row r="3" spans="1:89" s="50" customFormat="1" ht="12.75">
      <c r="B3" s="71"/>
      <c r="C3" s="78" t="s">
        <v>88</v>
      </c>
      <c r="D3" s="53"/>
      <c r="E3" s="53"/>
      <c r="F3" s="62"/>
      <c r="G3" s="71"/>
      <c r="H3" s="1190">
        <v>1</v>
      </c>
      <c r="I3" s="52" t="s">
        <v>89</v>
      </c>
      <c r="J3" s="52"/>
      <c r="K3" s="52"/>
      <c r="L3" s="52"/>
      <c r="M3" s="52"/>
      <c r="N3" s="62"/>
      <c r="O3" s="62"/>
      <c r="P3" s="52" t="s">
        <v>72</v>
      </c>
      <c r="Q3" s="52"/>
      <c r="R3" s="52"/>
      <c r="S3" s="52"/>
      <c r="T3" s="52"/>
      <c r="U3" s="52"/>
      <c r="V3" s="63" t="s">
        <v>91</v>
      </c>
      <c r="W3" s="52"/>
      <c r="X3" s="52"/>
      <c r="Y3" s="52"/>
      <c r="Z3" s="52"/>
    </row>
    <row r="4" spans="1:89" s="1" customFormat="1" ht="12.75">
      <c r="B4" s="64"/>
      <c r="C4" s="60"/>
      <c r="F4" s="64"/>
      <c r="G4" s="64"/>
      <c r="H4" s="805" t="s">
        <v>637</v>
      </c>
      <c r="I4" s="3" t="s">
        <v>1</v>
      </c>
      <c r="J4" s="3" t="s">
        <v>757</v>
      </c>
      <c r="N4" s="64"/>
      <c r="O4" s="58"/>
      <c r="P4" s="66"/>
      <c r="Q4" s="66"/>
      <c r="V4" s="55" t="s">
        <v>68</v>
      </c>
      <c r="W4" s="53"/>
      <c r="X4" s="65"/>
      <c r="Y4" s="53" t="s">
        <v>38</v>
      </c>
      <c r="Z4" s="53"/>
      <c r="AA4" s="53"/>
      <c r="AB4" s="53"/>
      <c r="AC4" s="55" t="s">
        <v>93</v>
      </c>
      <c r="AD4" s="53"/>
      <c r="AE4" s="53"/>
      <c r="AF4" s="74"/>
      <c r="AG4" s="3" t="s">
        <v>416</v>
      </c>
    </row>
    <row r="5" spans="1:89" s="1" customFormat="1" ht="12.75">
      <c r="B5" s="67" t="s">
        <v>94</v>
      </c>
      <c r="C5" s="59"/>
      <c r="F5" s="252"/>
      <c r="G5" s="67" t="s">
        <v>11</v>
      </c>
      <c r="H5" s="805" t="s">
        <v>400</v>
      </c>
      <c r="I5" s="109" t="s">
        <v>723</v>
      </c>
      <c r="J5" s="54" t="s">
        <v>746</v>
      </c>
      <c r="N5" s="64"/>
      <c r="O5" s="117" t="s">
        <v>38</v>
      </c>
      <c r="P5" s="3" t="s">
        <v>55</v>
      </c>
      <c r="Q5" s="3" t="s">
        <v>60</v>
      </c>
      <c r="R5" s="3" t="s">
        <v>60</v>
      </c>
      <c r="S5" s="3" t="s">
        <v>38</v>
      </c>
      <c r="T5" s="109" t="s">
        <v>184</v>
      </c>
      <c r="U5" s="1139" t="s">
        <v>770</v>
      </c>
      <c r="V5" s="56" t="s">
        <v>97</v>
      </c>
      <c r="W5" s="3" t="s">
        <v>97</v>
      </c>
      <c r="X5" s="3" t="s">
        <v>97</v>
      </c>
      <c r="Y5" s="3" t="s">
        <v>97</v>
      </c>
      <c r="Z5" s="3" t="s">
        <v>97</v>
      </c>
      <c r="AA5" s="3" t="s">
        <v>97</v>
      </c>
      <c r="AB5" s="3" t="s">
        <v>97</v>
      </c>
      <c r="AC5" s="56" t="s">
        <v>97</v>
      </c>
      <c r="AD5" s="3" t="s">
        <v>97</v>
      </c>
      <c r="AE5" s="3" t="s">
        <v>97</v>
      </c>
      <c r="AF5" s="56" t="s">
        <v>97</v>
      </c>
      <c r="AG5" s="3" t="s">
        <v>97</v>
      </c>
      <c r="AH5" s="3" t="s">
        <v>97</v>
      </c>
      <c r="AI5" s="3" t="s">
        <v>97</v>
      </c>
    </row>
    <row r="6" spans="1:89" s="1" customFormat="1" ht="12.75">
      <c r="A6" s="68"/>
      <c r="B6" s="69" t="s">
        <v>98</v>
      </c>
      <c r="C6" s="54" t="s">
        <v>68</v>
      </c>
      <c r="D6" s="54" t="s">
        <v>93</v>
      </c>
      <c r="E6" s="54" t="s">
        <v>416</v>
      </c>
      <c r="F6" s="253" t="s">
        <v>96</v>
      </c>
      <c r="G6" s="54" t="s">
        <v>99</v>
      </c>
      <c r="H6" s="806" t="s">
        <v>416</v>
      </c>
      <c r="I6" s="1075" t="s">
        <v>724</v>
      </c>
      <c r="J6" s="54" t="s">
        <v>756</v>
      </c>
      <c r="K6" s="54" t="s">
        <v>416</v>
      </c>
      <c r="L6" s="54" t="s">
        <v>38</v>
      </c>
      <c r="M6" s="54" t="s">
        <v>400</v>
      </c>
      <c r="N6" s="54" t="s">
        <v>96</v>
      </c>
      <c r="O6" s="83" t="s">
        <v>90</v>
      </c>
      <c r="P6" s="54" t="s">
        <v>60</v>
      </c>
      <c r="Q6" s="54" t="s">
        <v>101</v>
      </c>
      <c r="R6" s="54" t="s">
        <v>741</v>
      </c>
      <c r="S6" s="54" t="s">
        <v>103</v>
      </c>
      <c r="T6" s="1076" t="s">
        <v>720</v>
      </c>
      <c r="U6" s="1075" t="s">
        <v>90</v>
      </c>
      <c r="V6" s="54" t="s">
        <v>68</v>
      </c>
      <c r="W6" s="54" t="s">
        <v>38</v>
      </c>
      <c r="X6" s="54" t="s">
        <v>93</v>
      </c>
      <c r="Y6" s="54" t="s">
        <v>38</v>
      </c>
      <c r="Z6" s="54" t="s">
        <v>68</v>
      </c>
      <c r="AA6" s="54" t="s">
        <v>93</v>
      </c>
      <c r="AB6" s="54" t="s">
        <v>416</v>
      </c>
      <c r="AC6" s="54" t="s">
        <v>68</v>
      </c>
      <c r="AD6" s="54" t="s">
        <v>38</v>
      </c>
      <c r="AE6" s="54" t="s">
        <v>93</v>
      </c>
      <c r="AF6" s="54" t="s">
        <v>68</v>
      </c>
      <c r="AG6" s="54" t="s">
        <v>38</v>
      </c>
      <c r="AH6" s="54" t="s">
        <v>93</v>
      </c>
      <c r="AI6" s="54" t="s">
        <v>416</v>
      </c>
    </row>
    <row r="7" spans="1:89" s="1" customFormat="1" ht="12.75">
      <c r="A7" s="833">
        <f>Weather_Input!A5</f>
        <v>37009</v>
      </c>
      <c r="B7" s="921">
        <v>0</v>
      </c>
      <c r="C7" s="922">
        <v>0</v>
      </c>
      <c r="D7" s="625">
        <v>4620</v>
      </c>
      <c r="E7" s="625">
        <v>0</v>
      </c>
      <c r="F7" s="921">
        <v>0</v>
      </c>
      <c r="G7" s="921">
        <v>617</v>
      </c>
      <c r="H7" s="923">
        <v>20364</v>
      </c>
      <c r="I7" s="624">
        <v>0</v>
      </c>
      <c r="J7" s="624">
        <v>0</v>
      </c>
      <c r="K7" s="625">
        <v>0</v>
      </c>
      <c r="L7" s="624">
        <v>0</v>
      </c>
      <c r="M7" s="625">
        <v>0</v>
      </c>
      <c r="N7" s="625">
        <v>0</v>
      </c>
      <c r="O7" s="626">
        <v>49384</v>
      </c>
      <c r="P7" s="625">
        <v>187260</v>
      </c>
      <c r="Q7" s="627">
        <f t="shared" ref="Q7:Q12" si="0">P7*0.015</f>
        <v>2808.9</v>
      </c>
      <c r="R7" s="625">
        <v>640</v>
      </c>
      <c r="S7" s="625">
        <v>0</v>
      </c>
      <c r="T7" s="625">
        <v>0</v>
      </c>
      <c r="U7" s="624">
        <v>40000</v>
      </c>
      <c r="V7" s="625">
        <v>0</v>
      </c>
      <c r="W7" s="625">
        <v>0</v>
      </c>
      <c r="X7" s="625">
        <v>0</v>
      </c>
      <c r="Y7" s="625">
        <v>0</v>
      </c>
      <c r="Z7" s="625">
        <v>0</v>
      </c>
      <c r="AA7" s="624">
        <v>0</v>
      </c>
      <c r="AB7" s="624">
        <v>0</v>
      </c>
      <c r="AC7" s="624">
        <v>0</v>
      </c>
      <c r="AD7" s="624">
        <v>0</v>
      </c>
      <c r="AE7" s="624">
        <v>0</v>
      </c>
      <c r="AF7" s="624">
        <v>0</v>
      </c>
      <c r="AG7" s="624">
        <v>0</v>
      </c>
      <c r="AH7" s="624">
        <v>0</v>
      </c>
      <c r="AI7" s="624">
        <v>0</v>
      </c>
      <c r="AJ7" s="833">
        <f>Weather_Input!A5</f>
        <v>37009</v>
      </c>
    </row>
    <row r="8" spans="1:89" s="1" customFormat="1" ht="12.75">
      <c r="A8" s="833">
        <f>A7+1</f>
        <v>37010</v>
      </c>
      <c r="B8" s="921">
        <v>0</v>
      </c>
      <c r="C8" s="922">
        <v>0</v>
      </c>
      <c r="D8" s="625">
        <v>4620</v>
      </c>
      <c r="E8" s="625">
        <v>0</v>
      </c>
      <c r="F8" s="921">
        <v>0</v>
      </c>
      <c r="G8" s="921">
        <v>20000</v>
      </c>
      <c r="H8" s="923">
        <v>3617</v>
      </c>
      <c r="I8" s="624">
        <v>0</v>
      </c>
      <c r="J8" s="624">
        <v>0</v>
      </c>
      <c r="K8" s="625">
        <v>0</v>
      </c>
      <c r="L8" s="624">
        <v>0</v>
      </c>
      <c r="M8" s="625">
        <v>0</v>
      </c>
      <c r="N8" s="625">
        <v>0</v>
      </c>
      <c r="O8" s="626">
        <v>69460</v>
      </c>
      <c r="P8" s="625">
        <v>200000</v>
      </c>
      <c r="Q8" s="627">
        <f t="shared" si="0"/>
        <v>3000</v>
      </c>
      <c r="R8" s="625">
        <v>650</v>
      </c>
      <c r="S8" s="625">
        <v>0</v>
      </c>
      <c r="T8" s="625">
        <v>0</v>
      </c>
      <c r="U8" s="624">
        <v>40000</v>
      </c>
      <c r="V8" s="625">
        <v>0</v>
      </c>
      <c r="W8" s="625">
        <v>0</v>
      </c>
      <c r="X8" s="625">
        <v>0</v>
      </c>
      <c r="Y8" s="625">
        <v>0</v>
      </c>
      <c r="Z8" s="625">
        <v>0</v>
      </c>
      <c r="AA8" s="624">
        <v>0</v>
      </c>
      <c r="AB8" s="624">
        <v>0</v>
      </c>
      <c r="AC8" s="624">
        <v>0</v>
      </c>
      <c r="AD8" s="624">
        <v>0</v>
      </c>
      <c r="AE8" s="624">
        <v>0</v>
      </c>
      <c r="AF8" s="624">
        <v>0</v>
      </c>
      <c r="AG8" s="624">
        <v>0</v>
      </c>
      <c r="AH8" s="624">
        <v>0</v>
      </c>
      <c r="AI8" s="624">
        <v>0</v>
      </c>
      <c r="AJ8" s="833">
        <f>AJ7+1</f>
        <v>37010</v>
      </c>
      <c r="AK8" s="624"/>
      <c r="AL8" s="624"/>
      <c r="AM8" s="624"/>
      <c r="AO8" s="624"/>
      <c r="AP8" s="624"/>
      <c r="AQ8" s="624"/>
      <c r="AR8" s="624"/>
      <c r="AS8" s="624"/>
      <c r="AT8" s="624"/>
      <c r="AU8" s="624"/>
      <c r="AV8" s="624"/>
      <c r="AW8" s="624"/>
      <c r="AX8" s="624"/>
      <c r="AY8" s="624"/>
      <c r="AZ8" s="624"/>
      <c r="BA8" s="624"/>
      <c r="BB8" s="624"/>
      <c r="BC8" s="624"/>
    </row>
    <row r="9" spans="1:89" s="1" customFormat="1" ht="12.75">
      <c r="A9" s="833">
        <f>A8+1</f>
        <v>37011</v>
      </c>
      <c r="B9" s="921">
        <v>0</v>
      </c>
      <c r="C9" s="922">
        <v>0</v>
      </c>
      <c r="D9" s="625">
        <v>4620</v>
      </c>
      <c r="E9" s="625">
        <v>0</v>
      </c>
      <c r="F9" s="921">
        <v>0</v>
      </c>
      <c r="G9" s="921">
        <v>0</v>
      </c>
      <c r="H9" s="923">
        <v>29619</v>
      </c>
      <c r="I9" s="624">
        <v>0</v>
      </c>
      <c r="J9" s="624">
        <v>0</v>
      </c>
      <c r="K9" s="625">
        <v>0</v>
      </c>
      <c r="L9" s="624">
        <v>0</v>
      </c>
      <c r="M9" s="625">
        <v>0</v>
      </c>
      <c r="N9" s="625">
        <v>0</v>
      </c>
      <c r="O9" s="626">
        <v>0</v>
      </c>
      <c r="P9" s="625">
        <v>200000</v>
      </c>
      <c r="Q9" s="627">
        <f t="shared" si="0"/>
        <v>3000</v>
      </c>
      <c r="R9" s="625">
        <v>650</v>
      </c>
      <c r="S9" s="625">
        <v>0</v>
      </c>
      <c r="T9" s="625">
        <v>0</v>
      </c>
      <c r="U9" s="624">
        <v>40000</v>
      </c>
      <c r="V9" s="625">
        <v>0</v>
      </c>
      <c r="W9" s="625">
        <v>0</v>
      </c>
      <c r="X9" s="625">
        <v>0</v>
      </c>
      <c r="Y9" s="625">
        <v>0</v>
      </c>
      <c r="Z9" s="625">
        <v>0</v>
      </c>
      <c r="AA9" s="624">
        <v>0</v>
      </c>
      <c r="AB9" s="624">
        <v>0</v>
      </c>
      <c r="AC9" s="624">
        <v>0</v>
      </c>
      <c r="AD9" s="624">
        <v>0</v>
      </c>
      <c r="AE9" s="624">
        <v>0</v>
      </c>
      <c r="AF9" s="624">
        <v>0</v>
      </c>
      <c r="AG9" s="624">
        <v>0</v>
      </c>
      <c r="AH9" s="624">
        <v>0</v>
      </c>
      <c r="AI9" s="624">
        <v>0</v>
      </c>
      <c r="AJ9" s="833">
        <f>AJ8+1</f>
        <v>37011</v>
      </c>
      <c r="AN9" s="624"/>
    </row>
    <row r="10" spans="1:89" s="1" customFormat="1" ht="12.75">
      <c r="A10" s="833">
        <f>A9+1</f>
        <v>37012</v>
      </c>
      <c r="B10" s="921">
        <v>0</v>
      </c>
      <c r="C10" s="922">
        <v>0</v>
      </c>
      <c r="D10" s="625">
        <v>0</v>
      </c>
      <c r="E10" s="625">
        <v>0</v>
      </c>
      <c r="F10" s="921">
        <v>0</v>
      </c>
      <c r="G10" s="921">
        <v>0</v>
      </c>
      <c r="H10" s="923">
        <v>20390</v>
      </c>
      <c r="I10" s="624">
        <v>0</v>
      </c>
      <c r="J10" s="624">
        <v>0</v>
      </c>
      <c r="K10" s="625">
        <v>0</v>
      </c>
      <c r="L10" s="624">
        <v>0</v>
      </c>
      <c r="M10" s="625">
        <v>0</v>
      </c>
      <c r="N10" s="625">
        <v>0</v>
      </c>
      <c r="O10" s="626">
        <v>0</v>
      </c>
      <c r="P10" s="625">
        <v>160000</v>
      </c>
      <c r="Q10" s="627">
        <f t="shared" si="0"/>
        <v>2400</v>
      </c>
      <c r="R10" s="625">
        <v>650</v>
      </c>
      <c r="S10" s="625">
        <v>0</v>
      </c>
      <c r="T10" s="625">
        <v>0</v>
      </c>
      <c r="U10" s="624">
        <v>40000</v>
      </c>
      <c r="V10" s="625">
        <v>0</v>
      </c>
      <c r="W10" s="625">
        <v>0</v>
      </c>
      <c r="X10" s="625">
        <v>0</v>
      </c>
      <c r="Y10" s="625">
        <v>0</v>
      </c>
      <c r="Z10" s="625">
        <v>0</v>
      </c>
      <c r="AA10" s="624">
        <v>0</v>
      </c>
      <c r="AB10" s="624">
        <v>0</v>
      </c>
      <c r="AC10" s="624">
        <v>0</v>
      </c>
      <c r="AD10" s="624">
        <v>0</v>
      </c>
      <c r="AE10" s="624">
        <v>0</v>
      </c>
      <c r="AF10" s="624">
        <v>0</v>
      </c>
      <c r="AG10" s="624">
        <v>0</v>
      </c>
      <c r="AH10" s="624">
        <v>0</v>
      </c>
      <c r="AI10" s="624">
        <v>0</v>
      </c>
      <c r="AJ10" s="833">
        <f>AJ9+1</f>
        <v>37012</v>
      </c>
    </row>
    <row r="11" spans="1:89" s="1" customFormat="1" ht="12.75">
      <c r="A11" s="833">
        <f>A10+1</f>
        <v>37013</v>
      </c>
      <c r="B11" s="921">
        <v>0</v>
      </c>
      <c r="C11" s="922">
        <v>0</v>
      </c>
      <c r="D11" s="625">
        <v>0</v>
      </c>
      <c r="E11" s="625">
        <v>0</v>
      </c>
      <c r="F11" s="921">
        <v>0</v>
      </c>
      <c r="G11" s="921">
        <v>0</v>
      </c>
      <c r="H11" s="923">
        <v>0</v>
      </c>
      <c r="I11" s="624">
        <v>0</v>
      </c>
      <c r="J11" s="624">
        <v>0</v>
      </c>
      <c r="K11" s="625">
        <v>0</v>
      </c>
      <c r="L11" s="624">
        <v>0</v>
      </c>
      <c r="M11" s="625">
        <v>0</v>
      </c>
      <c r="N11" s="625">
        <v>0</v>
      </c>
      <c r="O11" s="626">
        <v>0</v>
      </c>
      <c r="P11" s="625">
        <v>160000</v>
      </c>
      <c r="Q11" s="627">
        <f t="shared" si="0"/>
        <v>2400</v>
      </c>
      <c r="R11" s="625">
        <v>650</v>
      </c>
      <c r="S11" s="625">
        <v>0</v>
      </c>
      <c r="T11" s="625">
        <v>0</v>
      </c>
      <c r="U11" s="624">
        <v>40000</v>
      </c>
      <c r="V11" s="625">
        <v>0</v>
      </c>
      <c r="W11" s="625">
        <v>0</v>
      </c>
      <c r="X11" s="625">
        <v>0</v>
      </c>
      <c r="Y11" s="625">
        <v>0</v>
      </c>
      <c r="Z11" s="625">
        <v>0</v>
      </c>
      <c r="AA11" s="624">
        <v>0</v>
      </c>
      <c r="AB11" s="624">
        <v>0</v>
      </c>
      <c r="AC11" s="624">
        <v>0</v>
      </c>
      <c r="AD11" s="624">
        <v>0</v>
      </c>
      <c r="AE11" s="624">
        <v>0</v>
      </c>
      <c r="AF11" s="624">
        <v>0</v>
      </c>
      <c r="AG11" s="624">
        <v>0</v>
      </c>
      <c r="AH11" s="624">
        <v>0</v>
      </c>
      <c r="AI11" s="624">
        <v>0</v>
      </c>
      <c r="AJ11" s="833">
        <f>AJ10+1</f>
        <v>37013</v>
      </c>
    </row>
    <row r="12" spans="1:89" s="1" customFormat="1" ht="12.75">
      <c r="A12" s="833">
        <f>A11+1</f>
        <v>37014</v>
      </c>
      <c r="B12" s="921">
        <v>0</v>
      </c>
      <c r="C12" s="922">
        <v>0</v>
      </c>
      <c r="D12" s="625">
        <v>0</v>
      </c>
      <c r="E12" s="625">
        <v>0</v>
      </c>
      <c r="F12" s="921">
        <v>0</v>
      </c>
      <c r="G12" s="921">
        <v>0</v>
      </c>
      <c r="H12" s="923">
        <v>0</v>
      </c>
      <c r="I12" s="624">
        <v>0</v>
      </c>
      <c r="J12" s="624">
        <v>0</v>
      </c>
      <c r="K12" s="625">
        <v>0</v>
      </c>
      <c r="L12" s="624">
        <v>0</v>
      </c>
      <c r="M12" s="625">
        <v>0</v>
      </c>
      <c r="N12" s="625">
        <v>0</v>
      </c>
      <c r="O12" s="626">
        <v>0</v>
      </c>
      <c r="P12" s="625">
        <v>160000</v>
      </c>
      <c r="Q12" s="627">
        <f t="shared" si="0"/>
        <v>2400</v>
      </c>
      <c r="R12" s="625">
        <v>650</v>
      </c>
      <c r="S12" s="625">
        <v>0</v>
      </c>
      <c r="T12" s="625">
        <v>0</v>
      </c>
      <c r="U12" s="624">
        <v>40000</v>
      </c>
      <c r="V12" s="625">
        <v>0</v>
      </c>
      <c r="W12" s="625">
        <v>0</v>
      </c>
      <c r="X12" s="625">
        <v>0</v>
      </c>
      <c r="Y12" s="625">
        <v>0</v>
      </c>
      <c r="Z12" s="625">
        <v>0</v>
      </c>
      <c r="AA12" s="624">
        <v>0</v>
      </c>
      <c r="AB12" s="624">
        <v>0</v>
      </c>
      <c r="AC12" s="624">
        <v>0</v>
      </c>
      <c r="AD12" s="624">
        <v>0</v>
      </c>
      <c r="AE12" s="624">
        <v>0</v>
      </c>
      <c r="AF12" s="624">
        <v>0</v>
      </c>
      <c r="AG12" s="624">
        <v>0</v>
      </c>
      <c r="AH12" s="624">
        <v>0</v>
      </c>
      <c r="AI12" s="624">
        <v>0</v>
      </c>
      <c r="AJ12" s="833">
        <f>AJ11+1</f>
        <v>37014</v>
      </c>
    </row>
    <row r="13" spans="1:89">
      <c r="A13" s="1"/>
      <c r="B13" s="1"/>
      <c r="C13" s="1"/>
      <c r="D13" s="1" t="s">
        <v>11</v>
      </c>
      <c r="E13" s="1"/>
      <c r="F13" s="1"/>
      <c r="G13" s="1"/>
      <c r="H13" s="1"/>
      <c r="I13" s="1"/>
      <c r="J13" s="11"/>
      <c r="K13" s="11"/>
      <c r="L13" s="624"/>
      <c r="M13" s="1"/>
      <c r="N13" s="625" t="s">
        <v>11</v>
      </c>
      <c r="O13" s="1"/>
      <c r="P13" s="1"/>
      <c r="Q13" s="1"/>
      <c r="R13" s="1"/>
      <c r="S13" s="1"/>
      <c r="T13" s="1"/>
      <c r="U13" s="624" t="s">
        <v>11</v>
      </c>
      <c r="V13" s="1"/>
      <c r="W13" s="1"/>
      <c r="X13" s="1"/>
      <c r="Y13" s="1"/>
      <c r="Z13" s="1" t="s">
        <v>11</v>
      </c>
      <c r="AA13" s="1"/>
      <c r="AB13" s="624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</row>
    <row r="14" spans="1:89">
      <c r="A14" s="1"/>
      <c r="B14" s="1"/>
      <c r="C14" s="1"/>
      <c r="D14" s="1" t="s">
        <v>696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25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</row>
    <row r="15" spans="1:89">
      <c r="A15" s="1"/>
      <c r="B15" s="1"/>
      <c r="C15" s="1"/>
      <c r="D15" s="1"/>
      <c r="E15" s="1"/>
      <c r="F15" s="1"/>
      <c r="G15" s="1"/>
      <c r="H15" s="1"/>
      <c r="I15" s="1"/>
      <c r="J15" s="11" t="s">
        <v>11</v>
      </c>
      <c r="K15" s="11"/>
      <c r="L15" s="1"/>
      <c r="M15" s="1"/>
      <c r="N15" s="1"/>
      <c r="O15" s="1"/>
      <c r="P15" s="1"/>
      <c r="Q15" s="1"/>
      <c r="R15" s="1"/>
      <c r="S15" s="1"/>
      <c r="T15" s="625"/>
      <c r="U15" s="70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</row>
    <row r="16" spans="1:89">
      <c r="A16" s="1"/>
      <c r="B16" s="1"/>
      <c r="C16" s="1"/>
      <c r="D16" s="1"/>
      <c r="E16" s="1"/>
      <c r="F16" s="1"/>
      <c r="G16" s="1"/>
      <c r="H16" s="1"/>
      <c r="I16" s="1" t="s">
        <v>11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625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</row>
    <row r="17" spans="20:20">
      <c r="T17" s="625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25"/>
  <sheetViews>
    <sheetView topLeftCell="E1" zoomScale="75" workbookViewId="0">
      <selection activeCell="I8" sqref="I8"/>
    </sheetView>
  </sheetViews>
  <sheetFormatPr defaultColWidth="8.77734375" defaultRowHeight="12.75"/>
  <cols>
    <col min="1" max="16" width="8.77734375" style="1" customWidth="1"/>
    <col min="17" max="17" width="9.5546875" style="1" customWidth="1"/>
    <col min="18" max="23" width="8.77734375" style="1" customWidth="1"/>
    <col min="24" max="24" width="10.5546875" style="1" customWidth="1"/>
    <col min="25" max="16384" width="8.77734375" style="1"/>
  </cols>
  <sheetData>
    <row r="1" spans="1:37">
      <c r="A1" s="418"/>
      <c r="B1" s="10"/>
      <c r="C1" s="10"/>
      <c r="D1" s="10"/>
      <c r="E1" s="10"/>
      <c r="F1" s="10"/>
      <c r="G1" s="10"/>
      <c r="H1" s="10"/>
      <c r="I1" s="10"/>
      <c r="J1" s="10"/>
      <c r="X1" s="1" t="s">
        <v>11</v>
      </c>
    </row>
    <row r="2" spans="1:37">
      <c r="U2" s="60"/>
    </row>
    <row r="3" spans="1:37">
      <c r="C3" s="73" t="s">
        <v>105</v>
      </c>
      <c r="D3" s="72"/>
      <c r="E3" s="72"/>
      <c r="F3" s="72"/>
      <c r="G3" s="75"/>
      <c r="H3" s="52" t="s">
        <v>106</v>
      </c>
      <c r="I3" s="53"/>
      <c r="J3" s="58"/>
      <c r="K3" s="58"/>
      <c r="L3" s="55"/>
      <c r="M3" s="52" t="s">
        <v>108</v>
      </c>
      <c r="N3" s="53"/>
      <c r="O3" s="53"/>
      <c r="P3" s="53"/>
      <c r="Q3" s="53"/>
      <c r="R3" s="53"/>
      <c r="S3" s="58"/>
      <c r="T3" s="58"/>
      <c r="U3" s="786"/>
      <c r="V3" s="451"/>
      <c r="W3" s="451"/>
      <c r="X3" s="53"/>
      <c r="Y3" s="58"/>
      <c r="Z3" s="78" t="s">
        <v>109</v>
      </c>
      <c r="AA3" s="53"/>
      <c r="AB3" s="53"/>
      <c r="AC3" s="53"/>
      <c r="AD3" s="53"/>
      <c r="AE3" s="65"/>
    </row>
    <row r="4" spans="1:37">
      <c r="C4" s="74"/>
      <c r="G4" s="64"/>
      <c r="K4" s="64"/>
      <c r="L4" s="58"/>
      <c r="M4" s="55"/>
      <c r="S4" s="64"/>
      <c r="T4" s="805" t="s">
        <v>636</v>
      </c>
      <c r="V4" s="3" t="s">
        <v>768</v>
      </c>
      <c r="Y4" s="64"/>
      <c r="Z4" s="60"/>
      <c r="AE4" s="64"/>
    </row>
    <row r="5" spans="1:37">
      <c r="B5" s="3" t="s">
        <v>40</v>
      </c>
      <c r="C5" s="56"/>
      <c r="D5" s="3"/>
      <c r="E5" s="3"/>
      <c r="F5" s="3"/>
      <c r="G5" s="67"/>
      <c r="H5" s="3"/>
      <c r="I5" s="3"/>
      <c r="J5" s="3"/>
      <c r="K5" s="67" t="s">
        <v>54</v>
      </c>
      <c r="L5" s="59" t="s">
        <v>38</v>
      </c>
      <c r="M5" s="56" t="s">
        <v>55</v>
      </c>
      <c r="N5" s="56" t="s">
        <v>11</v>
      </c>
      <c r="O5" s="3" t="s">
        <v>11</v>
      </c>
      <c r="P5" s="3" t="s">
        <v>11</v>
      </c>
      <c r="Q5" s="3" t="s">
        <v>7</v>
      </c>
      <c r="R5" s="109" t="s">
        <v>68</v>
      </c>
      <c r="S5" s="67" t="s">
        <v>11</v>
      </c>
      <c r="T5" s="805" t="s">
        <v>400</v>
      </c>
      <c r="U5" s="109" t="s">
        <v>723</v>
      </c>
      <c r="V5" s="3" t="s">
        <v>766</v>
      </c>
      <c r="W5" s="3"/>
      <c r="X5" s="59" t="s">
        <v>746</v>
      </c>
      <c r="Y5" s="64"/>
      <c r="Z5" s="3"/>
      <c r="AA5" s="3"/>
      <c r="AB5" s="3"/>
      <c r="AE5" s="67" t="s">
        <v>493</v>
      </c>
    </row>
    <row r="6" spans="1:37">
      <c r="B6" s="54" t="s">
        <v>110</v>
      </c>
      <c r="C6" s="57" t="s">
        <v>68</v>
      </c>
      <c r="D6" s="54" t="s">
        <v>93</v>
      </c>
      <c r="E6" s="54" t="s">
        <v>416</v>
      </c>
      <c r="F6" s="54" t="s">
        <v>400</v>
      </c>
      <c r="G6" s="69" t="s">
        <v>96</v>
      </c>
      <c r="H6" s="54" t="s">
        <v>94</v>
      </c>
      <c r="I6" s="54" t="s">
        <v>74</v>
      </c>
      <c r="J6" s="54" t="s">
        <v>61</v>
      </c>
      <c r="K6" s="69" t="s">
        <v>75</v>
      </c>
      <c r="L6" s="54" t="s">
        <v>697</v>
      </c>
      <c r="M6" s="57" t="s">
        <v>60</v>
      </c>
      <c r="N6" s="54" t="s">
        <v>11</v>
      </c>
      <c r="O6" s="54" t="s">
        <v>11</v>
      </c>
      <c r="P6" s="54" t="s">
        <v>11</v>
      </c>
      <c r="Q6" s="1138" t="s">
        <v>6</v>
      </c>
      <c r="R6" s="1076" t="s">
        <v>90</v>
      </c>
      <c r="S6" s="69" t="s">
        <v>11</v>
      </c>
      <c r="T6" s="806" t="s">
        <v>416</v>
      </c>
      <c r="U6" s="1076" t="s">
        <v>724</v>
      </c>
      <c r="V6" s="54" t="s">
        <v>767</v>
      </c>
      <c r="W6" s="54" t="s">
        <v>11</v>
      </c>
      <c r="X6" s="1126" t="s">
        <v>753</v>
      </c>
      <c r="Y6" s="69" t="s">
        <v>746</v>
      </c>
      <c r="Z6" s="54" t="s">
        <v>68</v>
      </c>
      <c r="AA6" s="54" t="s">
        <v>93</v>
      </c>
      <c r="AB6" s="54" t="s">
        <v>416</v>
      </c>
      <c r="AC6" s="54" t="s">
        <v>38</v>
      </c>
      <c r="AD6" s="54" t="s">
        <v>96</v>
      </c>
      <c r="AE6" s="69" t="s">
        <v>492</v>
      </c>
    </row>
    <row r="7" spans="1:37">
      <c r="A7" s="833">
        <f>Weather_Input!A5</f>
        <v>37009</v>
      </c>
      <c r="B7" s="627">
        <v>0</v>
      </c>
      <c r="C7" s="628">
        <v>0</v>
      </c>
      <c r="D7" s="627">
        <v>0</v>
      </c>
      <c r="E7" s="627">
        <v>0</v>
      </c>
      <c r="F7" s="627">
        <v>0</v>
      </c>
      <c r="G7" s="921">
        <v>0</v>
      </c>
      <c r="H7" s="625">
        <v>627</v>
      </c>
      <c r="I7" s="625">
        <v>13301</v>
      </c>
      <c r="J7" s="625">
        <v>0</v>
      </c>
      <c r="K7" s="924">
        <v>0</v>
      </c>
      <c r="L7" s="626">
        <v>0</v>
      </c>
      <c r="M7" s="925">
        <v>0</v>
      </c>
      <c r="N7" s="625">
        <v>0</v>
      </c>
      <c r="O7" s="625">
        <v>0</v>
      </c>
      <c r="P7" s="625">
        <v>0</v>
      </c>
      <c r="Q7" s="625">
        <v>0</v>
      </c>
      <c r="R7" s="625">
        <v>0</v>
      </c>
      <c r="S7" s="924">
        <v>0</v>
      </c>
      <c r="T7" s="926">
        <v>0</v>
      </c>
      <c r="U7" s="625">
        <v>0</v>
      </c>
      <c r="V7" s="626">
        <v>220760</v>
      </c>
      <c r="W7" s="626">
        <v>0</v>
      </c>
      <c r="X7" s="624">
        <v>0</v>
      </c>
      <c r="Y7" s="924">
        <v>159391</v>
      </c>
      <c r="Z7" s="626">
        <v>40000</v>
      </c>
      <c r="AA7" s="1">
        <v>4620</v>
      </c>
      <c r="AB7" s="624">
        <v>242782</v>
      </c>
      <c r="AC7" s="624">
        <v>131750</v>
      </c>
      <c r="AD7" s="624">
        <v>0</v>
      </c>
      <c r="AE7" s="924">
        <v>0</v>
      </c>
      <c r="AF7" s="51">
        <f>Weather_Input!A5</f>
        <v>37009</v>
      </c>
      <c r="AI7" s="624"/>
      <c r="AJ7" s="624"/>
      <c r="AK7" s="624"/>
    </row>
    <row r="8" spans="1:37">
      <c r="A8" s="833">
        <f>A7+1</f>
        <v>37010</v>
      </c>
      <c r="B8" s="627">
        <v>0</v>
      </c>
      <c r="C8" s="628">
        <v>0</v>
      </c>
      <c r="D8" s="627">
        <v>0</v>
      </c>
      <c r="E8" s="627">
        <v>0</v>
      </c>
      <c r="F8" s="627">
        <v>0</v>
      </c>
      <c r="G8" s="921">
        <v>0</v>
      </c>
      <c r="H8" s="625">
        <v>1000</v>
      </c>
      <c r="I8" s="625">
        <v>10000</v>
      </c>
      <c r="J8" s="625">
        <v>0</v>
      </c>
      <c r="K8" s="924">
        <v>0</v>
      </c>
      <c r="L8" s="626">
        <v>0</v>
      </c>
      <c r="M8" s="925">
        <v>0</v>
      </c>
      <c r="N8" s="625">
        <v>0</v>
      </c>
      <c r="O8" s="625">
        <v>0</v>
      </c>
      <c r="P8" s="625">
        <v>0</v>
      </c>
      <c r="Q8" s="625">
        <v>0</v>
      </c>
      <c r="R8" s="625">
        <v>0</v>
      </c>
      <c r="S8" s="924">
        <v>0</v>
      </c>
      <c r="T8" s="926">
        <v>0</v>
      </c>
      <c r="U8" s="625">
        <v>0</v>
      </c>
      <c r="V8" s="626">
        <v>220760</v>
      </c>
      <c r="W8" s="626">
        <v>0</v>
      </c>
      <c r="X8" s="624">
        <v>0</v>
      </c>
      <c r="Y8" s="924">
        <v>159391</v>
      </c>
      <c r="Z8" s="626">
        <v>40000</v>
      </c>
      <c r="AA8" s="1">
        <v>4620</v>
      </c>
      <c r="AB8" s="624">
        <v>242782</v>
      </c>
      <c r="AC8" s="624">
        <v>131750</v>
      </c>
      <c r="AD8" s="624">
        <v>0</v>
      </c>
      <c r="AE8" s="924">
        <v>0</v>
      </c>
      <c r="AF8" s="833">
        <f>AF7+1</f>
        <v>37010</v>
      </c>
      <c r="AI8" s="624"/>
      <c r="AJ8" s="624"/>
      <c r="AK8" s="624"/>
    </row>
    <row r="9" spans="1:37" s="624" customFormat="1">
      <c r="A9" s="833">
        <f>A8+1</f>
        <v>37011</v>
      </c>
      <c r="B9" s="627">
        <v>0</v>
      </c>
      <c r="C9" s="628">
        <v>0</v>
      </c>
      <c r="D9" s="627">
        <v>0</v>
      </c>
      <c r="E9" s="627">
        <v>0</v>
      </c>
      <c r="F9" s="627">
        <v>0</v>
      </c>
      <c r="G9" s="921">
        <v>0</v>
      </c>
      <c r="H9" s="625">
        <v>1000</v>
      </c>
      <c r="I9" s="625">
        <v>10000</v>
      </c>
      <c r="J9" s="625">
        <v>0</v>
      </c>
      <c r="K9" s="924">
        <v>0</v>
      </c>
      <c r="L9" s="626">
        <v>0</v>
      </c>
      <c r="M9" s="925">
        <v>0</v>
      </c>
      <c r="N9" s="625">
        <v>0</v>
      </c>
      <c r="O9" s="625">
        <v>0</v>
      </c>
      <c r="P9" s="625">
        <v>0</v>
      </c>
      <c r="Q9" s="625">
        <v>0</v>
      </c>
      <c r="R9" s="625">
        <v>0</v>
      </c>
      <c r="S9" s="924">
        <v>0</v>
      </c>
      <c r="T9" s="926">
        <v>0</v>
      </c>
      <c r="U9" s="625">
        <v>0</v>
      </c>
      <c r="V9" s="626">
        <v>220760</v>
      </c>
      <c r="W9" s="626">
        <v>0</v>
      </c>
      <c r="X9" s="624">
        <v>0</v>
      </c>
      <c r="Y9" s="924">
        <v>159391</v>
      </c>
      <c r="Z9" s="626">
        <v>40000</v>
      </c>
      <c r="AA9" s="1">
        <v>4620</v>
      </c>
      <c r="AB9" s="624">
        <v>242782</v>
      </c>
      <c r="AC9" s="624">
        <v>131750</v>
      </c>
      <c r="AD9" s="624">
        <v>0</v>
      </c>
      <c r="AE9" s="924">
        <v>0</v>
      </c>
      <c r="AF9" s="833">
        <f>AF8+1</f>
        <v>37011</v>
      </c>
    </row>
    <row r="10" spans="1:37">
      <c r="A10" s="833">
        <f>A9+1</f>
        <v>37012</v>
      </c>
      <c r="B10" s="627">
        <v>0</v>
      </c>
      <c r="C10" s="628">
        <v>0</v>
      </c>
      <c r="D10" s="627">
        <v>0</v>
      </c>
      <c r="E10" s="627">
        <v>0</v>
      </c>
      <c r="F10" s="627">
        <v>0</v>
      </c>
      <c r="G10" s="921">
        <v>0</v>
      </c>
      <c r="H10" s="625">
        <v>1000</v>
      </c>
      <c r="I10" s="625">
        <v>10000</v>
      </c>
      <c r="J10" s="625">
        <v>0</v>
      </c>
      <c r="K10" s="924">
        <v>0</v>
      </c>
      <c r="L10" s="626">
        <v>0</v>
      </c>
      <c r="M10" s="925">
        <v>0</v>
      </c>
      <c r="N10" s="625">
        <v>0</v>
      </c>
      <c r="O10" s="625">
        <v>0</v>
      </c>
      <c r="P10" s="625">
        <v>0</v>
      </c>
      <c r="Q10" s="625">
        <v>0</v>
      </c>
      <c r="R10" s="625">
        <v>0</v>
      </c>
      <c r="S10" s="924">
        <v>0</v>
      </c>
      <c r="T10" s="926">
        <v>0</v>
      </c>
      <c r="U10" s="625">
        <v>0</v>
      </c>
      <c r="V10" s="626">
        <v>220760</v>
      </c>
      <c r="W10" s="626">
        <v>0</v>
      </c>
      <c r="X10" s="624">
        <v>0</v>
      </c>
      <c r="Y10" s="924">
        <v>159391</v>
      </c>
      <c r="Z10" s="626">
        <v>40000</v>
      </c>
      <c r="AA10" s="1">
        <v>0</v>
      </c>
      <c r="AB10" s="624">
        <v>242782</v>
      </c>
      <c r="AC10" s="624">
        <v>131750</v>
      </c>
      <c r="AD10" s="624">
        <v>0</v>
      </c>
      <c r="AE10" s="924">
        <v>0</v>
      </c>
      <c r="AF10" s="833">
        <f>AF9+1</f>
        <v>37012</v>
      </c>
      <c r="AI10" s="624"/>
      <c r="AJ10" s="624"/>
      <c r="AK10" s="624"/>
    </row>
    <row r="11" spans="1:37">
      <c r="A11" s="833">
        <f>A10+1</f>
        <v>37013</v>
      </c>
      <c r="B11" s="627">
        <v>0</v>
      </c>
      <c r="C11" s="628">
        <v>0</v>
      </c>
      <c r="D11" s="627">
        <v>0</v>
      </c>
      <c r="E11" s="627">
        <v>0</v>
      </c>
      <c r="F11" s="627">
        <v>0</v>
      </c>
      <c r="G11" s="921">
        <v>0</v>
      </c>
      <c r="H11" s="625">
        <v>1000</v>
      </c>
      <c r="I11" s="625">
        <v>10000</v>
      </c>
      <c r="J11" s="625">
        <v>0</v>
      </c>
      <c r="K11" s="924">
        <v>0</v>
      </c>
      <c r="L11" s="626">
        <v>0</v>
      </c>
      <c r="M11" s="925">
        <v>0</v>
      </c>
      <c r="N11" s="625">
        <v>0</v>
      </c>
      <c r="O11" s="625">
        <v>0</v>
      </c>
      <c r="P11" s="625">
        <v>0</v>
      </c>
      <c r="Q11" s="625">
        <v>0</v>
      </c>
      <c r="R11" s="625">
        <v>0</v>
      </c>
      <c r="S11" s="924">
        <v>0</v>
      </c>
      <c r="T11" s="926">
        <v>0</v>
      </c>
      <c r="U11" s="625">
        <v>0</v>
      </c>
      <c r="V11" s="626">
        <v>220760</v>
      </c>
      <c r="W11" s="626">
        <v>0</v>
      </c>
      <c r="X11" s="624">
        <v>0</v>
      </c>
      <c r="Y11" s="924">
        <v>159391</v>
      </c>
      <c r="Z11" s="626">
        <v>40000</v>
      </c>
      <c r="AA11" s="1">
        <v>0</v>
      </c>
      <c r="AB11" s="624">
        <v>242782</v>
      </c>
      <c r="AC11" s="624">
        <v>131750</v>
      </c>
      <c r="AD11" s="624">
        <v>0</v>
      </c>
      <c r="AE11" s="924">
        <v>0</v>
      </c>
      <c r="AF11" s="833">
        <f>AF10+1</f>
        <v>37013</v>
      </c>
    </row>
    <row r="12" spans="1:37">
      <c r="A12" s="833">
        <f>A11+1</f>
        <v>37014</v>
      </c>
      <c r="B12" s="627">
        <v>0</v>
      </c>
      <c r="C12" s="628">
        <v>0</v>
      </c>
      <c r="D12" s="627">
        <v>0</v>
      </c>
      <c r="E12" s="627">
        <v>0</v>
      </c>
      <c r="F12" s="627">
        <v>0</v>
      </c>
      <c r="G12" s="921">
        <v>0</v>
      </c>
      <c r="H12" s="625">
        <v>1000</v>
      </c>
      <c r="I12" s="625">
        <v>10000</v>
      </c>
      <c r="J12" s="625">
        <v>0</v>
      </c>
      <c r="K12" s="924">
        <v>0</v>
      </c>
      <c r="L12" s="626">
        <v>0</v>
      </c>
      <c r="M12" s="925">
        <v>0</v>
      </c>
      <c r="N12" s="625">
        <v>0</v>
      </c>
      <c r="O12" s="625">
        <v>0</v>
      </c>
      <c r="P12" s="625">
        <v>0</v>
      </c>
      <c r="Q12" s="625">
        <v>0</v>
      </c>
      <c r="R12" s="625">
        <v>0</v>
      </c>
      <c r="S12" s="924">
        <v>0</v>
      </c>
      <c r="T12" s="926">
        <v>0</v>
      </c>
      <c r="U12" s="625">
        <v>0</v>
      </c>
      <c r="V12" s="626">
        <v>220760</v>
      </c>
      <c r="W12" s="626">
        <v>0</v>
      </c>
      <c r="X12" s="624">
        <v>0</v>
      </c>
      <c r="Y12" s="924">
        <v>159391</v>
      </c>
      <c r="Z12" s="626">
        <v>40000</v>
      </c>
      <c r="AA12" s="1">
        <v>0</v>
      </c>
      <c r="AB12" s="624">
        <v>242782</v>
      </c>
      <c r="AC12" s="624">
        <v>131750</v>
      </c>
      <c r="AD12" s="624">
        <v>0</v>
      </c>
      <c r="AE12" s="924">
        <v>0</v>
      </c>
      <c r="AF12" s="833">
        <f>AF11+1</f>
        <v>37014</v>
      </c>
    </row>
    <row r="13" spans="1:37">
      <c r="G13" s="1" t="s">
        <v>11</v>
      </c>
      <c r="I13" s="11"/>
      <c r="P13" s="1" t="s">
        <v>11</v>
      </c>
      <c r="T13" s="926"/>
      <c r="U13" s="1" t="s">
        <v>11</v>
      </c>
      <c r="V13" s="11" t="s">
        <v>11</v>
      </c>
      <c r="W13" s="626" t="s">
        <v>11</v>
      </c>
      <c r="X13" s="624"/>
      <c r="Z13" s="60"/>
      <c r="AB13" s="624"/>
      <c r="AD13" s="624"/>
    </row>
    <row r="14" spans="1:37">
      <c r="A14" s="1" t="s">
        <v>11</v>
      </c>
      <c r="I14" s="11"/>
      <c r="X14" s="11"/>
      <c r="Z14" s="1" t="s">
        <v>11</v>
      </c>
      <c r="AB14" s="624"/>
    </row>
    <row r="15" spans="1:37">
      <c r="I15" s="11"/>
      <c r="X15" s="11"/>
    </row>
    <row r="17" spans="16:33">
      <c r="P17" s="1" t="s">
        <v>11</v>
      </c>
    </row>
    <row r="18" spans="16:33">
      <c r="AC18" s="1" t="s">
        <v>11</v>
      </c>
    </row>
    <row r="19" spans="16:33">
      <c r="AA19" s="1" t="s">
        <v>11</v>
      </c>
      <c r="AG19" s="624"/>
    </row>
    <row r="20" spans="16:33">
      <c r="Z20" s="70" t="s">
        <v>11</v>
      </c>
      <c r="AG20" s="624"/>
    </row>
    <row r="21" spans="16:33">
      <c r="AG21" s="624"/>
    </row>
    <row r="22" spans="16:33">
      <c r="AG22" s="624"/>
    </row>
    <row r="23" spans="16:33">
      <c r="AG23" s="624"/>
    </row>
    <row r="25" spans="16:33">
      <c r="AB25" s="624" t="s">
        <v>11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topLeftCell="I1" zoomScale="75" workbookViewId="0">
      <selection activeCell="T1" sqref="T1"/>
    </sheetView>
  </sheetViews>
  <sheetFormatPr defaultRowHeight="15"/>
  <cols>
    <col min="1" max="11" width="8.6640625" customWidth="1"/>
    <col min="37" max="37" width="7.6640625" customWidth="1"/>
  </cols>
  <sheetData>
    <row r="1" spans="1:128">
      <c r="A1" s="216" t="s">
        <v>11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2.75">
      <c r="A2" s="10"/>
      <c r="B2" s="10"/>
      <c r="C2" s="10"/>
      <c r="D2" s="76"/>
      <c r="E2" s="76"/>
      <c r="F2" s="76"/>
      <c r="G2" s="10"/>
      <c r="H2" s="10"/>
      <c r="I2" s="10"/>
      <c r="J2" s="10"/>
      <c r="K2" s="10"/>
    </row>
    <row r="3" spans="1:128" s="50" customFormat="1" ht="12.75">
      <c r="B3" s="82" t="s">
        <v>115</v>
      </c>
      <c r="C3" s="52" t="s">
        <v>116</v>
      </c>
      <c r="D3" s="53"/>
      <c r="E3" s="53"/>
      <c r="F3" s="53"/>
      <c r="G3" s="63" t="s">
        <v>117</v>
      </c>
      <c r="H3" s="53"/>
      <c r="I3" s="53"/>
      <c r="J3" s="53"/>
      <c r="K3" s="55"/>
      <c r="L3" s="78" t="s">
        <v>72</v>
      </c>
      <c r="M3" s="78"/>
      <c r="N3" s="78"/>
      <c r="O3" s="53"/>
      <c r="P3" s="53"/>
      <c r="Q3" s="53"/>
      <c r="R3" s="53"/>
      <c r="S3" s="63" t="s">
        <v>118</v>
      </c>
      <c r="T3" s="53"/>
      <c r="U3" s="53"/>
      <c r="V3" s="53"/>
      <c r="W3" s="53"/>
      <c r="X3" s="53"/>
      <c r="Y3" s="77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2.75">
      <c r="B4" s="82" t="s">
        <v>119</v>
      </c>
      <c r="G4" s="55" t="s">
        <v>120</v>
      </c>
      <c r="H4" s="53"/>
      <c r="I4" s="3" t="s">
        <v>92</v>
      </c>
      <c r="J4" s="3"/>
      <c r="K4" s="117" t="s">
        <v>121</v>
      </c>
      <c r="L4" s="117" t="s">
        <v>121</v>
      </c>
      <c r="M4" s="234" t="s">
        <v>121</v>
      </c>
      <c r="N4" s="59" t="s">
        <v>83</v>
      </c>
      <c r="R4" s="3"/>
      <c r="S4" s="79"/>
      <c r="Z4" s="53"/>
    </row>
    <row r="5" spans="1:128" s="1" customFormat="1" ht="12.75">
      <c r="B5" s="64"/>
      <c r="G5" s="56" t="s">
        <v>111</v>
      </c>
      <c r="H5" s="156" t="s">
        <v>38</v>
      </c>
      <c r="I5" s="80">
        <v>0.05</v>
      </c>
      <c r="J5" s="80" t="s">
        <v>68</v>
      </c>
      <c r="K5" s="59" t="s">
        <v>60</v>
      </c>
      <c r="L5" s="59" t="s">
        <v>60</v>
      </c>
      <c r="M5" s="59" t="s">
        <v>60</v>
      </c>
      <c r="N5" s="59" t="s">
        <v>60</v>
      </c>
      <c r="O5" s="3" t="s">
        <v>68</v>
      </c>
      <c r="P5" s="3" t="s">
        <v>38</v>
      </c>
      <c r="Q5" s="3" t="s">
        <v>38</v>
      </c>
      <c r="R5" s="80" t="s">
        <v>38</v>
      </c>
      <c r="S5" s="55" t="s">
        <v>68</v>
      </c>
      <c r="T5" s="53"/>
      <c r="U5" s="53"/>
      <c r="V5" s="53" t="s">
        <v>11</v>
      </c>
      <c r="W5" s="53" t="s">
        <v>93</v>
      </c>
      <c r="X5" s="53" t="s">
        <v>11</v>
      </c>
      <c r="Z5" s="3" t="s">
        <v>38</v>
      </c>
      <c r="AA5" s="53"/>
      <c r="AB5" s="53" t="s">
        <v>11</v>
      </c>
      <c r="AC5" s="111" t="s">
        <v>522</v>
      </c>
      <c r="AE5" s="53" t="s">
        <v>11</v>
      </c>
    </row>
    <row r="6" spans="1:128" s="1" customFormat="1" ht="12.75">
      <c r="A6" s="68"/>
      <c r="B6" s="69" t="s">
        <v>400</v>
      </c>
      <c r="C6" s="54" t="s">
        <v>38</v>
      </c>
      <c r="D6" s="54" t="s">
        <v>68</v>
      </c>
      <c r="E6" s="54" t="s">
        <v>93</v>
      </c>
      <c r="F6" s="54" t="s">
        <v>416</v>
      </c>
      <c r="G6" s="57" t="s">
        <v>122</v>
      </c>
      <c r="H6" s="54" t="s">
        <v>697</v>
      </c>
      <c r="I6" s="54" t="s">
        <v>100</v>
      </c>
      <c r="J6" s="54" t="s">
        <v>90</v>
      </c>
      <c r="K6" s="54" t="s">
        <v>555</v>
      </c>
      <c r="L6" s="54" t="s">
        <v>123</v>
      </c>
      <c r="M6" s="54" t="s">
        <v>124</v>
      </c>
      <c r="N6" s="54" t="s">
        <v>125</v>
      </c>
      <c r="O6" s="54">
        <v>50</v>
      </c>
      <c r="P6" s="54" t="s">
        <v>102</v>
      </c>
      <c r="Q6" s="54" t="s">
        <v>103</v>
      </c>
      <c r="R6" s="54" t="s">
        <v>104</v>
      </c>
      <c r="S6" s="57" t="s">
        <v>126</v>
      </c>
      <c r="T6" s="54" t="s">
        <v>127</v>
      </c>
      <c r="U6" s="54" t="s">
        <v>128</v>
      </c>
      <c r="V6" s="57" t="s">
        <v>126</v>
      </c>
      <c r="W6" s="54" t="s">
        <v>127</v>
      </c>
      <c r="X6" s="54" t="s">
        <v>128</v>
      </c>
      <c r="Y6" s="57" t="s">
        <v>126</v>
      </c>
      <c r="Z6" s="54" t="s">
        <v>127</v>
      </c>
      <c r="AA6" s="54" t="s">
        <v>128</v>
      </c>
      <c r="AB6" s="57" t="s">
        <v>126</v>
      </c>
      <c r="AC6" s="54" t="s">
        <v>127</v>
      </c>
      <c r="AD6" s="54" t="s">
        <v>128</v>
      </c>
      <c r="AE6" s="83" t="s">
        <v>521</v>
      </c>
    </row>
    <row r="7" spans="1:128" s="1" customFormat="1" ht="12.75">
      <c r="A7" s="834">
        <f>Weather_Input!A5</f>
        <v>37009</v>
      </c>
      <c r="B7" s="921">
        <v>0</v>
      </c>
      <c r="C7" s="625">
        <v>0</v>
      </c>
      <c r="D7" s="625">
        <v>0</v>
      </c>
      <c r="E7" s="625">
        <v>0</v>
      </c>
      <c r="F7" s="625">
        <v>0</v>
      </c>
      <c r="G7" s="925">
        <v>0</v>
      </c>
      <c r="H7" s="625">
        <v>0</v>
      </c>
      <c r="I7" s="922">
        <v>7197</v>
      </c>
      <c r="J7" s="922">
        <v>20000</v>
      </c>
      <c r="K7" s="628">
        <v>0</v>
      </c>
      <c r="L7" s="927">
        <v>0</v>
      </c>
      <c r="M7" s="927">
        <v>0</v>
      </c>
      <c r="N7" s="927">
        <v>0</v>
      </c>
      <c r="O7" s="927">
        <v>0</v>
      </c>
      <c r="P7" s="625">
        <v>0</v>
      </c>
      <c r="Q7" s="927">
        <v>0</v>
      </c>
      <c r="R7" s="625">
        <v>0</v>
      </c>
      <c r="S7" s="835">
        <v>0</v>
      </c>
      <c r="T7" s="625">
        <v>0</v>
      </c>
      <c r="U7" s="625">
        <v>0</v>
      </c>
      <c r="V7" s="835">
        <v>0</v>
      </c>
      <c r="W7" s="625">
        <v>0</v>
      </c>
      <c r="X7" s="625">
        <v>0</v>
      </c>
      <c r="Y7" s="835">
        <v>0</v>
      </c>
      <c r="Z7" s="625">
        <v>0</v>
      </c>
      <c r="AA7" s="625">
        <v>0</v>
      </c>
      <c r="AB7" s="925">
        <v>0</v>
      </c>
      <c r="AC7" s="625">
        <v>0</v>
      </c>
      <c r="AD7" s="625">
        <v>0</v>
      </c>
      <c r="AE7" s="625">
        <v>0</v>
      </c>
      <c r="AF7" s="833">
        <f>Weather_Input!A5</f>
        <v>37009</v>
      </c>
      <c r="AG7" s="624"/>
      <c r="AH7" s="624"/>
      <c r="AI7" s="624"/>
      <c r="AJ7" s="624"/>
      <c r="AK7" s="624"/>
    </row>
    <row r="8" spans="1:128" s="1" customFormat="1" ht="12.75">
      <c r="A8" s="834">
        <f>Weather_Input!A6</f>
        <v>37010</v>
      </c>
      <c r="B8" s="921">
        <v>0</v>
      </c>
      <c r="C8" s="625">
        <v>0</v>
      </c>
      <c r="D8" s="625">
        <v>0</v>
      </c>
      <c r="E8" s="625">
        <v>0</v>
      </c>
      <c r="F8" s="625">
        <v>0</v>
      </c>
      <c r="G8" s="925">
        <v>0</v>
      </c>
      <c r="H8" s="625">
        <v>2759</v>
      </c>
      <c r="I8" s="922">
        <v>7197</v>
      </c>
      <c r="J8" s="922">
        <v>20000</v>
      </c>
      <c r="K8" s="628">
        <v>0</v>
      </c>
      <c r="L8" s="927">
        <v>0</v>
      </c>
      <c r="M8" s="927">
        <v>0</v>
      </c>
      <c r="N8" s="927">
        <v>0</v>
      </c>
      <c r="O8" s="927">
        <v>0</v>
      </c>
      <c r="P8" s="625">
        <v>0</v>
      </c>
      <c r="Q8" s="927">
        <v>0</v>
      </c>
      <c r="R8" s="625">
        <v>0</v>
      </c>
      <c r="S8" s="835">
        <v>0</v>
      </c>
      <c r="T8" s="625">
        <v>0</v>
      </c>
      <c r="U8" s="625">
        <v>0</v>
      </c>
      <c r="V8" s="835">
        <v>0</v>
      </c>
      <c r="W8" s="625">
        <v>0</v>
      </c>
      <c r="X8" s="625">
        <v>0</v>
      </c>
      <c r="Y8" s="835">
        <v>0</v>
      </c>
      <c r="Z8" s="625">
        <v>0</v>
      </c>
      <c r="AA8" s="625">
        <v>0</v>
      </c>
      <c r="AB8" s="925">
        <v>0</v>
      </c>
      <c r="AC8" s="625">
        <v>0</v>
      </c>
      <c r="AD8" s="625">
        <v>0</v>
      </c>
      <c r="AE8" s="625">
        <v>0</v>
      </c>
      <c r="AF8" s="834">
        <f>AF7+1</f>
        <v>37010</v>
      </c>
      <c r="AG8" s="624"/>
      <c r="AH8" s="624"/>
      <c r="AI8" s="624"/>
      <c r="AJ8" s="624"/>
      <c r="AK8" s="624"/>
    </row>
    <row r="9" spans="1:128" s="1" customFormat="1" ht="12.75">
      <c r="A9" s="833">
        <f>A8+1</f>
        <v>37011</v>
      </c>
      <c r="B9" s="921">
        <v>0</v>
      </c>
      <c r="C9" s="625">
        <v>0</v>
      </c>
      <c r="D9" s="625">
        <v>0</v>
      </c>
      <c r="E9" s="625">
        <v>0</v>
      </c>
      <c r="F9" s="625">
        <v>0</v>
      </c>
      <c r="G9" s="925">
        <v>0</v>
      </c>
      <c r="H9" s="625">
        <v>0</v>
      </c>
      <c r="I9" s="922">
        <v>7197</v>
      </c>
      <c r="J9" s="922">
        <v>20000</v>
      </c>
      <c r="K9" s="628">
        <v>0</v>
      </c>
      <c r="L9" s="927">
        <v>0</v>
      </c>
      <c r="M9" s="927">
        <v>0</v>
      </c>
      <c r="N9" s="927">
        <v>0</v>
      </c>
      <c r="O9" s="927">
        <v>0</v>
      </c>
      <c r="P9" s="625">
        <v>0</v>
      </c>
      <c r="Q9" s="927">
        <v>0</v>
      </c>
      <c r="R9" s="625">
        <v>0</v>
      </c>
      <c r="S9" s="835">
        <v>0</v>
      </c>
      <c r="T9" s="625">
        <v>0</v>
      </c>
      <c r="U9" s="625">
        <v>0</v>
      </c>
      <c r="V9" s="835">
        <v>0</v>
      </c>
      <c r="W9" s="625">
        <v>0</v>
      </c>
      <c r="X9" s="625">
        <v>0</v>
      </c>
      <c r="Y9" s="835">
        <v>0</v>
      </c>
      <c r="Z9" s="625">
        <v>0</v>
      </c>
      <c r="AA9" s="625">
        <v>0</v>
      </c>
      <c r="AB9" s="925">
        <v>0</v>
      </c>
      <c r="AC9" s="625">
        <v>0</v>
      </c>
      <c r="AD9" s="625">
        <v>0</v>
      </c>
      <c r="AE9" s="625">
        <v>0</v>
      </c>
      <c r="AF9" s="833">
        <f>AF8+1</f>
        <v>37011</v>
      </c>
      <c r="AG9" s="624"/>
      <c r="AH9" s="624"/>
      <c r="AI9" s="624"/>
      <c r="AJ9" s="624"/>
      <c r="AK9" s="624"/>
    </row>
    <row r="10" spans="1:128" s="1" customFormat="1" ht="12.75">
      <c r="A10" s="833">
        <f>A9+1</f>
        <v>37012</v>
      </c>
      <c r="B10" s="921">
        <v>0</v>
      </c>
      <c r="C10" s="625">
        <v>0</v>
      </c>
      <c r="D10" s="625">
        <v>0</v>
      </c>
      <c r="E10" s="625">
        <v>0</v>
      </c>
      <c r="F10" s="625">
        <v>0</v>
      </c>
      <c r="G10" s="925">
        <v>0</v>
      </c>
      <c r="H10" s="625">
        <v>0</v>
      </c>
      <c r="I10" s="922">
        <v>7197</v>
      </c>
      <c r="J10" s="922">
        <v>20000</v>
      </c>
      <c r="K10" s="628">
        <v>0</v>
      </c>
      <c r="L10" s="927">
        <v>0</v>
      </c>
      <c r="M10" s="927">
        <v>0</v>
      </c>
      <c r="N10" s="927">
        <v>0</v>
      </c>
      <c r="O10" s="927">
        <v>0</v>
      </c>
      <c r="P10" s="625">
        <v>0</v>
      </c>
      <c r="Q10" s="927">
        <v>0</v>
      </c>
      <c r="R10" s="625">
        <v>0</v>
      </c>
      <c r="S10" s="835">
        <v>0</v>
      </c>
      <c r="T10" s="625">
        <v>0</v>
      </c>
      <c r="U10" s="625">
        <v>0</v>
      </c>
      <c r="V10" s="835">
        <v>0</v>
      </c>
      <c r="W10" s="625">
        <v>0</v>
      </c>
      <c r="X10" s="625">
        <v>0</v>
      </c>
      <c r="Y10" s="835">
        <v>0</v>
      </c>
      <c r="Z10" s="625">
        <v>0</v>
      </c>
      <c r="AA10" s="625">
        <v>0</v>
      </c>
      <c r="AB10" s="925">
        <v>0</v>
      </c>
      <c r="AC10" s="625">
        <v>0</v>
      </c>
      <c r="AD10" s="625">
        <v>0</v>
      </c>
      <c r="AE10" s="625">
        <v>0</v>
      </c>
      <c r="AF10" s="833">
        <f>AF9+1</f>
        <v>37012</v>
      </c>
      <c r="AG10" s="624"/>
      <c r="AH10" s="624"/>
      <c r="AI10" s="624"/>
      <c r="AJ10" s="624"/>
      <c r="AK10" s="624"/>
    </row>
    <row r="11" spans="1:128" s="1" customFormat="1" ht="12.75">
      <c r="A11" s="833">
        <f>A10+1</f>
        <v>37013</v>
      </c>
      <c r="B11" s="921">
        <v>0</v>
      </c>
      <c r="C11" s="625">
        <v>0</v>
      </c>
      <c r="D11" s="625">
        <v>0</v>
      </c>
      <c r="E11" s="625">
        <v>0</v>
      </c>
      <c r="F11" s="625">
        <v>0</v>
      </c>
      <c r="G11" s="925">
        <v>0</v>
      </c>
      <c r="H11" s="625">
        <v>0</v>
      </c>
      <c r="I11" s="922">
        <v>7197</v>
      </c>
      <c r="J11" s="922">
        <v>20000</v>
      </c>
      <c r="K11" s="628">
        <v>0</v>
      </c>
      <c r="L11" s="927">
        <v>0</v>
      </c>
      <c r="M11" s="927">
        <v>0</v>
      </c>
      <c r="N11" s="927">
        <v>0</v>
      </c>
      <c r="O11" s="927">
        <v>0</v>
      </c>
      <c r="P11" s="625">
        <v>0</v>
      </c>
      <c r="Q11" s="927">
        <v>0</v>
      </c>
      <c r="R11" s="625">
        <v>0</v>
      </c>
      <c r="S11" s="835">
        <v>0</v>
      </c>
      <c r="T11" s="625">
        <v>0</v>
      </c>
      <c r="U11" s="625">
        <v>0</v>
      </c>
      <c r="V11" s="835">
        <v>0</v>
      </c>
      <c r="W11" s="625">
        <v>0</v>
      </c>
      <c r="X11" s="625">
        <v>0</v>
      </c>
      <c r="Y11" s="835">
        <v>0</v>
      </c>
      <c r="Z11" s="625">
        <v>0</v>
      </c>
      <c r="AA11" s="625">
        <v>0</v>
      </c>
      <c r="AB11" s="925">
        <v>0</v>
      </c>
      <c r="AC11" s="625">
        <v>0</v>
      </c>
      <c r="AD11" s="625">
        <v>0</v>
      </c>
      <c r="AE11" s="625">
        <v>0</v>
      </c>
      <c r="AF11" s="833">
        <f>AF10+1</f>
        <v>37013</v>
      </c>
      <c r="AG11" s="624"/>
      <c r="AH11" s="624"/>
      <c r="AI11" s="624"/>
      <c r="AJ11" s="624"/>
      <c r="AK11" s="624"/>
    </row>
    <row r="12" spans="1:128" s="1" customFormat="1" ht="12.75">
      <c r="A12" s="833">
        <f>A11+1</f>
        <v>37014</v>
      </c>
      <c r="B12" s="921">
        <v>0</v>
      </c>
      <c r="C12" s="625">
        <v>0</v>
      </c>
      <c r="D12" s="625">
        <v>0</v>
      </c>
      <c r="E12" s="625">
        <v>0</v>
      </c>
      <c r="F12" s="625">
        <v>0</v>
      </c>
      <c r="G12" s="925">
        <v>0</v>
      </c>
      <c r="H12" s="625">
        <v>0</v>
      </c>
      <c r="I12" s="922">
        <v>7197</v>
      </c>
      <c r="J12" s="922">
        <v>20000</v>
      </c>
      <c r="K12" s="628">
        <v>0</v>
      </c>
      <c r="L12" s="927">
        <v>0</v>
      </c>
      <c r="M12" s="927">
        <v>0</v>
      </c>
      <c r="N12" s="927">
        <v>0</v>
      </c>
      <c r="O12" s="927">
        <v>0</v>
      </c>
      <c r="P12" s="625">
        <v>0</v>
      </c>
      <c r="Q12" s="927">
        <v>0</v>
      </c>
      <c r="R12" s="625">
        <v>0</v>
      </c>
      <c r="S12" s="835">
        <v>0</v>
      </c>
      <c r="T12" s="625">
        <v>0</v>
      </c>
      <c r="U12" s="625">
        <v>0</v>
      </c>
      <c r="V12" s="835">
        <v>0</v>
      </c>
      <c r="W12" s="625">
        <v>0</v>
      </c>
      <c r="X12" s="625">
        <v>0</v>
      </c>
      <c r="Y12" s="835">
        <v>0</v>
      </c>
      <c r="Z12" s="625">
        <v>0</v>
      </c>
      <c r="AA12" s="625">
        <v>0</v>
      </c>
      <c r="AB12" s="925">
        <v>0</v>
      </c>
      <c r="AC12" s="625">
        <v>0</v>
      </c>
      <c r="AD12" s="625">
        <v>0</v>
      </c>
      <c r="AE12" s="625">
        <v>0</v>
      </c>
      <c r="AF12" s="833">
        <f>AF11+1</f>
        <v>37014</v>
      </c>
      <c r="AG12" s="624"/>
      <c r="AH12" s="624"/>
      <c r="AI12" s="624"/>
      <c r="AJ12" s="624"/>
      <c r="AK12" s="624"/>
    </row>
    <row r="13" spans="1:128" s="1" customFormat="1" ht="12.75">
      <c r="A13" s="624"/>
      <c r="B13" s="624"/>
      <c r="C13" s="625"/>
      <c r="D13" s="624"/>
      <c r="E13" s="625"/>
      <c r="F13" s="625"/>
      <c r="G13" s="624"/>
      <c r="H13" s="624" t="s">
        <v>11</v>
      </c>
      <c r="I13" s="624"/>
      <c r="J13" s="624"/>
      <c r="K13" s="624"/>
      <c r="L13" s="624" t="s">
        <v>11</v>
      </c>
      <c r="M13" s="624"/>
      <c r="N13" s="624"/>
      <c r="P13" s="624"/>
      <c r="Q13" s="624"/>
      <c r="R13" s="624"/>
      <c r="S13" s="835"/>
      <c r="T13" s="624"/>
      <c r="U13" s="624"/>
      <c r="V13" s="629"/>
      <c r="W13" s="624"/>
      <c r="X13" s="624"/>
      <c r="Y13" s="624"/>
      <c r="Z13" s="624"/>
      <c r="AA13" s="624"/>
      <c r="AB13" s="624"/>
      <c r="AC13" s="624"/>
      <c r="AD13" s="624"/>
      <c r="AE13" s="624"/>
      <c r="AF13" s="624"/>
      <c r="AG13" s="624"/>
      <c r="AH13" s="624"/>
      <c r="AI13" s="624"/>
      <c r="AJ13" s="624"/>
      <c r="AK13" s="626"/>
    </row>
    <row r="14" spans="1:128" s="1" customFormat="1" ht="12.75">
      <c r="A14" s="624"/>
      <c r="B14" s="624"/>
      <c r="C14" s="624"/>
      <c r="D14" s="624"/>
      <c r="E14" s="624"/>
      <c r="F14" s="624"/>
      <c r="G14" s="624"/>
      <c r="H14" s="624"/>
      <c r="I14" s="624"/>
      <c r="J14" s="624"/>
      <c r="K14" s="624"/>
      <c r="L14" s="624"/>
      <c r="M14" s="624"/>
      <c r="N14" s="624"/>
      <c r="P14" s="624"/>
      <c r="Q14" s="624"/>
      <c r="R14" s="624"/>
      <c r="S14" s="624"/>
      <c r="T14" s="624"/>
      <c r="U14" s="624"/>
      <c r="V14" s="624"/>
      <c r="W14" s="624"/>
      <c r="X14" s="624"/>
      <c r="Y14" s="624"/>
      <c r="Z14" s="624"/>
      <c r="AA14" s="624"/>
      <c r="AB14" s="624"/>
      <c r="AC14" s="624"/>
      <c r="AD14" s="624"/>
      <c r="AE14" s="624"/>
      <c r="AF14" s="624"/>
      <c r="AG14" s="624"/>
      <c r="AH14" s="624"/>
      <c r="AI14" s="624"/>
      <c r="AJ14" s="624"/>
      <c r="AK14" s="627"/>
    </row>
    <row r="15" spans="1:128" s="1" customFormat="1" ht="12.75"/>
    <row r="16" spans="1:128" s="1" customFormat="1" ht="12.75">
      <c r="AL16" s="52"/>
    </row>
    <row r="17" s="1" customFormat="1" ht="12.75"/>
    <row r="18" s="1" customFormat="1" ht="12.75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R30"/>
  <sheetViews>
    <sheetView zoomScale="75" workbookViewId="0"/>
  </sheetViews>
  <sheetFormatPr defaultColWidth="8.77734375" defaultRowHeight="12.75"/>
  <cols>
    <col min="1" max="16384" width="8.77734375" style="1"/>
  </cols>
  <sheetData>
    <row r="1" spans="1:24">
      <c r="A1" s="418" t="s">
        <v>172</v>
      </c>
      <c r="B1" s="10"/>
      <c r="C1" s="1" t="s">
        <v>11</v>
      </c>
      <c r="P1" s="1" t="s">
        <v>11</v>
      </c>
    </row>
    <row r="3" spans="1:24">
      <c r="B3" s="81" t="s">
        <v>115</v>
      </c>
      <c r="C3" s="63" t="s">
        <v>107</v>
      </c>
      <c r="D3" s="53"/>
      <c r="E3" s="53"/>
      <c r="F3" s="55"/>
      <c r="G3" s="65"/>
      <c r="H3" s="52" t="s">
        <v>108</v>
      </c>
      <c r="I3" s="53"/>
      <c r="J3" s="53"/>
      <c r="K3" s="53"/>
      <c r="L3" s="53"/>
      <c r="M3" s="65"/>
      <c r="N3" s="58"/>
      <c r="O3" s="52" t="s">
        <v>129</v>
      </c>
      <c r="P3" s="53"/>
      <c r="Q3" s="53"/>
      <c r="R3" s="53"/>
      <c r="S3" s="53"/>
      <c r="T3" s="53"/>
      <c r="U3" s="65"/>
    </row>
    <row r="4" spans="1:24">
      <c r="B4" s="81" t="s">
        <v>130</v>
      </c>
      <c r="C4" s="55"/>
      <c r="D4" s="53"/>
      <c r="E4" s="53"/>
      <c r="F4" s="58"/>
      <c r="G4" s="59" t="s">
        <v>92</v>
      </c>
      <c r="H4" s="55"/>
      <c r="M4" s="64"/>
      <c r="N4" s="60"/>
      <c r="P4" s="3" t="s">
        <v>635</v>
      </c>
      <c r="Q4" s="3"/>
      <c r="U4" s="64"/>
    </row>
    <row r="5" spans="1:24">
      <c r="C5" s="56" t="s">
        <v>38</v>
      </c>
      <c r="D5" s="3" t="s">
        <v>95</v>
      </c>
      <c r="E5" s="3" t="s">
        <v>68</v>
      </c>
      <c r="F5" s="59" t="s">
        <v>38</v>
      </c>
      <c r="G5" s="61">
        <v>0.05</v>
      </c>
      <c r="H5" s="56" t="s">
        <v>55</v>
      </c>
      <c r="I5" s="3" t="s">
        <v>38</v>
      </c>
      <c r="J5" s="3" t="s">
        <v>38</v>
      </c>
      <c r="K5" s="3" t="s">
        <v>38</v>
      </c>
      <c r="L5" s="3" t="s">
        <v>68</v>
      </c>
      <c r="M5" s="67" t="s">
        <v>68</v>
      </c>
      <c r="N5" s="3" t="s">
        <v>416</v>
      </c>
      <c r="O5" s="3"/>
      <c r="P5" s="3" t="s">
        <v>131</v>
      </c>
      <c r="Q5" s="3" t="s">
        <v>131</v>
      </c>
      <c r="R5" s="3" t="s">
        <v>38</v>
      </c>
      <c r="S5" s="1" t="s">
        <v>523</v>
      </c>
      <c r="U5" s="67"/>
    </row>
    <row r="6" spans="1:24">
      <c r="B6" s="54" t="s">
        <v>400</v>
      </c>
      <c r="C6" s="57" t="s">
        <v>111</v>
      </c>
      <c r="D6" s="54" t="s">
        <v>112</v>
      </c>
      <c r="E6" s="83" t="s">
        <v>90</v>
      </c>
      <c r="F6" s="54" t="s">
        <v>697</v>
      </c>
      <c r="G6" s="54" t="s">
        <v>100</v>
      </c>
      <c r="H6" s="57" t="s">
        <v>60</v>
      </c>
      <c r="I6" s="54" t="s">
        <v>102</v>
      </c>
      <c r="J6" s="54" t="s">
        <v>103</v>
      </c>
      <c r="K6" s="54" t="s">
        <v>104</v>
      </c>
      <c r="L6" s="54" t="s">
        <v>114</v>
      </c>
      <c r="M6" s="69" t="s">
        <v>113</v>
      </c>
      <c r="N6" s="83" t="s">
        <v>529</v>
      </c>
      <c r="O6" s="54" t="s">
        <v>93</v>
      </c>
      <c r="P6" s="83" t="s">
        <v>133</v>
      </c>
      <c r="Q6" s="83" t="s">
        <v>639</v>
      </c>
      <c r="R6" s="54" t="s">
        <v>131</v>
      </c>
      <c r="S6" s="1076" t="s">
        <v>38</v>
      </c>
      <c r="T6" s="54" t="s">
        <v>416</v>
      </c>
      <c r="U6" s="69" t="s">
        <v>61</v>
      </c>
    </row>
    <row r="7" spans="1:24">
      <c r="A7" s="833">
        <f>Weather_Input!A5</f>
        <v>37009</v>
      </c>
      <c r="B7" s="627">
        <v>0</v>
      </c>
      <c r="C7" s="628">
        <v>0</v>
      </c>
      <c r="D7" s="627">
        <v>0</v>
      </c>
      <c r="E7" s="627">
        <v>0</v>
      </c>
      <c r="F7" s="627">
        <v>6250</v>
      </c>
      <c r="G7" s="627">
        <f>(R7+S7+C7+PGL_Requirements!Y7+PGL_Requirements!Z7-NSG_Requirements!C7)*0.05</f>
        <v>3725.5</v>
      </c>
      <c r="H7" s="628">
        <v>0</v>
      </c>
      <c r="I7" s="627">
        <v>0</v>
      </c>
      <c r="J7" s="627">
        <v>0</v>
      </c>
      <c r="K7" s="627">
        <v>0</v>
      </c>
      <c r="L7" s="627">
        <v>0</v>
      </c>
      <c r="M7" s="627">
        <v>0</v>
      </c>
      <c r="N7" s="628">
        <v>0</v>
      </c>
      <c r="O7" s="922">
        <v>0</v>
      </c>
      <c r="P7" s="627">
        <v>0</v>
      </c>
      <c r="Q7" s="627">
        <v>20000</v>
      </c>
      <c r="R7" s="627">
        <v>49755</v>
      </c>
      <c r="S7" s="627">
        <v>24755</v>
      </c>
      <c r="T7" s="627">
        <v>0</v>
      </c>
      <c r="U7" s="627">
        <v>0</v>
      </c>
      <c r="V7" s="833">
        <f>Weather_Input!A5</f>
        <v>37009</v>
      </c>
      <c r="W7" s="624"/>
      <c r="X7" s="624"/>
    </row>
    <row r="8" spans="1:24">
      <c r="A8" s="833">
        <f>A7+1</f>
        <v>37010</v>
      </c>
      <c r="B8" s="627">
        <v>0</v>
      </c>
      <c r="C8" s="628">
        <v>0</v>
      </c>
      <c r="D8" s="627">
        <v>0</v>
      </c>
      <c r="E8" s="627">
        <v>0</v>
      </c>
      <c r="F8" s="627">
        <v>0</v>
      </c>
      <c r="G8" s="627">
        <f>(R8+S8+C8+PGL_Requirements!Y8+PGL_Requirements!Z8-NSG_Requirements!C8)*0.05</f>
        <v>3725.5</v>
      </c>
      <c r="H8" s="628">
        <v>0</v>
      </c>
      <c r="I8" s="627">
        <v>0</v>
      </c>
      <c r="J8" s="627">
        <v>0</v>
      </c>
      <c r="K8" s="627">
        <v>0</v>
      </c>
      <c r="L8" s="627">
        <v>0</v>
      </c>
      <c r="M8" s="627">
        <v>0</v>
      </c>
      <c r="N8" s="628">
        <v>0</v>
      </c>
      <c r="O8" s="922">
        <v>0</v>
      </c>
      <c r="P8" s="627">
        <v>0</v>
      </c>
      <c r="Q8" s="627">
        <v>20000</v>
      </c>
      <c r="R8" s="627">
        <v>49755</v>
      </c>
      <c r="S8" s="627">
        <v>24755</v>
      </c>
      <c r="T8" s="627">
        <v>0</v>
      </c>
      <c r="U8" s="627">
        <v>0</v>
      </c>
      <c r="V8" s="833">
        <f>V7+1</f>
        <v>37010</v>
      </c>
      <c r="W8" s="624"/>
      <c r="X8" s="624"/>
    </row>
    <row r="9" spans="1:24">
      <c r="A9" s="833">
        <f>A8+1</f>
        <v>37011</v>
      </c>
      <c r="B9" s="627">
        <v>0</v>
      </c>
      <c r="C9" s="628">
        <v>0</v>
      </c>
      <c r="D9" s="627">
        <v>0</v>
      </c>
      <c r="E9" s="627">
        <v>0</v>
      </c>
      <c r="F9" s="627">
        <v>0</v>
      </c>
      <c r="G9" s="627">
        <f>(R9+S9+C9+PGL_Requirements!Y9+PGL_Requirements!Z9-NSG_Requirements!C9)*0.05</f>
        <v>3725.5</v>
      </c>
      <c r="H9" s="628">
        <v>0</v>
      </c>
      <c r="I9" s="627">
        <v>0</v>
      </c>
      <c r="J9" s="627">
        <v>0</v>
      </c>
      <c r="K9" s="627">
        <v>0</v>
      </c>
      <c r="L9" s="627">
        <v>0</v>
      </c>
      <c r="M9" s="627">
        <v>0</v>
      </c>
      <c r="N9" s="628">
        <v>0</v>
      </c>
      <c r="O9" s="922">
        <v>0</v>
      </c>
      <c r="P9" s="627">
        <v>0</v>
      </c>
      <c r="Q9" s="627">
        <v>20000</v>
      </c>
      <c r="R9" s="627">
        <v>49755</v>
      </c>
      <c r="S9" s="627">
        <v>24755</v>
      </c>
      <c r="T9" s="627">
        <v>0</v>
      </c>
      <c r="U9" s="627">
        <v>0</v>
      </c>
      <c r="V9" s="833">
        <f>V8+1</f>
        <v>37011</v>
      </c>
      <c r="W9" s="624"/>
      <c r="X9" s="624"/>
    </row>
    <row r="10" spans="1:24">
      <c r="A10" s="833">
        <f>A9+1</f>
        <v>37012</v>
      </c>
      <c r="B10" s="627">
        <v>0</v>
      </c>
      <c r="C10" s="628">
        <v>0</v>
      </c>
      <c r="D10" s="627">
        <v>0</v>
      </c>
      <c r="E10" s="627">
        <v>0</v>
      </c>
      <c r="F10" s="627">
        <v>0</v>
      </c>
      <c r="G10" s="627">
        <f>(R10+S10+C10+PGL_Requirements!Y10+PGL_Requirements!Z10-NSG_Requirements!C10)*0.05</f>
        <v>3725.5</v>
      </c>
      <c r="H10" s="628">
        <v>0</v>
      </c>
      <c r="I10" s="627">
        <v>0</v>
      </c>
      <c r="J10" s="627">
        <v>0</v>
      </c>
      <c r="K10" s="627">
        <v>0</v>
      </c>
      <c r="L10" s="627">
        <v>0</v>
      </c>
      <c r="M10" s="627">
        <v>0</v>
      </c>
      <c r="N10" s="628">
        <v>0</v>
      </c>
      <c r="O10" s="922">
        <v>0</v>
      </c>
      <c r="P10" s="627">
        <v>0</v>
      </c>
      <c r="Q10" s="627">
        <v>20000</v>
      </c>
      <c r="R10" s="627">
        <v>49755</v>
      </c>
      <c r="S10" s="627">
        <v>24755</v>
      </c>
      <c r="T10" s="627">
        <v>0</v>
      </c>
      <c r="U10" s="627">
        <v>0</v>
      </c>
      <c r="V10" s="833">
        <f>V9+1</f>
        <v>37012</v>
      </c>
      <c r="W10" s="624"/>
      <c r="X10" s="624"/>
    </row>
    <row r="11" spans="1:24">
      <c r="A11" s="833">
        <f>A10+1</f>
        <v>37013</v>
      </c>
      <c r="B11" s="627">
        <v>0</v>
      </c>
      <c r="C11" s="628">
        <v>0</v>
      </c>
      <c r="D11" s="627">
        <v>0</v>
      </c>
      <c r="E11" s="627">
        <v>0</v>
      </c>
      <c r="F11" s="627">
        <v>0</v>
      </c>
      <c r="G11" s="627">
        <f>(R11+S11+C11+PGL_Requirements!Y11+PGL_Requirements!Z11-NSG_Requirements!C11)*0.05</f>
        <v>3725.5</v>
      </c>
      <c r="H11" s="628">
        <v>0</v>
      </c>
      <c r="I11" s="627">
        <v>0</v>
      </c>
      <c r="J11" s="627">
        <v>0</v>
      </c>
      <c r="K11" s="627">
        <v>0</v>
      </c>
      <c r="L11" s="627">
        <v>0</v>
      </c>
      <c r="M11" s="627">
        <v>0</v>
      </c>
      <c r="N11" s="628">
        <v>0</v>
      </c>
      <c r="O11" s="922">
        <v>0</v>
      </c>
      <c r="P11" s="627">
        <v>0</v>
      </c>
      <c r="Q11" s="627">
        <v>20000</v>
      </c>
      <c r="R11" s="627">
        <v>49755</v>
      </c>
      <c r="S11" s="627">
        <v>24755</v>
      </c>
      <c r="T11" s="627">
        <v>0</v>
      </c>
      <c r="U11" s="627">
        <v>0</v>
      </c>
      <c r="V11" s="833">
        <f>V10+1</f>
        <v>37013</v>
      </c>
      <c r="W11" s="624"/>
      <c r="X11" s="624"/>
    </row>
    <row r="12" spans="1:24">
      <c r="A12" s="833">
        <f>A11+1</f>
        <v>37014</v>
      </c>
      <c r="B12" s="627">
        <v>0</v>
      </c>
      <c r="C12" s="628">
        <v>0</v>
      </c>
      <c r="D12" s="627">
        <v>0</v>
      </c>
      <c r="E12" s="627">
        <v>0</v>
      </c>
      <c r="F12" s="627">
        <v>0</v>
      </c>
      <c r="G12" s="627">
        <f>(R12+S12+C12+PGL_Requirements!Y12+PGL_Requirements!Z12-NSG_Requirements!C12)*0.05</f>
        <v>3725.5</v>
      </c>
      <c r="H12" s="628">
        <v>0</v>
      </c>
      <c r="I12" s="627">
        <v>0</v>
      </c>
      <c r="J12" s="627">
        <v>0</v>
      </c>
      <c r="K12" s="627">
        <v>0</v>
      </c>
      <c r="L12" s="627">
        <v>0</v>
      </c>
      <c r="M12" s="627">
        <v>0</v>
      </c>
      <c r="N12" s="628">
        <v>0</v>
      </c>
      <c r="O12" s="922">
        <v>0</v>
      </c>
      <c r="P12" s="627">
        <v>0</v>
      </c>
      <c r="Q12" s="627">
        <v>20000</v>
      </c>
      <c r="R12" s="627">
        <v>49755</v>
      </c>
      <c r="S12" s="627">
        <v>24755</v>
      </c>
      <c r="T12" s="627">
        <v>0</v>
      </c>
      <c r="U12" s="627">
        <v>0</v>
      </c>
      <c r="V12" s="833">
        <f>V11+1</f>
        <v>37014</v>
      </c>
      <c r="W12" s="624"/>
      <c r="X12" s="624"/>
    </row>
    <row r="13" spans="1:24">
      <c r="A13" s="624"/>
      <c r="B13" s="624"/>
      <c r="C13" s="624"/>
      <c r="D13" s="624"/>
      <c r="E13" s="624"/>
      <c r="F13" s="624"/>
      <c r="G13" s="624"/>
      <c r="H13" s="624"/>
      <c r="I13" s="624"/>
      <c r="J13" s="624"/>
      <c r="K13" s="624"/>
      <c r="L13" s="624"/>
      <c r="M13" s="627"/>
      <c r="N13" s="628"/>
      <c r="O13" s="624"/>
      <c r="P13" s="624"/>
      <c r="Q13" s="624"/>
      <c r="R13" s="627"/>
      <c r="S13" s="627"/>
      <c r="T13" s="627"/>
      <c r="U13" s="624"/>
      <c r="V13" s="624"/>
      <c r="W13" s="624"/>
      <c r="X13" s="624"/>
    </row>
    <row r="14" spans="1:24">
      <c r="A14" s="624"/>
      <c r="B14" s="624"/>
      <c r="C14" s="624"/>
      <c r="D14" s="624" t="s">
        <v>11</v>
      </c>
      <c r="E14" s="624"/>
      <c r="F14" s="624"/>
      <c r="G14" s="624"/>
      <c r="H14" s="624"/>
      <c r="I14" s="624"/>
      <c r="J14" s="624"/>
      <c r="K14" s="624"/>
      <c r="L14" s="624"/>
      <c r="M14" s="624"/>
      <c r="N14" s="624"/>
      <c r="O14" s="624"/>
      <c r="P14" s="624"/>
      <c r="Q14" s="624"/>
      <c r="R14" s="627" t="s">
        <v>11</v>
      </c>
      <c r="S14" s="624"/>
      <c r="T14" s="624"/>
      <c r="U14" s="624"/>
      <c r="V14" s="624"/>
      <c r="W14" s="624"/>
      <c r="X14" s="624"/>
    </row>
    <row r="15" spans="1:24">
      <c r="A15" s="624"/>
      <c r="B15" s="624"/>
      <c r="C15" s="624"/>
      <c r="D15" s="624"/>
      <c r="E15" s="624"/>
      <c r="F15" s="624"/>
      <c r="G15" s="624"/>
      <c r="H15" s="624"/>
      <c r="I15" s="624"/>
      <c r="J15" s="624"/>
      <c r="K15" s="624"/>
      <c r="L15" s="624"/>
      <c r="M15" s="624"/>
      <c r="N15" s="624"/>
      <c r="O15" s="624"/>
      <c r="P15" s="624"/>
      <c r="Q15" s="624"/>
      <c r="R15" s="627" t="s">
        <v>11</v>
      </c>
      <c r="S15" s="624"/>
      <c r="T15" s="624" t="s">
        <v>11</v>
      </c>
      <c r="U15" s="624"/>
      <c r="V15" s="624"/>
      <c r="W15" s="624"/>
      <c r="X15" s="624"/>
    </row>
    <row r="16" spans="1:24">
      <c r="R16" s="49" t="s">
        <v>11</v>
      </c>
    </row>
    <row r="17" spans="3:96">
      <c r="R17" s="49" t="s">
        <v>11</v>
      </c>
      <c r="S17" s="49" t="s">
        <v>11</v>
      </c>
      <c r="T17" s="49"/>
      <c r="U17" s="1" t="s">
        <v>134</v>
      </c>
    </row>
    <row r="18" spans="3:96" ht="15">
      <c r="K18"/>
      <c r="L18"/>
      <c r="R18" s="49" t="s">
        <v>11</v>
      </c>
      <c r="V18" s="49" t="s">
        <v>11</v>
      </c>
    </row>
    <row r="19" spans="3:96" ht="15">
      <c r="K19"/>
      <c r="L19"/>
      <c r="M19"/>
      <c r="N19"/>
      <c r="O19"/>
      <c r="P19"/>
      <c r="Q19"/>
      <c r="R19"/>
      <c r="S19"/>
      <c r="T19"/>
      <c r="U19"/>
      <c r="V19"/>
    </row>
    <row r="20" spans="3:96" ht="15">
      <c r="C20"/>
      <c r="K20"/>
      <c r="L20"/>
      <c r="M20"/>
      <c r="N20"/>
      <c r="CR20" s="624"/>
    </row>
    <row r="21" spans="3:96" ht="15">
      <c r="C21"/>
      <c r="K21"/>
      <c r="L21"/>
      <c r="M21"/>
      <c r="N21"/>
    </row>
    <row r="22" spans="3:96" ht="15">
      <c r="C22"/>
      <c r="K22"/>
      <c r="L22"/>
      <c r="M22"/>
      <c r="N22"/>
    </row>
    <row r="23" spans="3:96" ht="15">
      <c r="C23"/>
      <c r="D23"/>
      <c r="E23"/>
      <c r="F23"/>
      <c r="G23"/>
      <c r="H23"/>
      <c r="I23"/>
      <c r="J23"/>
      <c r="K23"/>
      <c r="L23"/>
      <c r="M23"/>
      <c r="N23"/>
    </row>
    <row r="24" spans="3:96" ht="15">
      <c r="C24"/>
      <c r="D24"/>
      <c r="E24"/>
      <c r="F24"/>
      <c r="G24"/>
      <c r="H24"/>
      <c r="I24"/>
      <c r="J24"/>
      <c r="K24"/>
      <c r="L24"/>
      <c r="M24"/>
      <c r="N24"/>
    </row>
    <row r="25" spans="3:96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</row>
    <row r="26" spans="3:96" ht="15">
      <c r="C26"/>
      <c r="D26"/>
      <c r="E26"/>
      <c r="F26"/>
      <c r="H26"/>
      <c r="L26"/>
    </row>
    <row r="27" spans="3:96" ht="15">
      <c r="C27"/>
      <c r="D27"/>
      <c r="E27"/>
      <c r="F27"/>
      <c r="H27"/>
      <c r="L27"/>
    </row>
    <row r="28" spans="3:96" ht="15">
      <c r="C28"/>
      <c r="D28"/>
      <c r="E28"/>
      <c r="F28"/>
      <c r="H28"/>
      <c r="L28"/>
    </row>
    <row r="29" spans="3:96" ht="15">
      <c r="C29"/>
      <c r="D29"/>
      <c r="E29"/>
      <c r="H29"/>
      <c r="L29"/>
    </row>
    <row r="30" spans="3:96" ht="15">
      <c r="C30"/>
      <c r="H30"/>
      <c r="L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65"/>
  <sheetViews>
    <sheetView zoomScale="75" workbookViewId="0">
      <selection sqref="A1:I64"/>
    </sheetView>
  </sheetViews>
  <sheetFormatPr defaultColWidth="9.77734375" defaultRowHeight="15"/>
  <cols>
    <col min="1" max="1" width="29" style="113" customWidth="1"/>
    <col min="2" max="2" width="12" style="113" customWidth="1"/>
    <col min="3" max="3" width="15.21875" style="113" customWidth="1"/>
    <col min="4" max="9" width="8.6640625" style="113" customWidth="1"/>
    <col min="10" max="10" width="20.33203125" style="113" customWidth="1"/>
    <col min="11" max="11" width="16.5546875" style="113" customWidth="1"/>
    <col min="12" max="12" width="9.77734375" style="113"/>
    <col min="13" max="13" width="13.77734375" style="113" customWidth="1"/>
    <col min="14" max="16384" width="9.77734375" style="113"/>
  </cols>
  <sheetData>
    <row r="1" spans="1:256" ht="16.5" thickTop="1">
      <c r="A1" s="878" t="s">
        <v>0</v>
      </c>
      <c r="B1" s="836"/>
      <c r="C1" s="903"/>
      <c r="D1" s="836"/>
      <c r="E1" s="836"/>
      <c r="F1" s="836" t="s">
        <v>11</v>
      </c>
      <c r="G1" s="836" t="s">
        <v>135</v>
      </c>
      <c r="H1" s="837" t="str">
        <f>D3</f>
        <v>SAT</v>
      </c>
      <c r="I1" s="838">
        <f>D4</f>
        <v>37009</v>
      </c>
    </row>
    <row r="2" spans="1:256" ht="15.75">
      <c r="A2" s="839" t="s">
        <v>136</v>
      </c>
      <c r="B2" s="840"/>
      <c r="C2" s="840"/>
      <c r="D2" s="840"/>
      <c r="E2" s="840"/>
      <c r="F2" s="840"/>
      <c r="G2" s="840"/>
      <c r="H2" s="840"/>
      <c r="I2" s="841"/>
    </row>
    <row r="3" spans="1:256" ht="16.5" thickBot="1">
      <c r="A3" s="842"/>
      <c r="B3" s="840"/>
      <c r="C3" s="840"/>
      <c r="D3" s="843" t="str">
        <f t="shared" ref="D3:I3" si="0">CHOOSE(WEEKDAY(D4),"SUN","MON","TUE","WED","THU","FRI","SAT")</f>
        <v>SAT</v>
      </c>
      <c r="E3" s="843" t="str">
        <f t="shared" si="0"/>
        <v>SUN</v>
      </c>
      <c r="F3" s="843" t="str">
        <f t="shared" si="0"/>
        <v>MON</v>
      </c>
      <c r="G3" s="843" t="str">
        <f t="shared" si="0"/>
        <v>TUE</v>
      </c>
      <c r="H3" s="843" t="str">
        <f t="shared" si="0"/>
        <v>WED</v>
      </c>
      <c r="I3" s="844" t="str">
        <f t="shared" si="0"/>
        <v>THU</v>
      </c>
    </row>
    <row r="4" spans="1:256" ht="15.75" thickBot="1">
      <c r="A4" s="845"/>
      <c r="B4" s="846"/>
      <c r="C4" s="846"/>
      <c r="D4" s="466">
        <f>Weather_Input!A5</f>
        <v>37009</v>
      </c>
      <c r="E4" s="466">
        <f>Weather_Input!A6</f>
        <v>37010</v>
      </c>
      <c r="F4" s="466">
        <f>Weather_Input!A7</f>
        <v>37011</v>
      </c>
      <c r="G4" s="466">
        <f>Weather_Input!A8</f>
        <v>37012</v>
      </c>
      <c r="H4" s="466">
        <f>Weather_Input!A9</f>
        <v>37013</v>
      </c>
      <c r="I4" s="467">
        <f>Weather_Input!A10</f>
        <v>37014</v>
      </c>
    </row>
    <row r="5" spans="1:256" ht="16.5" customHeight="1" thickTop="1">
      <c r="A5" s="849" t="s">
        <v>137</v>
      </c>
      <c r="B5" s="840"/>
      <c r="C5" s="840" t="s">
        <v>138</v>
      </c>
      <c r="D5" s="468" t="str">
        <f>TEXT(Weather_Input!B5,"0")&amp;"/"&amp;TEXT(Weather_Input!C5,"0") &amp; "/" &amp; TEXT((Weather_Input!B5+Weather_Input!C5)/2,"0")</f>
        <v>65/46/56</v>
      </c>
      <c r="E5" s="468" t="str">
        <f>TEXT(Weather_Input!B6,"0")&amp;"/"&amp;TEXT(Weather_Input!C6,"0") &amp; "/" &amp; TEXT((Weather_Input!B6+Weather_Input!C6)/2,"0")</f>
        <v>78/56/67</v>
      </c>
      <c r="F5" s="468" t="str">
        <f>TEXT(Weather_Input!B7,"0")&amp;"/"&amp;TEXT(Weather_Input!C7,"0") &amp; "/" &amp; TEXT((Weather_Input!B7+Weather_Input!C7)/2,"0")</f>
        <v>82/58/70</v>
      </c>
      <c r="G5" s="468" t="str">
        <f>TEXT(Weather_Input!B8,"0")&amp;"/"&amp;TEXT(Weather_Input!C8,"0") &amp; "/" &amp; TEXT((Weather_Input!B8+Weather_Input!C8)/2,"0")</f>
        <v>84/63/74</v>
      </c>
      <c r="H5" s="468" t="str">
        <f>TEXT(Weather_Input!B9,"0")&amp;"/"&amp;TEXT(Weather_Input!C9,"0") &amp; "/" &amp; TEXT((Weather_Input!B9+Weather_Input!C9)/2,"0")</f>
        <v>84/63/74</v>
      </c>
      <c r="I5" s="469" t="str">
        <f>TEXT(Weather_Input!B10,"0")&amp;"/"&amp;TEXT(Weather_Input!C10,"0") &amp; "/" &amp; TEXT((Weather_Input!B10+Weather_Input!C10)/2,"0")</f>
        <v>80/65/73</v>
      </c>
    </row>
    <row r="6" spans="1:256" ht="15.75">
      <c r="A6" s="852" t="s">
        <v>139</v>
      </c>
      <c r="B6" s="840"/>
      <c r="C6" s="840"/>
      <c r="D6" s="468">
        <f>PGL_Deliveries!C5/1000</f>
        <v>288</v>
      </c>
      <c r="E6" s="468">
        <f>PGL_Deliveries!C6/1000</f>
        <v>250</v>
      </c>
      <c r="F6" s="468">
        <f>PGL_Deliveries!C7/1000</f>
        <v>250</v>
      </c>
      <c r="G6" s="468">
        <f>PGL_Deliveries!C8/1000</f>
        <v>240</v>
      </c>
      <c r="H6" s="468">
        <f>PGL_Deliveries!C9/1000</f>
        <v>240</v>
      </c>
      <c r="I6" s="469">
        <f>PGL_Deliveries!C10/1000</f>
        <v>245</v>
      </c>
    </row>
    <row r="7" spans="1:256" ht="15.75">
      <c r="A7" s="852" t="s">
        <v>569</v>
      </c>
      <c r="B7" s="840" t="s">
        <v>416</v>
      </c>
      <c r="C7" s="840"/>
      <c r="D7" s="468">
        <f>PGL_Requirements!H7/1000*0.5</f>
        <v>10.182</v>
      </c>
      <c r="E7" s="468">
        <f>PGL_Requirements!H8/1000*0.5</f>
        <v>1.8085</v>
      </c>
      <c r="F7" s="468">
        <f>PGL_Requirements!H9/1000*0.5</f>
        <v>14.8095</v>
      </c>
      <c r="G7" s="468">
        <f>PGL_Requirements!H10/1000*0.5</f>
        <v>10.195</v>
      </c>
      <c r="H7" s="468">
        <f>PGL_Requirements!H11/1000*0.5</f>
        <v>0</v>
      </c>
      <c r="I7" s="469">
        <f>PGL_Requirements!H12/1000*0.5</f>
        <v>0</v>
      </c>
    </row>
    <row r="8" spans="1:256" ht="15.75">
      <c r="A8" s="852" t="s">
        <v>722</v>
      </c>
      <c r="B8" s="840"/>
      <c r="C8" s="840"/>
      <c r="D8" s="468">
        <f>PGL_Requirements!I7/1000</f>
        <v>0</v>
      </c>
      <c r="E8" s="468">
        <f>PGL_Requirements!I8/1000</f>
        <v>0</v>
      </c>
      <c r="F8" s="468">
        <f>PGL_Requirements!I9/1000</f>
        <v>0</v>
      </c>
      <c r="G8" s="468">
        <f>PGL_Requirements!I10/1000</f>
        <v>0</v>
      </c>
      <c r="H8" s="468">
        <f>PGL_Requirements!I11/1000</f>
        <v>0</v>
      </c>
      <c r="I8" s="469">
        <f>PGL_Requirements!I12/1000</f>
        <v>0</v>
      </c>
    </row>
    <row r="9" spans="1:256" ht="15.75">
      <c r="A9" s="849" t="s">
        <v>140</v>
      </c>
      <c r="B9" s="840" t="s">
        <v>143</v>
      </c>
      <c r="C9" s="853"/>
      <c r="D9" s="468">
        <v>0</v>
      </c>
      <c r="E9" s="468">
        <v>0</v>
      </c>
      <c r="F9" s="468">
        <v>0</v>
      </c>
      <c r="G9" s="468">
        <v>0</v>
      </c>
      <c r="H9" s="468">
        <v>0</v>
      </c>
      <c r="I9" s="469">
        <v>0</v>
      </c>
    </row>
    <row r="10" spans="1:256" ht="15.75">
      <c r="A10" s="849"/>
      <c r="B10" s="840" t="s">
        <v>147</v>
      </c>
      <c r="C10" s="853"/>
      <c r="D10" s="468">
        <v>0</v>
      </c>
      <c r="E10" s="468">
        <v>0</v>
      </c>
      <c r="F10" s="468">
        <v>0</v>
      </c>
      <c r="G10" s="468">
        <v>0</v>
      </c>
      <c r="H10" s="468">
        <v>0</v>
      </c>
      <c r="I10" s="469">
        <v>0</v>
      </c>
    </row>
    <row r="11" spans="1:256" ht="15.75">
      <c r="A11" s="849"/>
      <c r="B11" s="840" t="s">
        <v>416</v>
      </c>
      <c r="C11" s="840"/>
      <c r="D11" s="468">
        <f>PGL_Requirements!K7/1000</f>
        <v>0</v>
      </c>
      <c r="E11" s="468">
        <f>PGL_Requirements!K8/1000</f>
        <v>0</v>
      </c>
      <c r="F11" s="468">
        <f>PGL_Requirements!K9/1000</f>
        <v>0</v>
      </c>
      <c r="G11" s="468">
        <f>PGL_Requirements!K10/1000</f>
        <v>0</v>
      </c>
      <c r="H11" s="468">
        <f>PGL_Requirements!K11/1000</f>
        <v>0</v>
      </c>
      <c r="I11" s="469">
        <f>PGL_Requirements!K12/1000</f>
        <v>0</v>
      </c>
    </row>
    <row r="12" spans="1:256" ht="15.75">
      <c r="A12" s="849"/>
      <c r="B12" s="840" t="s">
        <v>141</v>
      </c>
      <c r="C12" s="840"/>
      <c r="D12" s="468">
        <f>PGL_Requirements!L7/1000</f>
        <v>0</v>
      </c>
      <c r="E12" s="468">
        <f>PGL_Requirements!L8/1000</f>
        <v>0</v>
      </c>
      <c r="F12" s="468">
        <f>PGL_Requirements!L9/1000</f>
        <v>0</v>
      </c>
      <c r="G12" s="468">
        <f>PGL_Requirements!L10/1000</f>
        <v>0</v>
      </c>
      <c r="H12" s="468">
        <f>PGL_Requirements!L11/1000</f>
        <v>0</v>
      </c>
      <c r="I12" s="469">
        <f>PGL_Requirements!L12/1000</f>
        <v>0</v>
      </c>
    </row>
    <row r="13" spans="1:256" ht="15.75">
      <c r="A13" s="849" t="s">
        <v>144</v>
      </c>
      <c r="B13" s="840" t="s">
        <v>145</v>
      </c>
      <c r="C13" s="840" t="s">
        <v>60</v>
      </c>
      <c r="D13" s="468">
        <f>PGL_Requirements!P7/1000</f>
        <v>187.26</v>
      </c>
      <c r="E13" s="468">
        <f>PGL_Requirements!P8/1000</f>
        <v>200</v>
      </c>
      <c r="F13" s="468">
        <f>PGL_Requirements!P9/1000</f>
        <v>200</v>
      </c>
      <c r="G13" s="468">
        <f>PGL_Requirements!P10/1000</f>
        <v>160</v>
      </c>
      <c r="H13" s="468">
        <f>PGL_Requirements!P11/1000</f>
        <v>160</v>
      </c>
      <c r="I13" s="469">
        <f>PGL_Requirements!P12/1000</f>
        <v>160</v>
      </c>
    </row>
    <row r="14" spans="1:256" ht="15.75">
      <c r="A14" s="849"/>
      <c r="B14" s="840"/>
      <c r="C14" s="840" t="s">
        <v>101</v>
      </c>
      <c r="D14" s="468">
        <f>PGL_Requirements!Q7/1000</f>
        <v>2.8089</v>
      </c>
      <c r="E14" s="468">
        <f>PGL_Requirements!Q8/1000</f>
        <v>3</v>
      </c>
      <c r="F14" s="468">
        <f>PGL_Requirements!Q9/1000</f>
        <v>3</v>
      </c>
      <c r="G14" s="468">
        <f>PGL_Requirements!Q10/1000</f>
        <v>2.4</v>
      </c>
      <c r="H14" s="468">
        <f>PGL_Requirements!Q11/1000</f>
        <v>2.4</v>
      </c>
      <c r="I14" s="469">
        <f>PGL_Requirements!Q12/1000</f>
        <v>2.4</v>
      </c>
    </row>
    <row r="15" spans="1:256" ht="15.75">
      <c r="A15" s="849"/>
      <c r="C15" s="840" t="s">
        <v>741</v>
      </c>
      <c r="D15" s="468">
        <f>PGL_Requirements!R7/1000</f>
        <v>0.64</v>
      </c>
      <c r="E15" s="468">
        <f>PGL_Requirements!R8/1000</f>
        <v>0.65</v>
      </c>
      <c r="F15" s="468">
        <f>PGL_Requirements!R9/1000</f>
        <v>0.65</v>
      </c>
      <c r="G15" s="468">
        <f>PGL_Requirements!R10/1000</f>
        <v>0.65</v>
      </c>
      <c r="H15" s="468">
        <f>PGL_Requirements!R11/1000</f>
        <v>0.65</v>
      </c>
      <c r="I15" s="469">
        <f>PGL_Requirements!R12/1000</f>
        <v>0.65</v>
      </c>
    </row>
    <row r="16" spans="1:256" ht="15.75">
      <c r="A16" s="849"/>
      <c r="C16" s="840" t="s">
        <v>774</v>
      </c>
      <c r="D16" s="468">
        <f>PGL_Requirements!B7/1000</f>
        <v>0</v>
      </c>
      <c r="E16" s="468">
        <f>PGL_Requirements!B8/1000</f>
        <v>0</v>
      </c>
      <c r="F16" s="468">
        <f>PGL_Requirements!B9/1000</f>
        <v>0</v>
      </c>
      <c r="G16" s="468">
        <f>PGL_Requirements!B10/1000</f>
        <v>0</v>
      </c>
      <c r="H16" s="468">
        <f>PGL_Requirements!B11/1000</f>
        <v>0</v>
      </c>
      <c r="I16" s="469">
        <f>PGL_Requirements!B12/1000</f>
        <v>0</v>
      </c>
      <c r="IV16" s="468" t="s">
        <v>11</v>
      </c>
    </row>
    <row r="17" spans="1:10" ht="15.75">
      <c r="A17" s="849"/>
      <c r="B17" s="840" t="s">
        <v>184</v>
      </c>
      <c r="C17" s="840" t="s">
        <v>720</v>
      </c>
      <c r="D17" s="468">
        <v>0</v>
      </c>
      <c r="E17" s="468">
        <v>0</v>
      </c>
      <c r="F17" s="468">
        <v>0</v>
      </c>
      <c r="G17" s="468">
        <v>0</v>
      </c>
      <c r="H17" s="468">
        <v>0</v>
      </c>
      <c r="I17" s="469">
        <v>0</v>
      </c>
    </row>
    <row r="18" spans="1:10" ht="15.75">
      <c r="A18" s="849"/>
      <c r="B18" s="840" t="s">
        <v>143</v>
      </c>
      <c r="C18" s="840" t="s">
        <v>90</v>
      </c>
      <c r="D18" s="468">
        <f>PGL_Requirements!U7/1000</f>
        <v>40</v>
      </c>
      <c r="E18" s="468">
        <f>PGL_Requirements!U8/1000</f>
        <v>40</v>
      </c>
      <c r="F18" s="468">
        <f>PGL_Requirements!U9/1000</f>
        <v>40</v>
      </c>
      <c r="G18" s="468">
        <f>PGL_Requirements!U10/1000</f>
        <v>40</v>
      </c>
      <c r="H18" s="468">
        <f>PGL_Requirements!U11/1000</f>
        <v>40</v>
      </c>
      <c r="I18" s="469">
        <f>PGL_Requirements!U12/1000</f>
        <v>40</v>
      </c>
    </row>
    <row r="19" spans="1:10" ht="15.75">
      <c r="A19" s="849"/>
      <c r="B19" s="840" t="s">
        <v>141</v>
      </c>
      <c r="C19" s="840" t="s">
        <v>90</v>
      </c>
      <c r="D19" s="468">
        <f>PGL_Requirements!O7/1000</f>
        <v>49.384</v>
      </c>
      <c r="E19" s="468">
        <f>PGL_Requirements!O8/1000</f>
        <v>69.459999999999994</v>
      </c>
      <c r="F19" s="468">
        <f>PGL_Requirements!O9/1000</f>
        <v>0</v>
      </c>
      <c r="G19" s="468">
        <f>PGL_Requirements!O10/1000</f>
        <v>0</v>
      </c>
      <c r="H19" s="468">
        <f>PGL_Requirements!O11/1000</f>
        <v>0</v>
      </c>
      <c r="I19" s="469">
        <f>PGL_Requirements!O12/1000</f>
        <v>0</v>
      </c>
    </row>
    <row r="20" spans="1:10" ht="15.75">
      <c r="A20" s="852" t="s">
        <v>146</v>
      </c>
      <c r="B20" s="856" t="s">
        <v>143</v>
      </c>
      <c r="C20" s="856"/>
      <c r="D20" s="468">
        <f>(PGL_Requirements!$V$7+PGL_Requirements!$W$7+PGL_Requirements!$X$7)/1000</f>
        <v>0</v>
      </c>
      <c r="E20" s="468">
        <f>(PGL_Requirements!$V$8+PGL_Requirements!$W$8+PGL_Requirements!$X$8)/1000</f>
        <v>0</v>
      </c>
      <c r="F20" s="468">
        <f>(PGL_Requirements!$V$9+PGL_Requirements!$W$9+PGL_Requirements!$X$9)/1000</f>
        <v>0</v>
      </c>
      <c r="G20" s="468">
        <f>(PGL_Requirements!$V$10+PGL_Requirements!$W$10+PGL_Requirements!$X$10)/1000</f>
        <v>0</v>
      </c>
      <c r="H20" s="468">
        <f>(PGL_Requirements!$V$11+PGL_Requirements!$W$11+PGL_Requirements!$X$11)/1000</f>
        <v>0</v>
      </c>
      <c r="I20" s="469">
        <f>(PGL_Requirements!$V$12+PGL_Requirements!$W$12+PGL_Requirements!$X$12)/1000</f>
        <v>0</v>
      </c>
    </row>
    <row r="21" spans="1:10" ht="15.75">
      <c r="A21" s="849"/>
      <c r="B21" s="856" t="s">
        <v>141</v>
      </c>
      <c r="C21" s="856"/>
      <c r="D21" s="468">
        <f>(PGL_Requirements!$Y$7+PGL_Requirements!$Z$7+PGL_Requirements!$AA$7+PGL_Requirements!$AB$7)/1000</f>
        <v>0</v>
      </c>
      <c r="E21" s="468">
        <f>(PGL_Requirements!$Y$8+PGL_Requirements!$Z$8+PGL_Requirements!$AA$8+PGL_Requirements!$AB$8)/1000</f>
        <v>0</v>
      </c>
      <c r="F21" s="468">
        <f>(PGL_Requirements!$Y$9+PGL_Requirements!$Z$9+PGL_Requirements!$AA$9+PGL_Requirements!$AB$9)/1000</f>
        <v>0</v>
      </c>
      <c r="G21" s="468">
        <f>(PGL_Requirements!$Y$10+PGL_Requirements!$Z$10+PGL_Requirements!$AA$10+PGL_Requirements!$AB$10)/1000</f>
        <v>0</v>
      </c>
      <c r="H21" s="468">
        <f>(PGL_Requirements!$Y$11+PGL_Requirements!$Z$11+PGL_Requirements!$AA$11+PGL_Requirements!$AB$11)/1000</f>
        <v>0</v>
      </c>
      <c r="I21" s="469">
        <f>(PGL_Requirements!$Y$12+PGL_Requirements!$Z$12+PGL_Requirements!$AA$12+PGL_Requirements!$AB$12)/1000</f>
        <v>0</v>
      </c>
    </row>
    <row r="22" spans="1:10" ht="15.75">
      <c r="A22" s="849"/>
      <c r="B22" s="840" t="s">
        <v>416</v>
      </c>
      <c r="C22" s="856"/>
      <c r="D22" s="468">
        <f>PGL_Requirements!$AF$7+PGL_Requirements!$AG$7+PGL_Requirements!$AH$7+PGL_Requirements!$AI$7/1000</f>
        <v>0</v>
      </c>
      <c r="E22" s="468">
        <f>PGL_Requirements!$AF$8+PGL_Requirements!$AG$8+PGL_Requirements!$AH$8+PGL_Requirements!$AI$8/1000</f>
        <v>0</v>
      </c>
      <c r="F22" s="468">
        <f>PGL_Requirements!$AF$9+PGL_Requirements!$AG$9+PGL_Requirements!$AH$9+PGL_Requirements!$AI$9/1000</f>
        <v>0</v>
      </c>
      <c r="G22" s="468">
        <f>PGL_Requirements!$AF$10+PGL_Requirements!$AG$10+PGL_Requirements!$AH$10+PGL_Requirements!$AI$10/1000</f>
        <v>0</v>
      </c>
      <c r="H22" s="468">
        <f>PGL_Requirements!$AF$11+PGL_Requirements!$AG$11+PGL_Requirements!$AH$11+PGL_Requirements!$AI$11/1000</f>
        <v>0</v>
      </c>
      <c r="I22" s="469">
        <f>PGL_Requirements!$AF$12+PGL_Requirements!$AG$12+PGL_Requirements!$AH$12+PGL_Requirements!$AI$12/1000</f>
        <v>0</v>
      </c>
      <c r="J22" s="781"/>
    </row>
    <row r="23" spans="1:10" ht="15.75">
      <c r="A23" s="849"/>
      <c r="B23" s="854" t="s">
        <v>148</v>
      </c>
      <c r="C23" s="856" t="s">
        <v>127</v>
      </c>
      <c r="D23" s="468">
        <f>NSG_Supplies!H7/1000</f>
        <v>0</v>
      </c>
      <c r="E23" s="468">
        <f>NSG_Supplies!H8/1000</f>
        <v>0</v>
      </c>
      <c r="F23" s="468">
        <f>NSG_Supplies!H9/1000</f>
        <v>0</v>
      </c>
      <c r="G23" s="468">
        <f>NSG_Supplies!H10/1000</f>
        <v>0</v>
      </c>
      <c r="H23" s="468">
        <f>NSG_Supplies!H11/1000</f>
        <v>0</v>
      </c>
      <c r="I23" s="469">
        <f>NSG_Supplies!H12/1000</f>
        <v>0</v>
      </c>
      <c r="J23" s="781"/>
    </row>
    <row r="24" spans="1:10" ht="15.75">
      <c r="A24" s="852" t="s">
        <v>149</v>
      </c>
      <c r="B24" s="840"/>
      <c r="C24" s="840"/>
      <c r="D24" s="468">
        <f>PGL_Requirements!G7/1000</f>
        <v>0.61699999999999999</v>
      </c>
      <c r="E24" s="468">
        <f>PGL_Requirements!G8/1000</f>
        <v>20</v>
      </c>
      <c r="F24" s="468">
        <f>PGL_Requirements!G9/1000</f>
        <v>0</v>
      </c>
      <c r="G24" s="468">
        <f>PGL_Requirements!G10/1000</f>
        <v>0</v>
      </c>
      <c r="H24" s="468">
        <f>PGL_Requirements!G11/1000</f>
        <v>0</v>
      </c>
      <c r="I24" s="469">
        <f>PGL_Requirements!G12/1000</f>
        <v>0</v>
      </c>
    </row>
    <row r="25" spans="1:10" ht="15.75">
      <c r="A25" s="849" t="s">
        <v>150</v>
      </c>
      <c r="B25" s="840" t="s">
        <v>759</v>
      </c>
      <c r="C25" s="840"/>
      <c r="D25" s="468">
        <f>PGL_Requirements!J7/1000</f>
        <v>0</v>
      </c>
      <c r="E25" s="468">
        <f>PGL_Requirements!J8/1000</f>
        <v>0</v>
      </c>
      <c r="F25" s="468">
        <f>PGL_Requirements!J9/1000</f>
        <v>0</v>
      </c>
      <c r="G25" s="468">
        <f>PGL_Requirements!J10/1000</f>
        <v>0</v>
      </c>
      <c r="H25" s="468">
        <f>PGL_Requirements!J11/1000</f>
        <v>0</v>
      </c>
      <c r="I25" s="469">
        <f>PGL_Requirements!J12/1000</f>
        <v>0</v>
      </c>
    </row>
    <row r="26" spans="1:10" ht="15.75">
      <c r="A26" s="849"/>
      <c r="B26" s="840" t="s">
        <v>68</v>
      </c>
      <c r="C26" s="840"/>
      <c r="D26" s="468">
        <f>PGL_Requirements!C7/1000</f>
        <v>0</v>
      </c>
      <c r="E26" s="468">
        <f>PGL_Requirements!C8/1000</f>
        <v>0</v>
      </c>
      <c r="F26" s="468">
        <f>PGL_Requirements!C9/1000</f>
        <v>0</v>
      </c>
      <c r="G26" s="468">
        <f>PGL_Requirements!C10/1000</f>
        <v>0</v>
      </c>
      <c r="H26" s="468">
        <f>PGL_Requirements!C11/1000</f>
        <v>0</v>
      </c>
      <c r="I26" s="469">
        <f>PGL_Requirements!C12/1000</f>
        <v>0</v>
      </c>
    </row>
    <row r="27" spans="1:10" ht="15.75">
      <c r="A27" s="849"/>
      <c r="B27" s="840" t="s">
        <v>93</v>
      </c>
      <c r="C27" s="840"/>
      <c r="D27" s="468">
        <f>PGL_Requirements!D7/1000</f>
        <v>4.62</v>
      </c>
      <c r="E27" s="468">
        <f>PGL_Requirements!D8/1000</f>
        <v>4.62</v>
      </c>
      <c r="F27" s="468">
        <f>PGL_Requirements!D9/1000</f>
        <v>4.62</v>
      </c>
      <c r="G27" s="468">
        <f>PGL_Requirements!D10/1000</f>
        <v>0</v>
      </c>
      <c r="H27" s="468">
        <f>PGL_Requirements!D11/1000</f>
        <v>0</v>
      </c>
      <c r="I27" s="469">
        <f>PGL_Requirements!D12/1000</f>
        <v>0</v>
      </c>
    </row>
    <row r="28" spans="1:10" ht="15.75">
      <c r="A28" s="849"/>
      <c r="B28" s="840" t="s">
        <v>416</v>
      </c>
      <c r="C28" s="840"/>
      <c r="D28" s="468">
        <f>PGL_Requirements!E7/1000</f>
        <v>0</v>
      </c>
      <c r="E28" s="468">
        <f>PGL_Requirements!E8/1000</f>
        <v>0</v>
      </c>
      <c r="F28" s="468">
        <f>PGL_Requirements!E9/1000</f>
        <v>0</v>
      </c>
      <c r="G28" s="468">
        <f>PGL_Requirements!E10/1000</f>
        <v>0</v>
      </c>
      <c r="H28" s="468">
        <f>PGL_Requirements!E11/1000</f>
        <v>0</v>
      </c>
      <c r="I28" s="469">
        <f>PGL_Requirements!E12/1000</f>
        <v>0</v>
      </c>
    </row>
    <row r="29" spans="1:10" ht="15.75">
      <c r="A29" s="849"/>
      <c r="B29" s="840" t="s">
        <v>96</v>
      </c>
      <c r="C29" s="840"/>
      <c r="D29" s="470">
        <f>PGL_Requirements!F7/1000</f>
        <v>0</v>
      </c>
      <c r="E29" s="470">
        <f>PGL_Requirements!F8/1000</f>
        <v>0</v>
      </c>
      <c r="F29" s="470">
        <f>PGL_Requirements!F9/1000</f>
        <v>0</v>
      </c>
      <c r="G29" s="470">
        <f>PGL_Requirements!F10/1000</f>
        <v>0</v>
      </c>
      <c r="H29" s="470">
        <f>PGL_Requirements!F11/1000</f>
        <v>0</v>
      </c>
      <c r="I29" s="471">
        <f>PGL_Requirements!F12/1000</f>
        <v>0</v>
      </c>
    </row>
    <row r="30" spans="1:10" ht="16.5" thickBot="1">
      <c r="A30" s="857" t="s">
        <v>151</v>
      </c>
      <c r="B30" s="858"/>
      <c r="C30" s="858"/>
      <c r="D30" s="472">
        <f t="shared" ref="D30:I30" si="1">SUM(D6:D29)</f>
        <v>583.51189999999997</v>
      </c>
      <c r="E30" s="472">
        <f t="shared" si="1"/>
        <v>589.5385</v>
      </c>
      <c r="F30" s="472">
        <f t="shared" si="1"/>
        <v>513.07949999999994</v>
      </c>
      <c r="G30" s="472">
        <f t="shared" si="1"/>
        <v>453.24499999999995</v>
      </c>
      <c r="H30" s="472">
        <f t="shared" si="1"/>
        <v>443.04999999999995</v>
      </c>
      <c r="I30" s="1175">
        <f t="shared" si="1"/>
        <v>448.04999999999995</v>
      </c>
    </row>
    <row r="31" spans="1:10" ht="17.25" thickTop="1" thickBot="1">
      <c r="A31" s="861"/>
      <c r="B31" s="840"/>
      <c r="C31" s="840"/>
      <c r="D31" s="473"/>
      <c r="E31" s="474"/>
      <c r="F31" s="474"/>
      <c r="G31" s="474"/>
      <c r="H31" s="474"/>
      <c r="I31" s="475"/>
    </row>
    <row r="32" spans="1:10" ht="16.5" thickTop="1" thickBot="1">
      <c r="A32" s="862" t="s">
        <v>152</v>
      </c>
      <c r="B32" s="863"/>
      <c r="C32" s="863"/>
      <c r="D32" s="476"/>
      <c r="E32" s="477"/>
      <c r="F32" s="477"/>
      <c r="G32" s="477"/>
      <c r="H32" s="477"/>
      <c r="I32" s="1176"/>
    </row>
    <row r="33" spans="1:9" ht="16.5" thickTop="1">
      <c r="A33" s="849" t="s">
        <v>153</v>
      </c>
      <c r="B33" s="840" t="s">
        <v>145</v>
      </c>
      <c r="C33" s="840" t="s">
        <v>60</v>
      </c>
      <c r="D33" s="468">
        <f>PGL_Supplies!M7/1000</f>
        <v>0</v>
      </c>
      <c r="E33" s="468">
        <f>PGL_Supplies!M8/1000</f>
        <v>0</v>
      </c>
      <c r="F33" s="468">
        <f>PGL_Supplies!M9/1000</f>
        <v>0</v>
      </c>
      <c r="G33" s="468">
        <f>PGL_Supplies!M10/1000</f>
        <v>0</v>
      </c>
      <c r="H33" s="468">
        <f>PGL_Supplies!M11/1000</f>
        <v>0</v>
      </c>
      <c r="I33" s="469">
        <f>PGL_Supplies!M12/1000</f>
        <v>0</v>
      </c>
    </row>
    <row r="34" spans="1:9" ht="15.75">
      <c r="A34" s="849"/>
      <c r="B34" s="840"/>
      <c r="C34" s="840" t="s">
        <v>94</v>
      </c>
      <c r="D34" s="468">
        <f>PGL_Supplies!H7/1000</f>
        <v>0.627</v>
      </c>
      <c r="E34" s="468">
        <f>PGL_Supplies!H8/1000</f>
        <v>1</v>
      </c>
      <c r="F34" s="468">
        <f>PGL_Supplies!H9/1000</f>
        <v>1</v>
      </c>
      <c r="G34" s="468">
        <f>PGL_Supplies!H10/1000</f>
        <v>1</v>
      </c>
      <c r="H34" s="468">
        <f>PGL_Supplies!H11/1000</f>
        <v>1</v>
      </c>
      <c r="I34" s="469">
        <f>PGL_Supplies!H12/1000</f>
        <v>1</v>
      </c>
    </row>
    <row r="35" spans="1:9" ht="15.75">
      <c r="A35" s="849"/>
      <c r="B35" s="840"/>
      <c r="C35" s="840" t="s">
        <v>61</v>
      </c>
      <c r="D35" s="468">
        <f>PGL_Supplies!J7/1000</f>
        <v>0</v>
      </c>
      <c r="E35" s="468">
        <f>PGL_Supplies!J8/1000</f>
        <v>0</v>
      </c>
      <c r="F35" s="468">
        <f>PGL_Supplies!J9/1000</f>
        <v>0</v>
      </c>
      <c r="G35" s="468">
        <f>PGL_Supplies!J10/1000</f>
        <v>0</v>
      </c>
      <c r="H35" s="468">
        <f>PGL_Supplies!J11/1000</f>
        <v>0</v>
      </c>
      <c r="I35" s="469">
        <f>PGL_Supplies!J12/1000</f>
        <v>0</v>
      </c>
    </row>
    <row r="36" spans="1:9" ht="15.75">
      <c r="A36" s="849"/>
      <c r="B36" s="840" t="s">
        <v>143</v>
      </c>
      <c r="C36" s="840" t="s">
        <v>90</v>
      </c>
      <c r="D36" s="468">
        <f>PGL_Supplies!R7/1000</f>
        <v>0</v>
      </c>
      <c r="E36" s="468">
        <f>PGL_Supplies!R8/1000</f>
        <v>0</v>
      </c>
      <c r="F36" s="468">
        <f>PGL_Supplies!R9/1000</f>
        <v>0</v>
      </c>
      <c r="G36" s="468">
        <f>PGL_Supplies!R10/1000</f>
        <v>0</v>
      </c>
      <c r="H36" s="468">
        <f>PGL_Supplies!R11/1000</f>
        <v>0</v>
      </c>
      <c r="I36" s="469">
        <f>PGL_Supplies!R12/1000</f>
        <v>0</v>
      </c>
    </row>
    <row r="37" spans="1:9" ht="15.75">
      <c r="A37" s="849"/>
      <c r="B37" s="840" t="s">
        <v>141</v>
      </c>
      <c r="C37" s="840" t="s">
        <v>90</v>
      </c>
      <c r="D37" s="468">
        <f>PGL_Supplies!L7/1000</f>
        <v>0</v>
      </c>
      <c r="E37" s="468">
        <f>PGL_Supplies!L8/1000</f>
        <v>0</v>
      </c>
      <c r="F37" s="468">
        <f>PGL_Supplies!L9/1000</f>
        <v>0</v>
      </c>
      <c r="G37" s="468">
        <f>PGL_Supplies!L10/1000</f>
        <v>0</v>
      </c>
      <c r="H37" s="468">
        <f>PGL_Supplies!L11/1000</f>
        <v>0</v>
      </c>
      <c r="I37" s="469">
        <f>PGL_Supplies!L12/1000</f>
        <v>0</v>
      </c>
    </row>
    <row r="38" spans="1:9" ht="15.75">
      <c r="A38" s="852" t="s">
        <v>155</v>
      </c>
      <c r="B38" s="840" t="s">
        <v>143</v>
      </c>
      <c r="C38" s="840"/>
      <c r="D38" s="468">
        <f>(NSG_Requirements!$S$7+NSG_Requirements!$T$7+NSG_Requirements!$U$7)/1000</f>
        <v>0</v>
      </c>
      <c r="E38" s="468">
        <f>(NSG_Requirements!$S$8+NSG_Requirements!$T$8+NSG_Requirements!$U$8)/1000</f>
        <v>0</v>
      </c>
      <c r="F38" s="468">
        <f>(NSG_Requirements!$S$9+NSG_Requirements!$T$9+NSG_Requirements!$U$9)/1000</f>
        <v>0</v>
      </c>
      <c r="G38" s="468">
        <f>(NSG_Requirements!$S$10+NSG_Requirements!$T$10+NSG_Requirements!$U$10)/1000</f>
        <v>0</v>
      </c>
      <c r="H38" s="468">
        <f>(NSG_Requirements!$S$11+NSG_Requirements!$T$11+NSG_Requirements!$U$11)/1000</f>
        <v>0</v>
      </c>
      <c r="I38" s="469">
        <f>(NSG_Requirements!$S$12+NSG_Requirements!$T$11+NSG_Requirements!$U$11)/1000</f>
        <v>0</v>
      </c>
    </row>
    <row r="39" spans="1:9" ht="15.75">
      <c r="A39" s="852"/>
      <c r="B39" s="840" t="s">
        <v>416</v>
      </c>
      <c r="C39" s="853"/>
      <c r="D39" s="468">
        <f>(NSG_Requirements!$AB$7+NSG_Requirements!$AC$7+NSG_Requirements!$AD$7+NSG_Requirements!$AE$7)/1000</f>
        <v>0</v>
      </c>
      <c r="E39" s="468">
        <f>(NSG_Requirements!$AB$8+NSG_Requirements!$AC$8+NSG_Requirements!$AD$8+NSG_Requirements!$AE$8)/1000</f>
        <v>0</v>
      </c>
      <c r="F39" s="468">
        <f>(NSG_Requirements!$AB$9+NSG_Requirements!$AC$9+NSG_Requirements!$AD$9+NSG_Requirements!$AE$9)/1000</f>
        <v>0</v>
      </c>
      <c r="G39" s="468">
        <f>(NSG_Requirements!$AB$10+NSG_Requirements!$AC$10+NSG_Requirements!$AD$10+NSG_Requirements!$AE$10)/1000</f>
        <v>0</v>
      </c>
      <c r="H39" s="468">
        <f>(NSG_Requirements!$AB$11+NSG_Requirements!$AC$11+NSG_Requirements!$AD$11+NSG_Requirements!$AE$11)/1000</f>
        <v>0</v>
      </c>
      <c r="I39" s="469">
        <f>(NSG_Requirements!$AB$12+NSG_Requirements!$AC$12+NSG_Requirements!$AD$12+NSG_Requirements!$AE$12)/1000</f>
        <v>0</v>
      </c>
    </row>
    <row r="40" spans="1:9" ht="15.75">
      <c r="A40" s="852"/>
      <c r="B40" s="840" t="s">
        <v>141</v>
      </c>
      <c r="C40" s="840"/>
      <c r="D40" s="468">
        <f>(NSG_Requirements!$Y$7+NSG_Requirements!$Z$7+NSG_Requirements!$AA$7)/1000</f>
        <v>0</v>
      </c>
      <c r="E40" s="468">
        <f>(NSG_Requirements!$Y$8+NSG_Requirements!$Z$8+NSG_Requirements!$AA$8)/1000</f>
        <v>0</v>
      </c>
      <c r="F40" s="468">
        <f>(NSG_Requirements!$Y$9+NSG_Requirements!$Z$9+NSG_Requirements!$AA$9)/1000</f>
        <v>0</v>
      </c>
      <c r="G40" s="468">
        <f>(NSG_Requirements!$Y$10+NSG_Requirements!$Z$10+NSG_Requirements!$AA$10)/1000</f>
        <v>0</v>
      </c>
      <c r="H40" s="468">
        <f>(NSG_Requirements!$Y$11+NSG_Requirements!$Z$11+NSG_Requirements!$AA$11)/1000</f>
        <v>0</v>
      </c>
      <c r="I40" s="469">
        <f>(NSG_Requirements!$Y$12+NSG_Requirements!$Z$12+NSG_Requirements!$AA$12)/1000</f>
        <v>0</v>
      </c>
    </row>
    <row r="41" spans="1:9" ht="15.75">
      <c r="A41" s="852"/>
      <c r="B41" s="840" t="s">
        <v>156</v>
      </c>
      <c r="C41" s="840" t="s">
        <v>157</v>
      </c>
      <c r="D41" s="468">
        <f>(NSG_Requirements!$L$7+NSG_Requirements!$M$7+NSG_Requirements!$N$7+NSG_Requirements!$K$7)/1000</f>
        <v>0</v>
      </c>
      <c r="E41" s="468">
        <f>(NSG_Requirements!$L$8+NSG_Requirements!$M$8+NSG_Requirements!$N$8+NSG_Requirements!$K$8)/1000</f>
        <v>0</v>
      </c>
      <c r="F41" s="468">
        <f>(NSG_Requirements!$L$9+NSG_Requirements!$M$9+NSG_Requirements!$N$9+NSG_Requirements!$K$9)/1000</f>
        <v>0</v>
      </c>
      <c r="G41" s="468">
        <f>(NSG_Requirements!$L$10+NSG_Requirements!$M$10+NSG_Requirements!$N$10+NSG_Requirements!$K$10)/1000</f>
        <v>0</v>
      </c>
      <c r="H41" s="468">
        <f>(NSG_Requirements!$L$11+NSG_Requirements!$M$11+NSG_Requirements!$N$11+NSG_Requirements!$K$11)/1000</f>
        <v>0</v>
      </c>
      <c r="I41" s="469">
        <f>(NSG_Requirements!$L$12+NSG_Requirements!$M$12+NSG_Requirements!$N$12+NSG_Requirements!$K$12)/1000</f>
        <v>0</v>
      </c>
    </row>
    <row r="42" spans="1:9" ht="15.75">
      <c r="A42" s="852" t="s">
        <v>722</v>
      </c>
      <c r="B42" s="840"/>
      <c r="C42" s="840"/>
      <c r="D42" s="468">
        <f>PGL_Supplies!U7/1000</f>
        <v>0</v>
      </c>
      <c r="E42" s="468">
        <f>PGL_Supplies!U8/1000</f>
        <v>0</v>
      </c>
      <c r="F42" s="468">
        <f>PGL_Supplies!U9/1000</f>
        <v>0</v>
      </c>
      <c r="G42" s="468">
        <f>PGL_Supplies!U10/1000</f>
        <v>0</v>
      </c>
      <c r="H42" s="468">
        <f>PGL_Supplies!U11/1000</f>
        <v>0</v>
      </c>
      <c r="I42" s="469">
        <f>PGL_Supplies!U12/1000</f>
        <v>0</v>
      </c>
    </row>
    <row r="43" spans="1:9" ht="15.75">
      <c r="A43" s="852" t="s">
        <v>623</v>
      </c>
      <c r="B43" s="840" t="s">
        <v>416</v>
      </c>
      <c r="C43" s="840"/>
      <c r="D43" s="468">
        <f>PGL_Supplies!T7/1000*0.5</f>
        <v>0</v>
      </c>
      <c r="E43" s="468">
        <f>PGL_Supplies!T8/1000*0.5</f>
        <v>0</v>
      </c>
      <c r="F43" s="468">
        <f>PGL_Supplies!T9/1000*0.5</f>
        <v>0</v>
      </c>
      <c r="G43" s="468">
        <f>PGL_Supplies!T10/1000*0.5</f>
        <v>0</v>
      </c>
      <c r="H43" s="468">
        <f>PGL_Supplies!T11/1000*0.5</f>
        <v>0</v>
      </c>
      <c r="I43" s="469">
        <f>PGL_Supplies!T12/1000*0.5</f>
        <v>0</v>
      </c>
    </row>
    <row r="44" spans="1:9" ht="15.75">
      <c r="A44" s="849"/>
      <c r="B44" s="840" t="s">
        <v>147</v>
      </c>
      <c r="C44" s="853"/>
      <c r="D44" s="468">
        <v>0</v>
      </c>
      <c r="E44" s="468">
        <v>0</v>
      </c>
      <c r="F44" s="468">
        <v>0</v>
      </c>
      <c r="G44" s="468">
        <v>0</v>
      </c>
      <c r="H44" s="468">
        <v>0</v>
      </c>
      <c r="I44" s="469">
        <v>0</v>
      </c>
    </row>
    <row r="45" spans="1:9" ht="15.75">
      <c r="A45" s="849"/>
      <c r="B45" s="840" t="s">
        <v>416</v>
      </c>
      <c r="C45" s="853"/>
      <c r="D45" s="468">
        <f>PGL_Supplies!W7/1000</f>
        <v>0</v>
      </c>
      <c r="E45" s="468">
        <f>PGL_Supplies!W8/1000</f>
        <v>0</v>
      </c>
      <c r="F45" s="468">
        <f>PGL_Supplies!W9/1000</f>
        <v>0</v>
      </c>
      <c r="G45" s="468">
        <f>PGL_Supplies!W10/1000</f>
        <v>0</v>
      </c>
      <c r="H45" s="468">
        <f>PGL_Supplies!W11/1000</f>
        <v>0</v>
      </c>
      <c r="I45" s="469">
        <f>PGL_Supplies!W12/1000</f>
        <v>0</v>
      </c>
    </row>
    <row r="46" spans="1:9" ht="15.75">
      <c r="A46" s="849"/>
      <c r="B46" s="840" t="s">
        <v>141</v>
      </c>
      <c r="C46" s="840"/>
      <c r="D46" s="468">
        <v>0</v>
      </c>
      <c r="E46" s="468">
        <v>0</v>
      </c>
      <c r="F46" s="468">
        <v>0</v>
      </c>
      <c r="G46" s="468">
        <v>0</v>
      </c>
      <c r="H46" s="468">
        <v>0</v>
      </c>
      <c r="I46" s="469">
        <v>0</v>
      </c>
    </row>
    <row r="47" spans="1:9" ht="15.75">
      <c r="A47" s="866" t="s">
        <v>769</v>
      </c>
      <c r="B47" s="840" t="s">
        <v>747</v>
      </c>
      <c r="C47" s="840"/>
      <c r="D47" s="468">
        <f>PGL_Supplies!Y7/1000</f>
        <v>159.39099999999999</v>
      </c>
      <c r="E47" s="468">
        <f>PGL_Supplies!Y8/1000</f>
        <v>159.39099999999999</v>
      </c>
      <c r="F47" s="468">
        <f>PGL_Supplies!Y9/1000</f>
        <v>159.39099999999999</v>
      </c>
      <c r="G47" s="468">
        <f>PGL_Supplies!Y10/1000</f>
        <v>159.39099999999999</v>
      </c>
      <c r="H47" s="468">
        <f>PGL_Supplies!Y11/1000</f>
        <v>159.39099999999999</v>
      </c>
      <c r="I47" s="469">
        <f>PGL_Supplies!Y12/1000</f>
        <v>159.39099999999999</v>
      </c>
    </row>
    <row r="48" spans="1:9" ht="15.75">
      <c r="A48" s="852"/>
      <c r="B48" s="840" t="s">
        <v>143</v>
      </c>
      <c r="C48" s="853"/>
      <c r="D48" s="468">
        <f>PGL_Supplies!Z7/1000</f>
        <v>40</v>
      </c>
      <c r="E48" s="468">
        <f>PGL_Supplies!Z8/1000</f>
        <v>40</v>
      </c>
      <c r="F48" s="468">
        <f>PGL_Supplies!Z9/1000</f>
        <v>40</v>
      </c>
      <c r="G48" s="468">
        <f>PGL_Supplies!Z10/1000</f>
        <v>40</v>
      </c>
      <c r="H48" s="468">
        <f>PGL_Supplies!Z11/1000</f>
        <v>40</v>
      </c>
      <c r="I48" s="469">
        <f>PGL_Supplies!Z12/1000</f>
        <v>40</v>
      </c>
    </row>
    <row r="49" spans="1:10" ht="15.75">
      <c r="A49" s="852"/>
      <c r="B49" s="840" t="s">
        <v>147</v>
      </c>
      <c r="C49" s="853"/>
      <c r="D49" s="468">
        <f>PGL_Supplies!AA7/1000</f>
        <v>4.62</v>
      </c>
      <c r="E49" s="468">
        <f>PGL_Supplies!AA8/1000</f>
        <v>4.62</v>
      </c>
      <c r="F49" s="468">
        <f>PGL_Supplies!AA9/1000</f>
        <v>4.62</v>
      </c>
      <c r="G49" s="468">
        <f>PGL_Supplies!AA10/1000</f>
        <v>0</v>
      </c>
      <c r="H49" s="468">
        <f>PGL_Supplies!AA11/1000</f>
        <v>0</v>
      </c>
      <c r="I49" s="469">
        <f>PGL_Supplies!AA12/1000</f>
        <v>0</v>
      </c>
    </row>
    <row r="50" spans="1:10" ht="15.75">
      <c r="A50" s="852"/>
      <c r="B50" s="840" t="s">
        <v>416</v>
      </c>
      <c r="C50" s="853"/>
      <c r="D50" s="468">
        <f>PGL_Supplies!AB7/1000</f>
        <v>242.78200000000001</v>
      </c>
      <c r="E50" s="468">
        <f>PGL_Supplies!AB8/1000</f>
        <v>242.78200000000001</v>
      </c>
      <c r="F50" s="468">
        <f>PGL_Supplies!AB9/1000</f>
        <v>242.78200000000001</v>
      </c>
      <c r="G50" s="468">
        <f>PGL_Supplies!AB10/1000</f>
        <v>242.78200000000001</v>
      </c>
      <c r="H50" s="468">
        <f>PGL_Supplies!AB11/1000</f>
        <v>242.78200000000001</v>
      </c>
      <c r="I50" s="469">
        <f>PGL_Supplies!AB12/1000</f>
        <v>242.78200000000001</v>
      </c>
    </row>
    <row r="51" spans="1:10" ht="15.75">
      <c r="A51" s="852"/>
      <c r="B51" s="840" t="s">
        <v>141</v>
      </c>
      <c r="C51" s="840"/>
      <c r="D51" s="468">
        <f>PGL_Supplies!AC7/1000</f>
        <v>131.75</v>
      </c>
      <c r="E51" s="468">
        <f>PGL_Supplies!AC8/1000</f>
        <v>131.75</v>
      </c>
      <c r="F51" s="468">
        <f>PGL_Supplies!AC9/1000</f>
        <v>131.75</v>
      </c>
      <c r="G51" s="468">
        <f>PGL_Supplies!AC10/1000</f>
        <v>131.75</v>
      </c>
      <c r="H51" s="468">
        <f>PGL_Supplies!AC11/1000</f>
        <v>131.75</v>
      </c>
      <c r="I51" s="469">
        <f>PGL_Supplies!AC12/1000</f>
        <v>131.75</v>
      </c>
    </row>
    <row r="52" spans="1:10" ht="15.75">
      <c r="A52" s="852"/>
      <c r="B52" s="840" t="s">
        <v>142</v>
      </c>
      <c r="C52" s="840"/>
      <c r="D52" s="468">
        <f>PGL_Supplies!AD7/1000</f>
        <v>0</v>
      </c>
      <c r="E52" s="468">
        <f>PGL_Supplies!AD8/1000</f>
        <v>0</v>
      </c>
      <c r="F52" s="468">
        <f>PGL_Supplies!AD9/1000</f>
        <v>0</v>
      </c>
      <c r="G52" s="468">
        <f>PGL_Supplies!AD10/1000</f>
        <v>0</v>
      </c>
      <c r="H52" s="468">
        <f>PGL_Supplies!AD11/1000</f>
        <v>0</v>
      </c>
      <c r="I52" s="469">
        <f>PGL_Supplies!AD12/1000</f>
        <v>0</v>
      </c>
    </row>
    <row r="53" spans="1:10" ht="15.75">
      <c r="A53" s="866"/>
      <c r="B53" s="840" t="s">
        <v>158</v>
      </c>
      <c r="C53" s="840"/>
      <c r="D53" s="468">
        <f>PGL_Supplies!I7/1000</f>
        <v>13.301</v>
      </c>
      <c r="E53" s="468">
        <f>PGL_Supplies!I8/1000</f>
        <v>10</v>
      </c>
      <c r="F53" s="468">
        <f>PGL_Supplies!I9/1000</f>
        <v>10</v>
      </c>
      <c r="G53" s="468">
        <f>PGL_Supplies!I10/1000</f>
        <v>10</v>
      </c>
      <c r="H53" s="468">
        <f>PGL_Supplies!I11/1000</f>
        <v>10</v>
      </c>
      <c r="I53" s="469">
        <f>PGL_Supplies!I12/1000</f>
        <v>10</v>
      </c>
      <c r="J53" s="113" t="s">
        <v>11</v>
      </c>
    </row>
    <row r="54" spans="1:10" ht="15.75">
      <c r="A54" s="849"/>
      <c r="B54" s="840" t="s">
        <v>159</v>
      </c>
      <c r="C54" s="840"/>
      <c r="D54" s="468">
        <f>PGL_Supplies!K7/1000</f>
        <v>0</v>
      </c>
      <c r="E54" s="468">
        <f>PGL_Supplies!K8/1000</f>
        <v>0</v>
      </c>
      <c r="F54" s="468">
        <f>PGL_Supplies!K9/1000</f>
        <v>0</v>
      </c>
      <c r="G54" s="468">
        <f>PGL_Supplies!K10/1000</f>
        <v>0</v>
      </c>
      <c r="H54" s="468">
        <f>PGL_Supplies!K11/1000</f>
        <v>0</v>
      </c>
      <c r="I54" s="469">
        <f>PGL_Supplies!K12/1000</f>
        <v>0</v>
      </c>
    </row>
    <row r="55" spans="1:10" ht="15.75">
      <c r="A55" s="852" t="s">
        <v>787</v>
      </c>
      <c r="B55" s="840"/>
      <c r="C55" s="840"/>
      <c r="D55" s="468">
        <f>PGL_Supplies!B7/1000</f>
        <v>0</v>
      </c>
      <c r="E55" s="468">
        <f>PGL_Supplies!B8/1000</f>
        <v>0</v>
      </c>
      <c r="F55" s="468">
        <f>PGL_Supplies!B9/1000</f>
        <v>0</v>
      </c>
      <c r="G55" s="468">
        <f>PGL_Supplies!B10/1000</f>
        <v>0</v>
      </c>
      <c r="H55" s="468">
        <f>PGL_Supplies!B11/1000</f>
        <v>0</v>
      </c>
      <c r="I55" s="469">
        <f>PGL_Supplies!B12/1000</f>
        <v>0</v>
      </c>
    </row>
    <row r="56" spans="1:10" ht="15.75">
      <c r="A56" s="849" t="s">
        <v>758</v>
      </c>
      <c r="B56" s="840" t="s">
        <v>747</v>
      </c>
      <c r="C56" s="840"/>
      <c r="D56" s="468">
        <f>PGL_Supplies!X7/1000</f>
        <v>0</v>
      </c>
      <c r="E56" s="468">
        <f>PGL_Supplies!X8/1000</f>
        <v>0</v>
      </c>
      <c r="F56" s="468">
        <f>PGL_Supplies!X9/1000</f>
        <v>0</v>
      </c>
      <c r="G56" s="468">
        <f>PGL_Supplies!X10/1000</f>
        <v>0</v>
      </c>
      <c r="H56" s="468">
        <f>PGL_Supplies!X11/1000</f>
        <v>0</v>
      </c>
      <c r="I56" s="469">
        <f>PGL_Supplies!X12/1000</f>
        <v>0</v>
      </c>
    </row>
    <row r="57" spans="1:10" ht="15.75">
      <c r="A57" s="849"/>
      <c r="B57" s="840" t="s">
        <v>143</v>
      </c>
      <c r="C57" s="840"/>
      <c r="D57" s="468">
        <f>PGL_Supplies!C7/1000</f>
        <v>0</v>
      </c>
      <c r="E57" s="468">
        <f>PGL_Supplies!C8/1000</f>
        <v>0</v>
      </c>
      <c r="F57" s="468">
        <f>PGL_Supplies!C9/1000</f>
        <v>0</v>
      </c>
      <c r="G57" s="468">
        <f>PGL_Supplies!C10/1000</f>
        <v>0</v>
      </c>
      <c r="H57" s="468">
        <f>PGL_Supplies!C11/1000</f>
        <v>0</v>
      </c>
      <c r="I57" s="469">
        <f>PGL_Supplies!C12/1000</f>
        <v>0</v>
      </c>
    </row>
    <row r="58" spans="1:10" ht="15.75">
      <c r="A58" s="849"/>
      <c r="B58" s="854" t="s">
        <v>147</v>
      </c>
      <c r="C58" s="840"/>
      <c r="D58" s="468">
        <f>PGL_Supplies!D7/1000</f>
        <v>0</v>
      </c>
      <c r="E58" s="468">
        <f>PGL_Supplies!D8/1000</f>
        <v>0</v>
      </c>
      <c r="F58" s="468">
        <f>PGL_Supplies!D9/1000</f>
        <v>0</v>
      </c>
      <c r="G58" s="468">
        <f>PGL_Supplies!D10/1000</f>
        <v>0</v>
      </c>
      <c r="H58" s="468">
        <f>PGL_Supplies!D11/1000</f>
        <v>0</v>
      </c>
      <c r="I58" s="469">
        <f>PGL_Supplies!D12/1000</f>
        <v>0</v>
      </c>
    </row>
    <row r="59" spans="1:10" ht="15.75">
      <c r="A59" s="849"/>
      <c r="B59" s="840" t="s">
        <v>416</v>
      </c>
      <c r="C59" s="840"/>
      <c r="D59" s="468">
        <f>PGL_Supplies!E7/1000</f>
        <v>0</v>
      </c>
      <c r="E59" s="468">
        <f>PGL_Supplies!E8/1000</f>
        <v>0</v>
      </c>
      <c r="F59" s="468">
        <f>PGL_Supplies!E9/1000</f>
        <v>0</v>
      </c>
      <c r="G59" s="468">
        <f>PGL_Supplies!E10/1000</f>
        <v>0</v>
      </c>
      <c r="H59" s="468">
        <f>PGL_Supplies!E11/1000</f>
        <v>0</v>
      </c>
      <c r="I59" s="469">
        <f>PGL_Supplies!E12/1000</f>
        <v>0</v>
      </c>
    </row>
    <row r="60" spans="1:10" ht="15.75">
      <c r="A60" s="867"/>
      <c r="B60" s="868" t="s">
        <v>142</v>
      </c>
      <c r="C60" s="868"/>
      <c r="D60" s="470">
        <f>PGL_Supplies!G7/1000</f>
        <v>0</v>
      </c>
      <c r="E60" s="470">
        <f>PGL_Supplies!G8/1000</f>
        <v>0</v>
      </c>
      <c r="F60" s="470">
        <f>PGL_Supplies!G9/1000</f>
        <v>0</v>
      </c>
      <c r="G60" s="470">
        <f>PGL_Supplies!G10/1000</f>
        <v>0</v>
      </c>
      <c r="H60" s="470">
        <f>PGL_Supplies!G11/1000</f>
        <v>0</v>
      </c>
      <c r="I60" s="471">
        <f>PGL_Supplies!G12/1000</f>
        <v>0</v>
      </c>
    </row>
    <row r="61" spans="1:10" ht="16.5" thickBot="1">
      <c r="A61" s="870" t="s">
        <v>160</v>
      </c>
      <c r="B61" s="871"/>
      <c r="C61" s="871"/>
      <c r="D61" s="478">
        <f t="shared" ref="D61:I61" si="2">SUM(D33:D60)</f>
        <v>592.47100000000012</v>
      </c>
      <c r="E61" s="478">
        <f t="shared" si="2"/>
        <v>589.54300000000001</v>
      </c>
      <c r="F61" s="478">
        <f t="shared" si="2"/>
        <v>589.54300000000001</v>
      </c>
      <c r="G61" s="478">
        <f t="shared" si="2"/>
        <v>584.923</v>
      </c>
      <c r="H61" s="478">
        <f t="shared" si="2"/>
        <v>584.923</v>
      </c>
      <c r="I61" s="1177">
        <f t="shared" si="2"/>
        <v>584.923</v>
      </c>
    </row>
    <row r="62" spans="1:10">
      <c r="A62" s="872" t="s">
        <v>161</v>
      </c>
      <c r="B62" s="873"/>
      <c r="C62" s="873"/>
      <c r="D62" s="479">
        <f t="shared" ref="D62:I62" si="3">IF(D61-D30&lt;0,0,D61-D30)</f>
        <v>8.9591000000001486</v>
      </c>
      <c r="E62" s="479">
        <f t="shared" si="3"/>
        <v>4.500000000007276E-3</v>
      </c>
      <c r="F62" s="479">
        <f t="shared" si="3"/>
        <v>76.463500000000067</v>
      </c>
      <c r="G62" s="479">
        <f t="shared" si="3"/>
        <v>131.67800000000005</v>
      </c>
      <c r="H62" s="479">
        <f t="shared" si="3"/>
        <v>141.87300000000005</v>
      </c>
      <c r="I62" s="1178">
        <f t="shared" si="3"/>
        <v>136.87300000000005</v>
      </c>
    </row>
    <row r="63" spans="1:10" ht="15.75" thickBot="1">
      <c r="A63" s="874" t="s">
        <v>162</v>
      </c>
      <c r="B63" s="858"/>
      <c r="C63" s="875"/>
      <c r="D63" s="480">
        <f t="shared" ref="D63:I63" si="4">IF(D30-D61&lt;0,0,D30-D61)</f>
        <v>0</v>
      </c>
      <c r="E63" s="480">
        <f t="shared" si="4"/>
        <v>0</v>
      </c>
      <c r="F63" s="480">
        <f t="shared" si="4"/>
        <v>0</v>
      </c>
      <c r="G63" s="480">
        <f t="shared" si="4"/>
        <v>0</v>
      </c>
      <c r="H63" s="480">
        <f t="shared" si="4"/>
        <v>0</v>
      </c>
      <c r="I63" s="1179">
        <f t="shared" si="4"/>
        <v>0</v>
      </c>
    </row>
    <row r="64" spans="1:10" ht="16.5" thickTop="1" thickBot="1">
      <c r="A64" s="1166" t="s">
        <v>773</v>
      </c>
      <c r="B64" s="1167"/>
      <c r="C64" s="1167"/>
      <c r="D64" s="1168">
        <f>PGL_Supplies!V7/1000</f>
        <v>220.76</v>
      </c>
      <c r="E64" s="1168">
        <f>PGL_Supplies!V8/1000</f>
        <v>220.76</v>
      </c>
      <c r="F64" s="1168">
        <f>PGL_Supplies!V9/1000</f>
        <v>220.76</v>
      </c>
      <c r="G64" s="1168">
        <f>PGL_Supplies!V10/1000</f>
        <v>220.76</v>
      </c>
      <c r="H64" s="1168">
        <f>PGL_Supplies!V11/1000</f>
        <v>220.76</v>
      </c>
      <c r="I64" s="1169">
        <f>PGL_Supplies!V12/1000</f>
        <v>220.76</v>
      </c>
    </row>
    <row r="65" ht="15.75" thickTop="1"/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1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35</vt:i4>
      </vt:variant>
    </vt:vector>
  </HeadingPairs>
  <TitlesOfParts>
    <vt:vector size="61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Imbalances</vt:lpstr>
      <vt:lpstr>NSG_Sendout_Input</vt:lpstr>
      <vt:lpstr>NSG_Sendouts</vt:lpstr>
      <vt:lpstr>Old_Imbalance</vt:lpstr>
      <vt:lpstr>PGL_Nom_Input</vt:lpstr>
      <vt:lpstr>PGL_Noms</vt:lpstr>
      <vt:lpstr>PGL_Sendout_Input</vt:lpstr>
      <vt:lpstr>PGL_Sendouts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Jan Havlíček</cp:lastModifiedBy>
  <cp:lastPrinted>2001-04-29T12:28:06Z</cp:lastPrinted>
  <dcterms:created xsi:type="dcterms:W3CDTF">1997-07-16T16:14:22Z</dcterms:created>
  <dcterms:modified xsi:type="dcterms:W3CDTF">2023-09-10T17:07:35Z</dcterms:modified>
</cp:coreProperties>
</file>