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AF4E39-AC5A-4866-A72A-621111463B45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<sst xmlns="http://schemas.openxmlformats.org/spreadsheetml/2006/main" count="2148" uniqueCount="804">
  <si>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</si>
  <si>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</si>
  <si>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</si>
  <si>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</si>
  <si>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</si>
  <si>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</si>
  <si>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</si>
  <si>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</si>
  <si>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</si>
  <si>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</si>
  <si>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</si>
  <si>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</si>
  <si>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</si>
  <si>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</si>
  <si>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</si>
  <si>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</si>
  <si>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</si>
  <si>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</si>
  <si>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</si>
  <si>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</si>
  <si>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</si>
  <si>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</si>
  <si>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</si>
  <si>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</si>
  <si>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</si>
  <si>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</si>
  <si>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</si>
  <si>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</si>
  <si>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</si>
  <si>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</si>
  <si>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</si>
  <si>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</si>
  <si>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</si>
  <si>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</si>
  <si>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</si>
  <si>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</si>
  <si>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</si>
  <si>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</si>
  <si>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</si>
  <si>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</si>
  <si>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</si>
  <si>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</si>
  <si>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</si>
  <si>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</si>
  <si>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</si>
  <si>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</si>
  <si>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</si>
  <si>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</si>
  <si>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</si>
  <si>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</si>
  <si>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</si>
  <si>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</si>
  <si>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</si>
  <si>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</si>
  <si>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</si>
  <si>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</si>
  <si>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</si>
  <si>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</si>
  <si>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</si>
  <si>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</si>
  <si>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</si>
  <si>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</si>
  <si>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</si>
  <si>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</si>
  <si>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</si>
  <si>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</si>
  <si>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</si>
  <si>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</si>
  <si>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</si>
  <si>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</si>
  <si>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</si>
  <si>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</si>
  <si>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</si>
  <si>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</si>
  <si>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</si>
  <si>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</si>
  <si>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</si>
  <si>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</si>
  <si>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</si>
  <si>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</si>
  <si>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</si>
  <si>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</si>
  <si>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</si>
  <si>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</si>
  <si>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</si>
  <si>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</si>
  <si>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</si>
  <si>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</si>
  <si>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</si>
  <si>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</si>
  <si>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</si>
  <si>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</si>
  <si>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</si>
  <si>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</si>
  <si>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</si>
  <si>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</si>
  <si>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</si>
  <si>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</si>
  <si>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</si>
  <si>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</si>
  <si>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</si>
  <si>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</si>
  <si>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</si>
  <si>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</si>
  <si>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</si>
  <si>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</si>
  <si>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</si>
  <si>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</si>
  <si>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</si>
  <si>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</si>
  <si>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</si>
  <si>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</si>
  <si>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</si>
  <si>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</si>
  <si>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</si>
  <si>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</si>
  <si>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</si>
  <si>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</si>
  <si>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</si>
  <si>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</si>
  <si>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</si>
  <si>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</si>
  <si>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</si>
  <si>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</si>
  <si>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</si>
  <si>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</si>
  <si>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</si>
  <si>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</si>
  <si>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</si>
  <si>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</si>
  <si>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</si>
  <si>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</si>
  <si>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</si>
  <si>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</si>
  <si>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</si>
  <si>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</si>
  <si>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</si>
  <si>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</si>
  <si>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</si>
  <si>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</si>
  <si>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</si>
  <si>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</si>
  <si>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</si>
  <si>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</si>
  <si>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</si>
  <si>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</si>
  <si>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</si>
  <si>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</si>
  <si>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</si>
  <si>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</si>
  <si>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</si>
  <si>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</si>
  <si>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</si>
  <si>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</si>
  <si>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</si>
  <si>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</si>
  <si>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</si>
  <si>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</si>
  <si>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</si>
  <si>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</si>
  <si>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</si>
  <si>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</si>
  <si>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</si>
  <si>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</si>
  <si>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</si>
  <si>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</si>
  <si>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</si>
  <si>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</si>
  <si>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</si>
  <si>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</si>
  <si>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</si>
  <si>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</si>
  <si>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</si>
  <si>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</si>
  <si>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</si>
  <si>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</si>
  <si>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</si>
  <si>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</si>
  <si>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</si>
  <si>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</si>
  <si>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</si>
  <si>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</si>
  <si>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</si>
  <si>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</si>
  <si>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</si>
  <si>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</si>
  <si>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</si>
  <si>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</si>
  <si>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</si>
  <si>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</si>
  <si>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</si>
  <si>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</si>
  <si>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</si>
  <si>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</si>
  <si>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</si>
  <si>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</si>
  <si>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</si>
  <si>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</si>
  <si>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</si>
  <si>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</si>
  <si>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</si>
  <si>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</si>
  <si>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</si>
  <si>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</si>
  <si>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</si>
  <si>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</si>
  <si>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</si>
  <si>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</si>
  <si>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</si>
  <si>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</si>
  <si>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</si>
  <si>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</si>
  <si>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</si>
  <si>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</si>
  <si>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</si>
  <si>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</si>
  <si>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</si>
  <si>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</si>
  <si>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</si>
  <si>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</si>
  <si>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</si>
  <si>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</si>
  <si>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</si>
  <si>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</si>
  <si>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</si>
  <si>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</si>
  <si>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</si>
  <si>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</si>
  <si>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</si>
  <si>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</si>
  <si>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</si>
  <si>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</si>
  <si>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</si>
  <si>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</si>
  <si>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</si>
  <si>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</si>
  <si>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</si>
  <si>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</si>
  <si>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</si>
  <si>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</si>
  <si>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</si>
  <si>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</si>
  <si>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</si>
  <si>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</si>
  <si>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</si>
  <si>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</si>
  <si>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</si>
  <si>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</si>
  <si>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</si>
  <si>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</si>
  <si>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</si>
  <si>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</si>
  <si>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</si>
  <si>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</si>
  <si>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</si>
  <si>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</si>
  <si>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</si>
  <si>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</si>
  <si>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</si>
  <si>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</si>
  <si>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</si>
  <si>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</si>
  <si>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</si>
  <si>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</si>
  <si>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</si>
  <si>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</si>
  <si>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</si>
  <si>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</si>
  <si>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</si>
  <si>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</si>
  <si>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</si>
  <si>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</si>
  <si>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</si>
  <si>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</si>
  <si>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</si>
  <si>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</si>
  <si>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</si>
  <si>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</si>
  <si>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</si>
  <si>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</si>
  <si>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</si>
  <si>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</si>
  <si>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</si>
  <si>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</si>
  <si>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</si>
  <si>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</si>
  <si>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</si>
  <si>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</si>
  <si>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</si>
  <si>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</si>
  <si>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</si>
  <si>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</si>
  <si>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</si>
  <si>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</si>
  <si>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</si>
  <si>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</si>
  <si>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</si>
  <si>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</si>
  <si>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</si>
  <si>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</si>
  <si>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</si>
  <si>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</si>
  <si>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</si>
  <si>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</si>
  <si>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</si>
  <si>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</si>
  <si>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</si>
  <si>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</si>
  <si>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</si>
  <si>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</si>
  <si>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</si>
  <si>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</si>
  <si>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</si>
  <si>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</si>
  <si>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</si>
  <si>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</si>
  <si>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</si>
  <si>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</si>
  <si>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</si>
  <si>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</si>
  <si>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</si>
  <si>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</si>
  <si>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</si>
  <si>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</si>
  <si>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</si>
  <si>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</si>
  <si>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</si>
  <si>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</si>
  <si>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</si>
  <si>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</si>
  <si>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</si>
  <si>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</si>
  <si>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</si>
  <si>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</si>
  <si>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</si>
  <si>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</si>
  <si>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</si>
  <si>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</si>
  <si>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</si>
  <si>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</si>
  <si>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</si>
  <si>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</si>
  <si>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</si>
  <si>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</si>
  <si>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</si>
  <si>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</si>
  <si>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</si>
  <si>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</si>
  <si>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</si>
  <si>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</si>
  <si>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</si>
  <si>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</si>
  <si>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</si>
  <si>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</si>
  <si>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</si>
  <si>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</si>
  <si>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</si>
  <si>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</si>
  <si>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</si>
  <si>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</si>
  <si>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</si>
  <si>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</si>
  <si>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</si>
  <si>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</si>
  <si>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</si>
  <si>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</si>
  <si>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</si>
  <si>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</si>
  <si>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</si>
  <si>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</si>
  <si>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</si>
  <si>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</si>
  <si>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</si>
  <si>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</si>
  <si>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</si>
  <si>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</si>
  <si>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</si>
  <si>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</si>
  <si>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</si>
  <si>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</si>
  <si>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</si>
  <si>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</si>
  <si>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</si>
  <si>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</si>
  <si>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</si>
  <si>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</si>
  <si>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</si>
  <si>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</si>
  <si>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</si>
  <si>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</si>
  <si>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</si>
  <si>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</si>
  <si>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</si>
  <si>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</si>
  <si>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</si>
  <si>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</si>
  <si>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</si>
  <si>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</si>
  <si>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</si>
  <si>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</si>
  <si>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</si>
  <si>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</si>
  <si>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</si>
  <si>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</si>
  <si>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</si>
  <si>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</si>
  <si>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</si>
  <si>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</si>
  <si>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</si>
  <si>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</si>
  <si>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</si>
  <si>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</si>
  <si>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</si>
  <si>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</si>
  <si>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</si>
  <si>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</si>
  <si>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</si>
  <si>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</si>
  <si>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</si>
  <si>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</si>
  <si>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</si>
  <si>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</si>
  <si>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</si>
  <si>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</si>
  <si>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</si>
  <si>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</si>
  <si>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</si>
  <si>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</si>
  <si>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</si>
  <si>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</si>
  <si>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</si>
  <si>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</si>
  <si>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</si>
  <si>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</si>
  <si>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</si>
  <si>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</si>
  <si>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</si>
  <si>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</si>
  <si>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</si>
  <si>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</si>
  <si>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</si>
  <si>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</si>
  <si>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</si>
  <si>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</si>
  <si>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</si>
  <si>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</si>
  <si>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</si>
  <si>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</si>
  <si>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</si>
  <si>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</si>
  <si>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</si>
  <si>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</si>
  <si>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</si>
  <si>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</si>
  <si>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</si>
  <si>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</si>
  <si>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</si>
  <si>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</si>
  <si>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</si>
  <si>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</si>
  <si>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</si>
  <si>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</si>
  <si>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</si>
  <si>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</si>
  <si>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</si>
  <si>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</si>
  <si>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</si>
  <si>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</si>
  <si>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</si>
  <si>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</si>
  <si>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</si>
  <si>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</si>
  <si>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</si>
  <si>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</si>
  <si>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</si>
  <si>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</si>
  <si>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</si>
  <si>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</si>
  <si>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</si>
  <si>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</si>
  <si>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</si>
  <si>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</si>
  <si>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</si>
  <si>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</si>
  <si>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</si>
  <si>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</si>
  <si>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</si>
  <si>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</si>
  <si>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</si>
  <si>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</si>
  <si>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</si>
  <si>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</si>
  <si>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</si>
  <si>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</si>
  <si>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</si>
  <si>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</si>
  <si>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</si>
  <si>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</si>
  <si>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</si>
  <si>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</si>
  <si>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</si>
  <si>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</si>
  <si>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</si>
  <si>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</si>
  <si>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</si>
  <si>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</si>
  <si>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</si>
  <si>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</si>
  <si>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</si>
  <si>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</si>
  <si>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</si>
  <si>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</si>
  <si>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</si>
  <si>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</si>
  <si>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</si>
  <si>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</si>
  <si>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</si>
  <si>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</si>
  <si>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</si>
  <si>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</si>
  <si>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</si>
  <si>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</si>
  <si>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</si>
  <si>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</si>
  <si>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</si>
  <si>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</si>
  <si>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</si>
  <si>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</si>
  <si>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</si>
  <si>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</si>
  <si>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</si>
  <si>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</si>
  <si>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</si>
  <si>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</si>
  <si>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</si>
  <si>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</si>
  <si>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</si>
  <si>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</si>
  <si>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</si>
  <si>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</si>
  <si>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</si>
  <si>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</si>
  <si>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</si>
  <si>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</si>
  <si>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</si>
  <si>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</si>
  <si>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</si>
  <si>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</si>
  <si>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</si>
  <si>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</si>
  <si>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</si>
  <si>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</si>
  <si>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</si>
  <si>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</si>
  <si>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</si>
  <si>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</si>
  <si>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</si>
  <si>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</si>
  <si>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</si>
  <si>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</si>
  <si>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</si>
  <si>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</si>
  <si>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</si>
  <si>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</si>
  <si>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</si>
  <si>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</si>
  <si>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</si>
  <si>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</si>
  <si>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</si>
  <si>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</si>
  <si>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</si>
  <si>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</si>
  <si>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</si>
  <si>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</si>
  <si>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</si>
  <si>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</si>
  <si>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</si>
  <si>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</si>
  <si>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</si>
  <si>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</si>
  <si>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</si>
  <si>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</si>
  <si>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</si>
  <si>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</si>
  <si>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</si>
  <si>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</si>
  <si>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</si>
  <si>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</si>
  <si>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</si>
  <si>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</si>
  <si>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</si>
  <si>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</si>
  <si>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</si>
  <si>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</si>
  <si>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</si>
  <si>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</si>
  <si>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</si>
  <si>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</si>
  <si>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</si>
  <si>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</si>
  <si>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</si>
  <si>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</si>
  <si>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</si>
  <si>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</si>
  <si>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</si>
  <si>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</si>
  <si>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</si>
  <si>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</si>
  <si>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</si>
  <si>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</si>
  <si>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</si>
  <si>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</si>
  <si>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</si>
  <si>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</si>
  <si>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</si>
  <si>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</si>
  <si>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</si>
  <si>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</si>
  <si>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</si>
  <si>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</si>
  <si>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</si>
  <si>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</si>
  <si>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</si>
  <si>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</si>
  <si>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</si>
  <si>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</si>
  <si>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</si>
  <si>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</si>
  <si>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</si>
  <si>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</si>
  <si>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</si>
  <si>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</si>
  <si>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</si>
  <si>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</si>
  <si>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</si>
  <si>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</si>
  <si>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</si>
  <si>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</si>
  <si>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</si>
  <si>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</si>
  <si>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</si>
  <si>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</si>
  <si>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</si>
  <si>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</si>
  <si>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</si>
  <si>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</si>
  <si>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</si>
  <si>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</si>
  <si>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</si>
  <si>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</si>
  <si>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</si>
  <si>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</si>
  <si>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</si>
  <si>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</si>
  <si>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</si>
  <si>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</si>
  <si>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</si>
  <si>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</si>
  <si>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</si>
  <si>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</si>
  <si>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</si>
  <si>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</si>
  <si>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</si>
  <si>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</si>
  <si>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</si>
  <si>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</si>
  <si>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</si>
  <si>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</si>
  <si>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</si>
  <si>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</si>
  <si>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</si>
  <si>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</si>
  <si>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</si>
  <si>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</si>
  <si>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</si>
  <si>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</si>
  <si>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</si>
  <si>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</si>
  <si>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</si>
  <si>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</si>
  <si>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</si>
  <si>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</si>
  <si>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</si>
  <si>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</si>
  <si>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</si>
  <si>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</si>
  <si>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</si>
  <si>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</si>
  <si>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</si>
  <si>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</si>
  <si>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</si>
  <si>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</si>
  <si>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</si>
  <si>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</si>
  <si>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</si>
  <si>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</si>
  <si>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</si>
  <si>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</si>
  <si>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</si>
  <si>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</si>
  <si>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</si>
  <si>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</si>
  <si>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</si>
  <si>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</si>
  <si>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</si>
  <si>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</si>
  <si>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</si>
  <si>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</si>
  <si>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</si>
  <si>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</si>
  <si>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</si>
  <si>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</si>
  <si>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</si>
  <si>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</si>
  <si>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</si>
  <si>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</si>
  <si>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</si>
  <si>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</si>
  <si>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</si>
  <si>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</si>
  <si>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</si>
  <si>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</si>
  <si>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</si>
  <si>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</si>
  <si>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</si>
  <si>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</si>
  <si>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</si>
  <si>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</si>
  <si>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</si>
  <si>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</si>
  <si>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</si>
  <si>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</si>
  <si>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</si>
  <si>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</si>
  <si>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</si>
  <si>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</si>
  <si>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</si>
  <si>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</si>
  <si>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</si>
  <si>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</si>
  <si>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</si>
  <si>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</si>
  <si>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</si>
  <si>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</si>
  <si>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</si>
  <si>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</si>
  <si>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</si>
  <si>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</si>
  <si>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</si>
  <si>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</si>
  <si>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</si>
  <si>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</si>
  <si>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</si>
  <si>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</si>
  <si>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</si>
  <si>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</si>
  <si>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</si>
  <si>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</si>
  <si>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</si>
  <si>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</si>
  <si>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</si>
  <si>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</si>
  <si>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</si>
  <si>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</si>
  <si>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</si>
  <si>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</si>
  <si>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</si>
  <si>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</si>
  <si>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</si>
  <si>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</si>
  <si>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</si>
  <si>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</si>
  <si>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</si>
  <si>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</si>
  <si>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</si>
  <si>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</si>
  <si>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</si>
  <si>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</si>
  <si>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</si>
  <si>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</si>
  <si>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</si>
  <si>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</si>
  <si>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</si>
  <si>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</si>
  <si>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</si>
  <si>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</si>
  <si>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</si>
  <si>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</si>
  <si>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</si>
  <si>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</si>
  <si>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</si>
  <si>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</si>
  <si>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</si>
  <si>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N/A</t>
  </si>
  <si>
    <t>EARLY CLOUDS AND THEN MOSTLY SUNNY BUT BECOMING CLOUDY LATER IN THE</t>
  </si>
  <si>
    <t>AFTERNOON. HIGH IN THE MIDDLE 60S. CLOUDY WITH SHOWERS AT NIGHT.</t>
  </si>
  <si>
    <t xml:space="preserve">PARTLY SUNNY AND WARMER WITH A CHANCE OF SHOWERS OR T-STORMS  IN </t>
  </si>
  <si>
    <t>THE AFTERNOON. HIGH IN THE 70S.  CLOUDY WITH A 40%  CHANCE OF SHOWERS.</t>
  </si>
  <si>
    <t xml:space="preserve">PARTLY CLOUDY WITH A CHANCE OF SHOWERS AND T-STORMS. HIGH IN THE </t>
  </si>
  <si>
    <t>UPPER 70S.</t>
  </si>
  <si>
    <t xml:space="preserve">MOSTLY CLOUDY WITH A CHANCE OF SHOWERS AND T-STORMS. HIGH 65 TO 70. </t>
  </si>
  <si>
    <t>BUT COOLER NEAR THE LAKE.</t>
  </si>
  <si>
    <t xml:space="preserve">MOSTLY CLOUDY WITH A CHANCE OF SHOWERS AND T-STORMS. HIGH IN THE </t>
  </si>
  <si>
    <t>MIDDLE 60S.LOWS IN THE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</si>
</sst>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E327BBE-F178-3E3E-C3F5-A95BCC37AD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0CA15BA-D5A6-BBB6-646D-A05DC7D96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BD701BA-031A-35C2-65BA-DA5D795C4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4DAC7DC-AFEC-AA17-BC03-9C4DBEC56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B365D7AD-91D4-520C-7D84-D066D16DE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D589CFF-7F78-1B11-BEDD-10779D1C4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D51FC6F-3250-A9ED-51A0-F6A1E3FC3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DE80279-9D9E-B4B9-51B9-8394D0C802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942DA21-7C64-2CDC-58FA-22CEAEE7A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82F96B8C-B75A-124C-57C3-4F02694FC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6B6E37CF-2CD0-10EA-498D-BC5DB3C48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D13C1672-14C6-189C-0311-8404886E2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1F3C29A-45D1-82F1-346F-E440EE228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66C0788-3E55-D03E-867E-A9FBACF6E1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F1E63017-4B29-BDD0-0404-17F39DCFC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CBEDF52-2B3E-0E95-ECEE-6FF8445C4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B6BCB0D-2668-6CB0-66F3-F5386E46A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785720B9-577F-8E0C-5BE3-966AC3B0F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CEA5A5EE-3CB0-1325-007F-DBE7345EB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16EE85C-8F5E-B79E-0D94-8D4C1FBB45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7F12B123-A5EA-84E3-4A98-AA07B0C9A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0FEC3CA-116B-7673-F928-E983BFDD0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903EAFF-A536-B641-8FFA-54F9F092C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AB186B0A-4B50-3D9A-B287-8D0B9F1EA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CF2531AB-1C95-D7E0-C3E2-A3AAFADFC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6D946221-9701-86E2-6437-80E9A7451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9C818F66-6464-7452-7F42-F2991961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06A9071D-2D34-F45E-A1F4-11D08A475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BB4043D9-713A-2DAB-8EF5-69C6C8CB9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CBB892AF-4BCF-954D-974D-B6A1BD2E2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6731CF2E-FD8D-C09D-B6F6-967429429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201DC459-8EF4-E030-EA16-6D20D9C60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94F52B6F-EDED-A5BB-C815-42254CE5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32C55D7-A0CE-7C69-9C8A-212186678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FBA5F66E-4325-CD83-4609-B392182B9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59EBA65C-7113-F1CA-5575-B403EC50F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44BAA862-EC89-2EE9-3F3E-895C92B1A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AFC2FAA4-2D34-78CC-50EE-DF012544C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D1EB84FD-4392-BD85-A787-2885F7E78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ACBFD485-31CE-D6A1-1648-DF3910687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A5DE1D02-A444-DEB4-B5AA-F6D76C347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42FA0AAE-C5EB-9458-F062-E4D52B06D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DFD8D669-4337-5C38-494B-3DC844EA5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2AEA4B07-4F6E-FA10-CE37-D9B530A16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689" name="Day_1">
          <a:extLst>
            <a:ext uri="{FF2B5EF4-FFF2-40B4-BE49-F238E27FC236}">
              <a16:creationId xmlns:a16="http://schemas.microsoft.com/office/drawing/2014/main" id="{F1B20D74-949C-FFA1-32BF-3DA87C88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690" name="Day_2">
          <a:extLst>
            <a:ext uri="{FF2B5EF4-FFF2-40B4-BE49-F238E27FC236}">
              <a16:creationId xmlns:a16="http://schemas.microsoft.com/office/drawing/2014/main" id="{57C25329-320E-D980-167C-C59F4C9D4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691" name="Day_3">
          <a:extLst>
            <a:ext uri="{FF2B5EF4-FFF2-40B4-BE49-F238E27FC236}">
              <a16:creationId xmlns:a16="http://schemas.microsoft.com/office/drawing/2014/main" id="{AFF32AEC-3FEF-ADBD-740B-8724BEFD2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692" name="Day_4">
          <a:extLst>
            <a:ext uri="{FF2B5EF4-FFF2-40B4-BE49-F238E27FC236}">
              <a16:creationId xmlns:a16="http://schemas.microsoft.com/office/drawing/2014/main" id="{66FFEEE4-D2BA-35D6-6D48-41310C054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693" name="Day_5">
          <a:extLst>
            <a:ext uri="{FF2B5EF4-FFF2-40B4-BE49-F238E27FC236}">
              <a16:creationId xmlns:a16="http://schemas.microsoft.com/office/drawing/2014/main" id="{68C8C49A-C01D-57A9-50A5-3C4030922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694" name="Day_6">
          <a:extLst>
            <a:ext uri="{FF2B5EF4-FFF2-40B4-BE49-F238E27FC236}">
              <a16:creationId xmlns:a16="http://schemas.microsoft.com/office/drawing/2014/main" id="{79C528AB-61D9-6FDA-5FDB-11CFC36BB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EC08448A-6B53-1FFE-2928-94DB522434EB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BB19B13D-FC54-6372-2922-BC2AD66D3847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588BC5EF-FAB0-0AF0-574E-ECD0D4A5820A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0132797-053E-F7F8-8ADF-8D7AE032EA87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FCBF873B-5695-4EC5-7AB0-36AEDD84566E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14ADA4E-288E-3ED6-406C-3EF1748DB1C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EE75D206-8B5E-F72A-594D-0AC439800EC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2BECAF81-EF3D-66FD-2FC2-0DD9EF85C960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6E3086FF-C4EE-DCB1-B72A-11FE2BC59EC6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74D2909-A7D5-530D-66AE-645995B3145D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0D17433D-9175-E4FA-D49C-E01CFD44D3FE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894F562-5CCC-8900-C9A1-2FB78936E81D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F164986-53C9-6DE4-EABC-AAD110F881C3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2FD493FC-69EA-533B-4E67-B12CF28F95DF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FDA0EDF4-026F-6006-8A9A-46DEAF2EE034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32F24D41-A257-BCC6-9C0E-87AAAB04F291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DFC93CC5-E953-00A9-48C0-8C6CCCD13ACF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6D7731D0-CCB0-A522-804C-ED2A9EBBB03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99C5D0F-7367-2649-3CEC-E8387C8B8EBC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07A76182-9612-17D4-A793-5C38B8ADB4A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ED1CA0D6-A7FF-EFC0-097D-853945CC2CE8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80E285A8-958D-3A92-9359-2A9AD00183ED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93E344CB-1E4D-2F1A-8FF7-7FA7EE2E11A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D7C9941D-5BBE-6B2A-67A8-555B0AC7BED4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EA16ADDF-1A5C-0B83-B58B-F33393109972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73A34F0D-9105-44DC-C253-EBB601B0EC37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FFBE78C5-84A4-9051-461B-EACD6ADEE5AC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701C3B2E-4A27-8870-13E4-0CE8F97EF8E7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53EC40CE-8DEA-9525-BDC6-EE540D9D69B8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E0EDD951-251E-A5B4-7AE4-ECD5AEF79827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EF0C8714-D76C-B27D-0FF6-951E56D706FE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D6A0834-EB77-6579-0D25-4B58620DB456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D07741B8-174A-97C8-B4CF-F04C1633330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01BCFAE7-A037-91F2-11AF-EBBFB8368980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2DDF6C7-1DBC-C825-2657-0245A7FAEFFA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734AF1B6-C0DF-2164-B0D9-FBFD957E060A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218D2F5-B972-0641-B607-BDF75D089B72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998B5055-940F-FE43-9A8B-B948399522A7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4E2FAE8-0271-3CDA-FC34-93864D9B959B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0AF67F09-B9F9-8B6C-070C-CA82A5973302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DE17C150-D5B2-27D9-E240-87D8FF9EC27F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D0A780DA-A928-00C0-63B5-A9C30BC67FE6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20E66EEC-0C06-63D5-2477-4C325F5E312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71FA6620-9A8D-E21A-9106-9F72861C9337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48B20428-1531-8E0E-5B8B-2DA17BA88403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F175284D-0C53-ECEC-C4BD-5A0E2272BFB6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4E8C2ABA-D962-2EA7-1BFD-61DA70E6C5D3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1EFAD033-9783-2314-951A-086280B10779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9BF9B418-0A45-923F-22D3-69924BAB04AD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791B83A4-2EDC-14BF-668E-1FD558416E62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AC70B4B1-F081-AC57-DB09-AF51B35AFF3A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FACD867F-F8DE-DA06-5BED-CE6CF0289BC2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295E0170-7414-C4D2-CA33-59E4533A756F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56296801-C5E9-CFB6-859C-EC945FB09B4C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18E8A56E-5A04-43E5-0880-ADDEE32D746A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5B2317AA-4AA3-FCB5-4691-845A9F335F41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06498FAD-231F-CBEC-EE35-0EFF779E9E23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DF7DEF1A-C7E4-734F-E3EE-F888CD3D1EC4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39121000-F031-F020-2938-E534C954B377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ED5523BB-F748-C865-0285-A7E9FEFD5681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09C07546-8D55-5961-91AE-8ED840B811AA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9F2B8165-1B66-69C1-E45C-D3FEA5230A04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0859F89D-C69B-E8A7-4491-6232DA49896F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0EA36181-F525-3333-4D1F-155CF5B7A7BE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9655A9B9-BD5C-B145-36E8-B5875AFC3E15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27028BE-00D4-0D75-3DBD-DDE45130C0B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69C87077-CCA8-A297-4D3C-651C1768B1EB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A20865B6-E85A-A069-26D2-4A4C1B5E4E76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4AEBBEEA-4403-00AD-F669-60EDAC9911F9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08ADC87-0FA3-F348-DB28-24940C40769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BD43B4E0-4443-253F-015A-F3CD8468BAA2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F9A5573-D3CD-64C3-E953-45153CCF17E3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D594D4B0-1D7F-F300-30C0-13CDA59B20ED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99F1BB36-4916-05D5-DFB6-E725F53E10C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015F9FCD-1C28-14A5-C341-CDA89C63F1D4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5104D986-C0A7-761D-1C14-1228901E3004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F77A79D0-EF95-6888-101C-7721D627767F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E6AFDB42-571B-8CD5-EAA3-F27454A4A7DE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9F892B1D-557E-2CEE-6973-047265330435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E65C0DEA-6EBB-E994-D404-2C9163317EB3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CA7410E2-2916-E198-5D5B-45F63D772904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E8753275-31F7-82BF-06D6-0B88FAA51F44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2F6704A-90D4-41BC-0B36-FE1877C4758B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4B9249A1-AC5A-3253-5D4C-8F12092E3C6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BEB51A3A-1401-5755-A3CA-78DE16E5B2C3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3AC240FE-8A99-7964-236F-47F284EC15F8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DCE4FB01-FEBA-93CE-7A9A-8F442EDA643B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3C7E829F-181B-ECEB-45C0-F38434BDEB48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D9E352CA-B8F6-ED66-5020-8B626287494B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88989CD2-0ABA-FDBA-E098-63AAD38EFA96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4E00BCE2-CB86-0F71-3FA9-F145D5D2808A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95F6056B-ACEA-BAD8-2085-BA096EF26200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CBE9484F-885A-08BF-76A8-26AB0F570158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8985ECA-3D0A-6B18-F9EA-EBC553CF7109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CEAA9776-1468-0B32-B174-BBE5D67F9F3B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33E25E66-B875-5F34-4471-4D6B7B07015C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23ECBD3-36B1-9E19-3F70-C6C4ED60CBAB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B4A8B696-BDFE-3E56-0E45-11CAF383F620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B8EAA412-F05B-2A2A-F651-B08D7AE005A0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58E34998-AE92-33EB-7613-043D11AB2C25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FF99C19F-FB6D-168D-7E84-76A21B60E609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573BAC53-6815-2B5A-DACB-165FAF0262C6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CCE35E7C-642C-5E4D-40F8-84B9FFAAC092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194AD965-CB7D-CA0D-2242-B6BF05CD3C6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B193DB40-8117-E7C2-1ADB-86F583DCAED0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35A54BE3-F76E-D7D5-F820-1ED54905E832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A2F0B61B-7E53-E7BD-EFBF-4F51A697906C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EF61A3A2-A78D-8632-2BB7-3BEF8D5B5809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DD9119E-2C51-0221-3AF3-8DC8526627D8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66E586A4-4A5F-410B-D7CA-29E4AF010F44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45B5C0B5-DC16-FB9A-9C0A-E6A6F2C68C56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A9B3453F-F33A-A4CF-7A43-01BC0AFCE389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B7C9A8F-AD9C-4092-B5BF-1BF57E15F0E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E2A9B583-13BD-95E3-6850-6E109EA66E79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5F85042-1520-12AC-B827-617888007B6D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38C237AC-AFCD-28A6-B9BB-BA03C610C565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56CE80DD-46C9-3C85-C715-D022B1B2C651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C99E8CE8-1AC7-8E94-56E9-DD81C6C59581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B744E722-147C-9088-3191-C6333252101C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F9B1B852-4AF5-F181-273F-7D80BA722BD2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5FB7FBF7-B974-DFFE-FBBE-1C54919ED611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0C0A443-9BAE-84EB-789B-B9B537BB70C5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0E962303-A73A-5375-8036-CD5FEFCCAE91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EE0CCB0B-BBDC-F191-9D1A-4D9F9C9E1DB7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45A6106E-6A84-273F-F19B-AF0F51158564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C3610E8D-B566-AA6D-6B86-AFE7049AF438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67BD1724-B7D1-54C3-3DF9-257412698BD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8D8D5EB2-5F2B-3C3C-91C1-4E069D5788B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619B0CAB-1AF4-455B-4D01-A762AEB9B591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4A4C482B-B0EC-31E3-1DCD-F17E6C61FE14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THU</v>
      </c>
      <c r="I1" s="880">
        <f>D4</f>
        <v>37000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37000</v>
      </c>
      <c r="E4" s="847">
        <f>Weather_Input!A6</f>
        <v>37001</v>
      </c>
      <c r="F4" s="847">
        <f>Weather_Input!A7</f>
        <v>37002</v>
      </c>
      <c r="G4" s="847">
        <f>Weather_Input!A8</f>
        <v>37003</v>
      </c>
      <c r="H4" s="847">
        <f>Weather_Input!A9</f>
        <v>37004</v>
      </c>
      <c r="I4" s="848">
        <f>Weather_Input!A10</f>
        <v>37005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65/53/59</v>
      </c>
      <c r="E5" s="881" t="str">
        <f>TEXT(Weather_Input!B6,"0")&amp;"/"&amp;TEXT(Weather_Input!C6,"0") &amp; "/" &amp; TEXT((Weather_Input!B6+Weather_Input!C6)/2,"0")</f>
        <v>78/56/67</v>
      </c>
      <c r="F5" s="881" t="str">
        <f>TEXT(Weather_Input!B7,"0")&amp;"/"&amp;TEXT(Weather_Input!C7,"0") &amp; "/" &amp; TEXT((Weather_Input!B7+Weather_Input!C7)/2,"0")</f>
        <v>80/53/67</v>
      </c>
      <c r="G5" s="881" t="str">
        <f>TEXT(Weather_Input!B8,"0")&amp;"/"&amp;TEXT(Weather_Input!C8,"0") &amp; "/" &amp; TEXT((Weather_Input!B8+Weather_Input!C8)/2,"0")</f>
        <v>68/49/59</v>
      </c>
      <c r="H5" s="881" t="str">
        <f>TEXT(Weather_Input!B9,"0")&amp;"/"&amp;TEXT(Weather_Input!C9,"0") &amp; "/" &amp; TEXT((Weather_Input!B9+Weather_Input!C9)/2,"0")</f>
        <v>72/45/59</v>
      </c>
      <c r="I5" s="882" t="str">
        <f>TEXT(Weather_Input!B10,"0")&amp;"/"&amp;TEXT(Weather_Input!C10,"0") &amp; "/" &amp; TEXT((Weather_Input!B10+Weather_Input!C10)/2,"0")</f>
        <v>72/45/59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58</v>
      </c>
      <c r="E6" s="850">
        <f ca="1">VLOOKUP(E4,NSG_Sendouts,CELL("Col",NSG_Deliveries!C6),FALSE)/1000</f>
        <v>43</v>
      </c>
      <c r="F6" s="850">
        <f ca="1">VLOOKUP(F4,NSG_Sendouts,CELL("Col",NSG_Deliveries!C7),FALSE)/1000</f>
        <v>40</v>
      </c>
      <c r="G6" s="850">
        <f ca="1">VLOOKUP(G4,NSG_Sendouts,CELL("Col",NSG_Deliveries!C8),FALSE)/1000</f>
        <v>56</v>
      </c>
      <c r="H6" s="850">
        <f ca="1">VLOOKUP(H4,NSG_Sendouts,CELL("Col",NSG_Deliveries!C9),FALSE)/1000</f>
        <v>58</v>
      </c>
      <c r="I6" s="855">
        <f ca="1">VLOOKUP(I4,NSG_Sendouts,CELL("Col",NSG_Deliveries!C10),FALSE)/1000</f>
        <v>58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0</v>
      </c>
      <c r="H12" s="850">
        <f>NSG_Requirements!J11/1000</f>
        <v>0</v>
      </c>
      <c r="I12" s="851">
        <f>NSG_Requirements!J12/1000</f>
        <v>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0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78</v>
      </c>
      <c r="E19" s="859">
        <f t="shared" ca="1" si="1"/>
        <v>63</v>
      </c>
      <c r="F19" s="859">
        <f t="shared" ca="1" si="1"/>
        <v>60</v>
      </c>
      <c r="G19" s="859">
        <f t="shared" ca="1" si="1"/>
        <v>56</v>
      </c>
      <c r="H19" s="859">
        <f t="shared" ca="1" si="1"/>
        <v>58</v>
      </c>
      <c r="I19" s="860">
        <f t="shared" ca="1" si="1"/>
        <v>58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3.8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54.203000000000003</v>
      </c>
      <c r="E32" s="850">
        <f>NSG_Supplies!R8/1000</f>
        <v>57.948</v>
      </c>
      <c r="F32" s="850">
        <f>NSG_Supplies!R9/1000</f>
        <v>58.088000000000001</v>
      </c>
      <c r="G32" s="850">
        <f>NSG_Supplies!R10/1000</f>
        <v>58.088000000000001</v>
      </c>
      <c r="H32" s="850">
        <f>NSG_Supplies!R11/1000</f>
        <v>58.088000000000001</v>
      </c>
      <c r="I32" s="851">
        <f>NSG_Supplies!R12/1000</f>
        <v>58.088000000000001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78.003</v>
      </c>
      <c r="E37" s="890">
        <f t="shared" si="2"/>
        <v>77.948000000000008</v>
      </c>
      <c r="F37" s="890">
        <f t="shared" si="2"/>
        <v>78.087999999999994</v>
      </c>
      <c r="G37" s="890">
        <f t="shared" si="2"/>
        <v>78.087999999999994</v>
      </c>
      <c r="H37" s="890">
        <f t="shared" si="2"/>
        <v>78.087999999999994</v>
      </c>
      <c r="I37" s="891">
        <f t="shared" si="2"/>
        <v>78.087999999999994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3.0000000000001137E-3</v>
      </c>
      <c r="E38" s="894">
        <f t="shared" ca="1" si="3"/>
        <v>14.948000000000008</v>
      </c>
      <c r="F38" s="894">
        <f t="shared" ca="1" si="3"/>
        <v>18.087999999999994</v>
      </c>
      <c r="G38" s="894">
        <f t="shared" ca="1" si="3"/>
        <v>22.087999999999994</v>
      </c>
      <c r="H38" s="894">
        <f t="shared" ca="1" si="3"/>
        <v>20.087999999999994</v>
      </c>
      <c r="I38" s="895">
        <f t="shared" ca="1" si="3"/>
        <v>20.087999999999994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0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29.202999999999999</v>
      </c>
      <c r="E40" s="1173">
        <f>NSG_Supplies!S8/1000</f>
        <v>29.202999999999999</v>
      </c>
      <c r="F40" s="1173">
        <f>NSG_Supplies!S9/1000</f>
        <v>29.202999999999999</v>
      </c>
      <c r="G40" s="1173">
        <f>NSG_Supplies!S10/1000</f>
        <v>29.202999999999999</v>
      </c>
      <c r="H40" s="1173">
        <f>NSG_Supplies!S11/1000</f>
        <v>29.202999999999999</v>
      </c>
      <c r="I40" s="1174">
        <f>NSG_Supplies!S12/1000</f>
        <v>29.202999999999999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13</v>
      </c>
      <c r="E42" s="901">
        <f>Weather_Input!D6</f>
        <v>18</v>
      </c>
      <c r="F42" s="901">
        <f>Weather_Input!D7</f>
        <v>18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0" zoomScale="75" workbookViewId="0">
      <selection activeCell="C10" sqref="C10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37000</v>
      </c>
      <c r="G1" s="770" t="str">
        <f>CHOOSE(WEEKDAY(F1),"SUN","MON","TUE","WED","THU","FRI","SAT")</f>
        <v>THU</v>
      </c>
      <c r="H1" s="592" t="s">
        <v>258</v>
      </c>
      <c r="I1" s="593"/>
    </row>
    <row r="2" spans="1:9" ht="15.75">
      <c r="A2" s="258" t="s">
        <v>11</v>
      </c>
      <c r="B2" s="609" t="s">
        <v>696</v>
      </c>
      <c r="C2" s="962">
        <v>57.7</v>
      </c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65</v>
      </c>
      <c r="C4" s="964">
        <f>Weather_Input!C5</f>
        <v>53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635</v>
      </c>
      <c r="B5" s="965"/>
      <c r="C5" s="966">
        <f>PGL_Requirements!H7/1000</f>
        <v>0</v>
      </c>
      <c r="D5" s="620"/>
      <c r="E5" s="302"/>
      <c r="F5" s="620"/>
      <c r="G5" s="607"/>
      <c r="H5" s="302"/>
      <c r="I5" s="296"/>
    </row>
    <row r="6" spans="1:9" ht="15.75">
      <c r="A6" s="262" t="s">
        <v>424</v>
      </c>
      <c r="B6" s="1163" t="s">
        <v>11</v>
      </c>
      <c r="C6" s="967">
        <f>PGL_Deliveries!C5/1000</f>
        <v>365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145.309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31.259999999999998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-184.64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332.34700000000004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10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573</v>
      </c>
      <c r="B18" s="615" t="s">
        <v>11</v>
      </c>
      <c r="C18" s="1136">
        <f>PGL_Requirements!G7/1000</f>
        <v>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705</v>
      </c>
      <c r="B19" s="617" t="s">
        <v>11</v>
      </c>
      <c r="C19" s="511">
        <f>SUM(C9:C17)-C18</f>
        <v>334.27600000000007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30.723999999999933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432</v>
      </c>
      <c r="B24" s="973" t="s">
        <v>11</v>
      </c>
      <c r="C24" s="974">
        <f>SUM(B54+B56+B57)</f>
        <v>2.7749999999999999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433</v>
      </c>
      <c r="B25" s="978" t="s">
        <v>11</v>
      </c>
      <c r="C25" s="979">
        <f>SUM(C22:C24)</f>
        <v>33.498999999999931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144.06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-177.55699999999999</v>
      </c>
      <c r="D29" s="986" t="s">
        <v>11</v>
      </c>
      <c r="E29" s="985">
        <f>-PGL_Supplies!AC7/1000</f>
        <v>-177.55699999999999</v>
      </c>
      <c r="F29" s="307"/>
      <c r="G29" s="985">
        <f>-PGL_Supplies!AC7/1000</f>
        <v>-177.55699999999999</v>
      </c>
      <c r="H29" s="514"/>
      <c r="I29" s="987">
        <f>-PGL_Supplies!AC7/1000</f>
        <v>-177.55699999999999</v>
      </c>
      <c r="L29" s="1102"/>
    </row>
    <row r="30" spans="1:12" ht="16.5" thickBot="1">
      <c r="A30" s="326" t="s">
        <v>11</v>
      </c>
      <c r="B30" s="487" t="s">
        <v>11</v>
      </c>
      <c r="C30" s="1187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0.4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144.90899999999999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5" thickBot="1">
      <c r="A34" s="559" t="s">
        <v>448</v>
      </c>
      <c r="B34" s="1124">
        <f>+B33+B32-B31</f>
        <v>145.309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0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30.1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75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5" thickBot="1">
      <c r="A41" s="559" t="s">
        <v>448</v>
      </c>
      <c r="B41" s="566">
        <f>B40+B37-B36-B38+B39</f>
        <v>31.259999999999998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75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185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0.64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748</v>
      </c>
      <c r="B54" s="324">
        <f>PGL_Requirements!Q7/1000</f>
        <v>2.7749999999999999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8" t="s">
        <v>457</v>
      </c>
      <c r="B55" s="519">
        <f>-B49+B50+B52+B56+B57-B53-B51</f>
        <v>-184.64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0.1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332.24700000000001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332.34700000000004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75.902000000000001</v>
      </c>
    </row>
    <row r="62" spans="1:9" ht="15.75" thickBot="1">
      <c r="A62" s="425" t="s">
        <v>109</v>
      </c>
      <c r="B62" s="1017">
        <f>PGL_Supplies!AD7/1000</f>
        <v>0</v>
      </c>
      <c r="C62" s="527" t="s">
        <v>11</v>
      </c>
      <c r="D62" s="349"/>
      <c r="E62" s="525"/>
      <c r="F62" s="1016" t="s">
        <v>700</v>
      </c>
      <c r="G62" s="594"/>
      <c r="H62" s="1087" t="s">
        <v>11</v>
      </c>
      <c r="I62" s="1085">
        <f>H57-I59-I61</f>
        <v>256.34500000000003</v>
      </c>
    </row>
    <row r="63" spans="1:9" ht="16.5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PGL_Requirements!H7/1000</f>
        <v>0</v>
      </c>
    </row>
    <row r="64" spans="1:9" ht="15.75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6" t="s">
        <v>787</v>
      </c>
      <c r="G64" s="434"/>
      <c r="H64" s="1116"/>
      <c r="I64" s="1011"/>
    </row>
    <row r="65" spans="1:9" ht="15.75">
      <c r="A65" s="370" t="s">
        <v>739</v>
      </c>
      <c r="B65" s="1029"/>
      <c r="C65" s="1035" t="s">
        <v>11</v>
      </c>
      <c r="D65" s="1035" t="s">
        <v>11</v>
      </c>
      <c r="E65" s="1184" t="s">
        <v>11</v>
      </c>
      <c r="F65" s="1185" t="s">
        <v>3</v>
      </c>
      <c r="H65" s="240"/>
      <c r="I65" s="1183"/>
    </row>
    <row r="66" spans="1:9" ht="16.5" thickBot="1">
      <c r="A66" s="1189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5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5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8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THU</v>
      </c>
      <c r="G1" s="1082">
        <f>Weather_Input!A5</f>
        <v>37000</v>
      </c>
      <c r="H1" s="589" t="s">
        <v>258</v>
      </c>
      <c r="I1" s="593"/>
    </row>
    <row r="2" spans="1:9" ht="20.25">
      <c r="A2" s="642" t="s">
        <v>11</v>
      </c>
      <c r="B2" s="793" t="s">
        <v>561</v>
      </c>
      <c r="C2" s="953">
        <v>57.7</v>
      </c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0.25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65</v>
      </c>
      <c r="C4" s="758">
        <f>Weather_Input!C5</f>
        <v>53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58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58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4" thickBot="1">
      <c r="A19" s="703" t="s">
        <v>433</v>
      </c>
      <c r="B19" s="704"/>
      <c r="C19" s="705">
        <f>C7+C12</f>
        <v>58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441</v>
      </c>
      <c r="B24" s="717"/>
      <c r="C24" s="711">
        <f>NSG_Requirements!H7/1000</f>
        <v>0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442</v>
      </c>
      <c r="B25" s="714"/>
      <c r="C25" s="711">
        <f>-NSG_Supplies!F7/1000</f>
        <v>-3.8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-54.203000000000003</v>
      </c>
      <c r="D26" s="718"/>
      <c r="E26" s="711">
        <f>-NSG_Supplies!R7/1000</f>
        <v>-54.203000000000003</v>
      </c>
      <c r="F26" s="718"/>
      <c r="G26" s="711">
        <f>-NSG_Supplies!R7/1000</f>
        <v>-54.203000000000003</v>
      </c>
      <c r="H26" s="717"/>
      <c r="I26" s="776">
        <f>-NSG_Supplies!R7/1000</f>
        <v>-54.203000000000003</v>
      </c>
    </row>
    <row r="27" spans="1:9" ht="20.25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25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25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25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37000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65</v>
      </c>
      <c r="C5" s="266">
        <f>Weather_Input!C5</f>
        <v>53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365</v>
      </c>
      <c r="C8" s="274">
        <f>NSG_Deliveries!C5/1000</f>
        <v>58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31.259999999999991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241.96600000000001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-40.091000000000008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-244.13499999999999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120.86500000000001</v>
      </c>
      <c r="C20" s="295">
        <f>C8+C18+C19</f>
        <v>58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2.7749999999999999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123.64000000000001</v>
      </c>
      <c r="C23" s="301">
        <f>C20</f>
        <v>58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-177.55699999999999</v>
      </c>
      <c r="C32" s="315">
        <f>-NSG_Supplies!R7/1000</f>
        <v>-54.203000000000003</v>
      </c>
      <c r="D32" s="315">
        <f>B32</f>
        <v>-177.55699999999999</v>
      </c>
      <c r="E32" s="315">
        <f>C32</f>
        <v>-54.203000000000003</v>
      </c>
      <c r="F32" s="315">
        <f>B32</f>
        <v>-177.55699999999999</v>
      </c>
      <c r="G32" s="315">
        <f>C32</f>
        <v>-54.203000000000003</v>
      </c>
      <c r="H32" s="320">
        <f>B32</f>
        <v>-177.55699999999999</v>
      </c>
      <c r="I32" s="321">
        <f>C32</f>
        <v>-54.203000000000003</v>
      </c>
    </row>
    <row r="33" spans="1:9" ht="17.100000000000001" customHeight="1">
      <c r="A33" s="319" t="s">
        <v>394</v>
      </c>
      <c r="B33" s="315">
        <f>-PGL_Supplies!X7/1000</f>
        <v>-0.4</v>
      </c>
      <c r="C33" s="315">
        <f>-NSG_Supplies!S7/1000</f>
        <v>-29.202999999999999</v>
      </c>
      <c r="D33" s="315">
        <f>B33</f>
        <v>-0.4</v>
      </c>
      <c r="E33" s="315">
        <f>C33</f>
        <v>-29.202999999999999</v>
      </c>
      <c r="F33" s="315">
        <f>B33</f>
        <v>-0.4</v>
      </c>
      <c r="G33" s="315">
        <f>C33</f>
        <v>-29.202999999999999</v>
      </c>
      <c r="H33" s="320">
        <f>B33</f>
        <v>-0.4</v>
      </c>
      <c r="I33" s="321">
        <f>C33</f>
        <v>-29.202999999999999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144.06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-3.8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185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2.7749999999999999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2.7749999999999999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241.96600000000001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241.96600000000001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71.259999999999991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31.259999999999991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144.90899999999999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185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-40.091000000000008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37000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145.22</v>
      </c>
      <c r="D97" s="602"/>
      <c r="E97" s="614">
        <f>+C97</f>
        <v>145.22</v>
      </c>
      <c r="F97" s="602"/>
      <c r="G97" s="614">
        <f>+C97</f>
        <v>145.22</v>
      </c>
      <c r="H97" s="602"/>
      <c r="I97" s="285">
        <f>+C97</f>
        <v>145.22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241.96600000000001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144.90899999999999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-0.4</v>
      </c>
      <c r="C123" s="315">
        <f>-NSG_Supplies!S7/1000</f>
        <v>-29.202999999999999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144.06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5" thickBot="1">
      <c r="A133" s="559" t="s">
        <v>448</v>
      </c>
      <c r="B133" s="566">
        <f>B126+B127+B130+B131+B132-B125-B128-B129</f>
        <v>145.22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75" thickBot="1">
      <c r="A140" s="425" t="s">
        <v>394</v>
      </c>
      <c r="B140" s="324">
        <f>PGL_Supplies!V7/1000</f>
        <v>241.96600000000001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5" thickBot="1">
      <c r="A141" s="559" t="s">
        <v>448</v>
      </c>
      <c r="B141" s="561">
        <f>-B135+B136+B137-B138+B139+B140</f>
        <v>241.96600000000001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185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2.7749999999999999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457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16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394</v>
      </c>
      <c r="B160" s="611">
        <f>PGL_Supplies!Y7/1000</f>
        <v>144.90899999999999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5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5" thickBot="1">
      <c r="A162" s="399" t="s">
        <v>457</v>
      </c>
      <c r="B162" s="612">
        <f>B154+B156+B158+B159+B160-B153-B155-B157-B161</f>
        <v>144.90899999999999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37001.174848148148</v>
      </c>
      <c r="F22" s="164" t="s">
        <v>272</v>
      </c>
      <c r="G22" s="191">
        <f ca="1">NOW()</f>
        <v>37001.174848148148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37001.174848148148</v>
      </c>
      <c r="F22" s="164" t="s">
        <v>272</v>
      </c>
      <c r="G22" s="191">
        <f ca="1">NOW()</f>
        <v>37001.174848148148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37000</v>
      </c>
      <c r="C5" s="15"/>
      <c r="D5" s="22" t="s">
        <v>290</v>
      </c>
      <c r="E5" s="23">
        <f>Weather_Input!B5</f>
        <v>65</v>
      </c>
      <c r="F5" s="24" t="s">
        <v>291</v>
      </c>
      <c r="G5" s="25">
        <f>Weather_Input!H5</f>
        <v>14</v>
      </c>
      <c r="H5" s="26" t="s">
        <v>292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176</v>
      </c>
      <c r="E6" s="23">
        <f>Weather_Input!C5</f>
        <v>53</v>
      </c>
      <c r="F6" s="24" t="s">
        <v>293</v>
      </c>
      <c r="G6" s="25">
        <f>Weather_Input!F5</f>
        <v>306</v>
      </c>
      <c r="H6" s="26" t="s">
        <v>294</v>
      </c>
      <c r="I6" s="27">
        <f ca="1">G6-(VLOOKUP(B5,DD_Normal_Data,CELL("Col",C7),FALSE))</f>
        <v>-53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59</v>
      </c>
      <c r="F7" s="24" t="s">
        <v>296</v>
      </c>
      <c r="G7" s="25">
        <f>Weather_Input!G5</f>
        <v>6339</v>
      </c>
      <c r="H7" s="26" t="s">
        <v>296</v>
      </c>
      <c r="I7" s="123">
        <f ca="1">G7-(VLOOKUP(B5,DD_Normal_Data,CELL("Col",D4),FALSE))</f>
        <v>332</v>
      </c>
      <c r="J7" s="123"/>
    </row>
    <row r="8" spans="1:109" ht="15">
      <c r="A8" s="18"/>
      <c r="B8" s="20"/>
      <c r="C8" s="15"/>
      <c r="D8" s="32" t="str">
        <f>IF(Weather_Input!I5=""," ",Weather_Input!I5)</f>
        <v>EARLY CLOUDS AND THEN MOSTLY SUNNY BUT BECOMING CLOUDY LATER IN THE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AFTERNOON. HIGH IN THE MIDDLE 60S. CLOUDY WITH SHOWERS AT NIGHT.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37001</v>
      </c>
      <c r="C10" s="15"/>
      <c r="D10" s="153" t="s">
        <v>290</v>
      </c>
      <c r="E10" s="23">
        <f>Weather_Input!B6</f>
        <v>78</v>
      </c>
      <c r="F10" s="24" t="s">
        <v>291</v>
      </c>
      <c r="G10" s="25">
        <f>IF(E12&lt;65,65-(Weather_Input!B6+Weather_Input!C6)/2,0)</f>
        <v>0</v>
      </c>
      <c r="H10" s="26" t="s">
        <v>292</v>
      </c>
      <c r="I10" s="27">
        <f ca="1">G10-(VLOOKUP(B10,DD_Normal_Data,CELL("Col",B11),FALSE))</f>
        <v>-15</v>
      </c>
    </row>
    <row r="11" spans="1:109" ht="15">
      <c r="A11" s="18"/>
      <c r="B11" s="21"/>
      <c r="C11" s="15"/>
      <c r="D11" s="22" t="s">
        <v>176</v>
      </c>
      <c r="E11" s="23">
        <f>Weather_Input!C6</f>
        <v>56</v>
      </c>
      <c r="F11" s="24" t="s">
        <v>293</v>
      </c>
      <c r="G11" s="25">
        <f>IF(DAY(B10)=1,G10,G6+G10)</f>
        <v>306</v>
      </c>
      <c r="H11" s="30" t="s">
        <v>294</v>
      </c>
      <c r="I11" s="27">
        <f ca="1">G11-(VLOOKUP(B10,DD_Normal_Data,CELL("Col",C12),FALSE))</f>
        <v>-68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67</v>
      </c>
      <c r="F12" s="24" t="s">
        <v>296</v>
      </c>
      <c r="G12" s="25">
        <f>IF(AND(DAY(B10)=1,MONTH(B10)=8),G10,G7+G10)</f>
        <v>6339</v>
      </c>
      <c r="H12" s="26" t="s">
        <v>296</v>
      </c>
      <c r="I12" s="27">
        <f ca="1">G12-(VLOOKUP(B10,DD_Normal_Data,CELL("Col",D9),FALSE))</f>
        <v>317</v>
      </c>
    </row>
    <row r="13" spans="1:109" ht="15">
      <c r="A13" s="18"/>
      <c r="B13" s="21"/>
      <c r="C13" s="15"/>
      <c r="D13" s="32" t="str">
        <f>IF(Weather_Input!I6=""," ",Weather_Input!I6)</f>
        <v xml:space="preserve">PARTLY SUNNY AND WARMER WITH A CHANCE OF SHOWERS OR T-STORMS  IN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THE AFTERNOON. HIGH IN THE 70S.  CLOUDY WITH A 40%  CHANCE OF SHOWERS.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37002</v>
      </c>
      <c r="C15" s="15"/>
      <c r="D15" s="22" t="s">
        <v>290</v>
      </c>
      <c r="E15" s="23">
        <f>Weather_Input!B7</f>
        <v>80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-14</v>
      </c>
    </row>
    <row r="16" spans="1:109" ht="15">
      <c r="A16" s="18"/>
      <c r="B16" s="20"/>
      <c r="C16" s="15"/>
      <c r="D16" s="22" t="s">
        <v>176</v>
      </c>
      <c r="E16" s="23">
        <f>Weather_Input!C7</f>
        <v>53</v>
      </c>
      <c r="F16" s="24" t="s">
        <v>293</v>
      </c>
      <c r="G16" s="25">
        <f>IF(DAY(B15)=1,G15,G11+G15)</f>
        <v>306</v>
      </c>
      <c r="H16" s="30" t="s">
        <v>294</v>
      </c>
      <c r="I16" s="27">
        <f ca="1">G16-(VLOOKUP(B15,DD_Normal_Data,CELL("Col",C17),FALSE))</f>
        <v>-82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66.5</v>
      </c>
      <c r="F17" s="24" t="s">
        <v>296</v>
      </c>
      <c r="G17" s="25">
        <f>IF(AND(DAY(B15)=1,MONTH(B15)=8),G15,G12+G15)</f>
        <v>6339</v>
      </c>
      <c r="H17" s="26" t="s">
        <v>296</v>
      </c>
      <c r="I17" s="27">
        <f ca="1">G17-(VLOOKUP(B15,DD_Normal_Data,CELL("Col",D14),FALSE))</f>
        <v>303</v>
      </c>
    </row>
    <row r="18" spans="1:109" ht="15">
      <c r="A18" s="18"/>
      <c r="B18" s="20"/>
      <c r="C18" s="15"/>
      <c r="D18" s="32" t="str">
        <f>IF(Weather_Input!I7=""," ",Weather_Input!I7)</f>
        <v xml:space="preserve">PARTLY CLOUDY WITH A CHANCE OF SHOWERS AND T-STORMS. HIGH IN THE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UPPER 70S.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37003</v>
      </c>
      <c r="C20" s="15"/>
      <c r="D20" s="22" t="s">
        <v>290</v>
      </c>
      <c r="E20" s="23">
        <f>Weather_Input!B8</f>
        <v>68</v>
      </c>
      <c r="F20" s="24" t="s">
        <v>291</v>
      </c>
      <c r="G20" s="25">
        <f>IF(E22&lt;65,65-(Weather_Input!B8+Weather_Input!C8)/2,0)</f>
        <v>6.5</v>
      </c>
      <c r="H20" s="26" t="s">
        <v>292</v>
      </c>
      <c r="I20" s="27">
        <f ca="1">G20-(VLOOKUP(B20,DD_Normal_Data,CELL("Col",B21),FALSE))</f>
        <v>-7.5</v>
      </c>
    </row>
    <row r="21" spans="1:109" ht="15">
      <c r="A21" s="18"/>
      <c r="B21" s="21"/>
      <c r="C21" s="15"/>
      <c r="D21" s="22" t="s">
        <v>176</v>
      </c>
      <c r="E21" s="23">
        <f>Weather_Input!C8</f>
        <v>49</v>
      </c>
      <c r="F21" s="24" t="s">
        <v>293</v>
      </c>
      <c r="G21" s="25">
        <f>IF(DAY(B20)=1,G20,G16+G20)</f>
        <v>312.5</v>
      </c>
      <c r="H21" s="30" t="s">
        <v>294</v>
      </c>
      <c r="I21" s="27">
        <f ca="1">G21-(VLOOKUP(B20,DD_Normal_Data,CELL("Col",C22),FALSE))</f>
        <v>-89.5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58.5</v>
      </c>
      <c r="F22" s="24" t="s">
        <v>296</v>
      </c>
      <c r="G22" s="25">
        <f>IF(AND(DAY(B20)=1,MONTH(B20)=8),G20,G17+G20)</f>
        <v>6345.5</v>
      </c>
      <c r="H22" s="26" t="s">
        <v>296</v>
      </c>
      <c r="I22" s="27">
        <f ca="1">G22-(VLOOKUP(B20,DD_Normal_Data,CELL("Col",D19),FALSE))</f>
        <v>295.5</v>
      </c>
    </row>
    <row r="23" spans="1:109" ht="15">
      <c r="A23" s="18"/>
      <c r="B23" s="21"/>
      <c r="C23" s="15"/>
      <c r="D23" s="32" t="str">
        <f>IF(Weather_Input!I8=""," ",Weather_Input!I8)</f>
        <v xml:space="preserve">MOSTLY CLOUDY WITH A CHANCE OF SHOWERS AND T-STORMS. HIGH 65 TO 70.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>BUT COOLER NEAR THE LAKE.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37004</v>
      </c>
      <c r="C25" s="15"/>
      <c r="D25" s="22" t="s">
        <v>290</v>
      </c>
      <c r="E25" s="23">
        <f>Weather_Input!B9</f>
        <v>72</v>
      </c>
      <c r="F25" s="24" t="s">
        <v>291</v>
      </c>
      <c r="G25" s="25">
        <f>IF(E27&lt;65,65-(Weather_Input!B9+Weather_Input!C9)/2,0)</f>
        <v>6.5</v>
      </c>
      <c r="H25" s="26" t="s">
        <v>292</v>
      </c>
      <c r="I25" s="27">
        <f ca="1">G25-(VLOOKUP(B25,DD_Normal_Data,CELL("Col",B26),FALSE))</f>
        <v>-7.5</v>
      </c>
    </row>
    <row r="26" spans="1:109" ht="15">
      <c r="A26" s="18"/>
      <c r="B26" s="21"/>
      <c r="C26" s="15"/>
      <c r="D26" s="22" t="s">
        <v>176</v>
      </c>
      <c r="E26" s="23">
        <f>Weather_Input!C9</f>
        <v>45</v>
      </c>
      <c r="F26" s="24" t="s">
        <v>293</v>
      </c>
      <c r="G26" s="25">
        <f>IF(DAY(B25)=1,G25,G21+G25)</f>
        <v>319</v>
      </c>
      <c r="H26" s="30" t="s">
        <v>294</v>
      </c>
      <c r="I26" s="27">
        <f ca="1">G26-(VLOOKUP(B25,DD_Normal_Data,CELL("Col",C27),FALSE))</f>
        <v>-97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58.5</v>
      </c>
      <c r="F27" s="24" t="s">
        <v>296</v>
      </c>
      <c r="G27" s="25">
        <f>IF(AND(DAY(B25)=1,MONTH(B25)=8),G25,G22+G25)</f>
        <v>6352</v>
      </c>
      <c r="H27" s="26" t="s">
        <v>296</v>
      </c>
      <c r="I27" s="27">
        <f ca="1">G27-(VLOOKUP(B25,DD_Normal_Data,CELL("Col",D24),FALSE))</f>
        <v>288</v>
      </c>
    </row>
    <row r="28" spans="1:109" ht="15">
      <c r="A28" s="18"/>
      <c r="B28" s="20"/>
      <c r="C28" s="15"/>
      <c r="D28" s="32" t="str">
        <f>IF(Weather_Input!I9=""," ",Weather_Input!I9)</f>
        <v xml:space="preserve">MOSTLY CLOUDY WITH A CHANCE OF SHOWERS AND T-STORMS. HIGH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MIDDLE 60S.LOWS IN THE 50S.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37005</v>
      </c>
      <c r="C30" s="15"/>
      <c r="D30" s="22" t="s">
        <v>290</v>
      </c>
      <c r="E30" s="23">
        <f>Weather_Input!B10</f>
        <v>72</v>
      </c>
      <c r="F30" s="24" t="s">
        <v>291</v>
      </c>
      <c r="G30" s="25">
        <f>IF(E32&lt;65,65-(Weather_Input!B10+Weather_Input!C10)/2,0)</f>
        <v>6.5</v>
      </c>
      <c r="H30" s="26" t="s">
        <v>292</v>
      </c>
      <c r="I30" s="27">
        <f ca="1">G30-(VLOOKUP(B30,DD_Normal_Data,CELL("Col",B31),FALSE))</f>
        <v>-6.5</v>
      </c>
    </row>
    <row r="31" spans="1:109" ht="15">
      <c r="A31" s="15"/>
      <c r="B31" s="15"/>
      <c r="C31" s="15"/>
      <c r="D31" s="22" t="s">
        <v>176</v>
      </c>
      <c r="E31" s="23">
        <f>Weather_Input!C10</f>
        <v>45</v>
      </c>
      <c r="F31" s="24" t="s">
        <v>293</v>
      </c>
      <c r="G31" s="25">
        <f>IF(DAY(B30)=1,G30,G26+G30)</f>
        <v>325.5</v>
      </c>
      <c r="H31" s="30" t="s">
        <v>294</v>
      </c>
      <c r="I31" s="27">
        <f ca="1">G31-(VLOOKUP(B30,DD_Normal_Data,CELL("Col",C32),FALSE))</f>
        <v>-103.5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58.5</v>
      </c>
      <c r="F32" s="24" t="s">
        <v>296</v>
      </c>
      <c r="G32" s="25">
        <f>IF(AND(DAY(B30)=1,MONTH(B30)=8),G30,G27+G30)</f>
        <v>6358.5</v>
      </c>
      <c r="H32" s="26" t="s">
        <v>296</v>
      </c>
      <c r="I32" s="27">
        <f ca="1">G32-(VLOOKUP(B30,DD_Normal_Data,CELL("Col",D29),FALSE))</f>
        <v>281.5</v>
      </c>
    </row>
    <row r="33" spans="1:9" ht="15">
      <c r="A33" s="15"/>
      <c r="B33" s="34"/>
      <c r="C33" s="15"/>
      <c r="D33" s="32" t="str">
        <f>IF(Weather_Input!I10=""," ",Weather_Input!I10)</f>
        <v xml:space="preserve">MOSTLY CLOUDY WITH A CHANCE OF SHOWERS AND T-STORMS. HIGH IN THE 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>MIDDLE 60S.LOWS IN THE 50S.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37000</v>
      </c>
      <c r="C36" s="91">
        <f>B10</f>
        <v>37001</v>
      </c>
      <c r="D36" s="91">
        <f>B15</f>
        <v>37002</v>
      </c>
      <c r="E36" s="91">
        <f xml:space="preserve">       B20</f>
        <v>37003</v>
      </c>
      <c r="F36" s="91">
        <f>B25</f>
        <v>37004</v>
      </c>
      <c r="G36" s="91">
        <f>B30</f>
        <v>37005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365</v>
      </c>
      <c r="C37" s="41">
        <f ca="1">(VLOOKUP(C36,PGL_Sendouts,(CELL("COL",PGL_Deliveries!C7))))/1000</f>
        <v>285</v>
      </c>
      <c r="D37" s="41">
        <f ca="1">(VLOOKUP(D36,PGL_Sendouts,(CELL("COL",PGL_Deliveries!C8))))/1000</f>
        <v>265</v>
      </c>
      <c r="E37" s="41">
        <f ca="1">(VLOOKUP(E36,PGL_Sendouts,(CELL("COL",PGL_Deliveries!C9))))/1000</f>
        <v>355</v>
      </c>
      <c r="F37" s="41">
        <f ca="1">(VLOOKUP(F36,PGL_Sendouts,(CELL("COL",PGL_Deliveries!C10))))/1000</f>
        <v>370</v>
      </c>
      <c r="G37" s="41">
        <f ca="1">(VLOOKUP(G36,PGL_Sendouts,(CELL("COL",PGL_Deliveries!C10))))/1000</f>
        <v>370</v>
      </c>
      <c r="H37" s="14"/>
      <c r="I37" s="15"/>
    </row>
    <row r="38" spans="1:9" ht="15">
      <c r="A38" s="15" t="s">
        <v>301</v>
      </c>
      <c r="B38" s="41">
        <f>PGL_6_Day_Report!D30</f>
        <v>737.47499999999991</v>
      </c>
      <c r="C38" s="41">
        <f>PGL_6_Day_Report!E30</f>
        <v>599.27350000000001</v>
      </c>
      <c r="D38" s="41">
        <f>PGL_6_Day_Report!F30</f>
        <v>560.54999999999995</v>
      </c>
      <c r="E38" s="41">
        <f>PGL_6_Day_Report!G30</f>
        <v>584.57499999999993</v>
      </c>
      <c r="F38" s="41">
        <f>PGL_6_Day_Report!H30</f>
        <v>599.57499999999993</v>
      </c>
      <c r="G38" s="41">
        <f>PGL_6_Day_Report!I30</f>
        <v>599.57499999999993</v>
      </c>
      <c r="H38" s="14"/>
      <c r="I38" s="15"/>
    </row>
    <row r="39" spans="1:9" ht="15">
      <c r="A39" s="42" t="s">
        <v>109</v>
      </c>
      <c r="B39" s="41">
        <f>SUM(PGL_Supplies!Z7:AE7)/1000</f>
        <v>550.96400000000006</v>
      </c>
      <c r="C39" s="41">
        <f>SUM(PGL_Supplies!Z8:AE8)/1000</f>
        <v>541.52700000000004</v>
      </c>
      <c r="D39" s="41">
        <f>SUM(PGL_Supplies!Z9:AE9)/1000</f>
        <v>536.52700000000004</v>
      </c>
      <c r="E39" s="41">
        <f>SUM(PGL_Supplies!Z10:AE10)/1000</f>
        <v>536.52700000000004</v>
      </c>
      <c r="F39" s="41">
        <f>SUM(PGL_Supplies!Z11:AE11)/1000</f>
        <v>536.52700000000004</v>
      </c>
      <c r="G39" s="41">
        <f>SUM(PGL_Supplies!Z12:AE12)/1000</f>
        <v>536.52700000000004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40.64</v>
      </c>
      <c r="C41" s="41">
        <f>SUM(PGL_Requirements!R7:U7)/1000</f>
        <v>40.64</v>
      </c>
      <c r="D41" s="41">
        <f>SUM(PGL_Requirements!R7:U7)/1000</f>
        <v>40.64</v>
      </c>
      <c r="E41" s="41">
        <f>SUM(PGL_Requirements!R7:U7)/1000</f>
        <v>40.64</v>
      </c>
      <c r="F41" s="41">
        <f>SUM(PGL_Requirements!R7:U7)/1000</f>
        <v>40.64</v>
      </c>
      <c r="G41" s="41">
        <f>SUM(PGL_Requirements!R7:U7)/1000</f>
        <v>40.64</v>
      </c>
      <c r="H41" s="14"/>
      <c r="I41" s="15"/>
    </row>
    <row r="42" spans="1:9" ht="15">
      <c r="A42" s="15" t="s">
        <v>132</v>
      </c>
      <c r="B42" s="41">
        <f>PGL_Supplies!V7/1000</f>
        <v>241.96600000000001</v>
      </c>
      <c r="C42" s="41">
        <f>PGL_Supplies!V8/1000</f>
        <v>241.96600000000001</v>
      </c>
      <c r="D42" s="41">
        <f>PGL_Supplies!V9/1000</f>
        <v>241.96600000000001</v>
      </c>
      <c r="E42" s="41">
        <f>PGL_Supplies!V10/1000</f>
        <v>241.96600000000001</v>
      </c>
      <c r="F42" s="41">
        <f>PGL_Supplies!V11/1000</f>
        <v>241.96600000000001</v>
      </c>
      <c r="G42" s="41">
        <f>PGL_Supplies!V12/1000</f>
        <v>241.96600000000001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37000</v>
      </c>
      <c r="C44" s="91">
        <f t="shared" si="0"/>
        <v>37001</v>
      </c>
      <c r="D44" s="91">
        <f t="shared" si="0"/>
        <v>37002</v>
      </c>
      <c r="E44" s="91">
        <f t="shared" si="0"/>
        <v>37003</v>
      </c>
      <c r="F44" s="91">
        <f t="shared" si="0"/>
        <v>37004</v>
      </c>
      <c r="G44" s="91">
        <f t="shared" si="0"/>
        <v>37005</v>
      </c>
      <c r="H44" s="14"/>
      <c r="I44" s="15"/>
    </row>
    <row r="45" spans="1:9" ht="15">
      <c r="A45" s="15" t="s">
        <v>56</v>
      </c>
      <c r="B45" s="41">
        <f ca="1">NSG_6_Day_Report!D6</f>
        <v>58</v>
      </c>
      <c r="C45" s="41">
        <f ca="1">NSG_6_Day_Report!E6</f>
        <v>43</v>
      </c>
      <c r="D45" s="41">
        <f ca="1">NSG_6_Day_Report!F6</f>
        <v>40</v>
      </c>
      <c r="E45" s="41">
        <f ca="1">NSG_6_Day_Report!G6</f>
        <v>56</v>
      </c>
      <c r="F45" s="41">
        <f ca="1">NSG_6_Day_Report!H6</f>
        <v>58</v>
      </c>
      <c r="G45" s="41">
        <f ca="1">NSG_6_Day_Report!I6</f>
        <v>58</v>
      </c>
      <c r="H45" s="14"/>
      <c r="I45" s="15"/>
    </row>
    <row r="46" spans="1:9" ht="15">
      <c r="A46" s="42" t="s">
        <v>301</v>
      </c>
      <c r="B46" s="41">
        <f ca="1">NSG_6_Day_Report!D19</f>
        <v>78</v>
      </c>
      <c r="C46" s="41">
        <f ca="1">NSG_6_Day_Report!E19</f>
        <v>63</v>
      </c>
      <c r="D46" s="41">
        <f ca="1">NSG_6_Day_Report!F19</f>
        <v>60</v>
      </c>
      <c r="E46" s="41">
        <f ca="1">NSG_6_Day_Report!G19</f>
        <v>56</v>
      </c>
      <c r="F46" s="41">
        <f ca="1">NSG_6_Day_Report!H19</f>
        <v>58</v>
      </c>
      <c r="G46" s="41">
        <f ca="1">NSG_6_Day_Report!I19</f>
        <v>58</v>
      </c>
      <c r="H46" s="14"/>
      <c r="I46" s="15"/>
    </row>
    <row r="47" spans="1:9" ht="15">
      <c r="A47" s="42" t="s">
        <v>109</v>
      </c>
      <c r="B47" s="41">
        <f>SUM(NSG_Supplies!P7:R7)/1000</f>
        <v>74.203000000000003</v>
      </c>
      <c r="C47" s="41">
        <f>SUM(NSG_Supplies!P8:R8)/1000</f>
        <v>77.947999999999993</v>
      </c>
      <c r="D47" s="41">
        <f>SUM(NSG_Supplies!P9:R9)/1000</f>
        <v>78.087999999999994</v>
      </c>
      <c r="E47" s="41">
        <f>SUM(NSG_Supplies!P10:R10)/1000</f>
        <v>78.087999999999994</v>
      </c>
      <c r="F47" s="41">
        <f>SUM(NSG_Supplies!P11:R11)/1000</f>
        <v>78.087999999999994</v>
      </c>
      <c r="G47" s="41">
        <f>SUM(NSG_Supplies!P12:R12)/1000</f>
        <v>78.087999999999994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29.202999999999999</v>
      </c>
      <c r="C50" s="41">
        <f>NSG_Supplies!S8/1000</f>
        <v>29.202999999999999</v>
      </c>
      <c r="D50" s="41">
        <f>NSG_Supplies!S9/1000</f>
        <v>29.202999999999999</v>
      </c>
      <c r="E50" s="41">
        <f>NSG_Supplies!S10/1000</f>
        <v>29.202999999999999</v>
      </c>
      <c r="F50" s="41">
        <f>NSG_Supplies!S11/1000</f>
        <v>29.202999999999999</v>
      </c>
      <c r="G50" s="41">
        <f>NSG_Supplies!S12/1000</f>
        <v>29.202999999999999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37000</v>
      </c>
      <c r="C52" s="91">
        <f t="shared" si="1"/>
        <v>37001</v>
      </c>
      <c r="D52" s="91">
        <f t="shared" si="1"/>
        <v>37002</v>
      </c>
      <c r="E52" s="91">
        <f t="shared" si="1"/>
        <v>37003</v>
      </c>
      <c r="F52" s="91">
        <f t="shared" si="1"/>
        <v>37004</v>
      </c>
      <c r="G52" s="91">
        <f t="shared" si="1"/>
        <v>37005</v>
      </c>
      <c r="H52" s="14"/>
      <c r="I52" s="15"/>
    </row>
    <row r="53" spans="1:9" ht="15">
      <c r="A53" s="94" t="s">
        <v>305</v>
      </c>
      <c r="B53" s="41">
        <f>PGL_Requirements!P7/1000</f>
        <v>185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185</v>
      </c>
      <c r="F53" s="41">
        <f>PGL_Requirements!P11/1000</f>
        <v>185</v>
      </c>
      <c r="G53" s="41">
        <f>PGL_Requirements!P12/1000</f>
        <v>185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311</v>
      </c>
    </row>
    <row r="4" spans="1:8">
      <c r="A4" s="99"/>
      <c r="B4" s="1141" t="str">
        <f>Six_Day_Summary!A10</f>
        <v>Friday</v>
      </c>
      <c r="C4" s="1142" t="str">
        <f>Six_Day_Summary!A15</f>
        <v>Saturday</v>
      </c>
      <c r="D4" s="1142" t="str">
        <f>Six_Day_Summary!A20</f>
        <v>Sunday</v>
      </c>
      <c r="E4" s="1142" t="str">
        <f>Six_Day_Summary!A25</f>
        <v>Monday</v>
      </c>
      <c r="F4" s="1143" t="str">
        <f>Six_Day_Summary!A30</f>
        <v>Tuesday</v>
      </c>
      <c r="G4" s="100"/>
    </row>
    <row r="5" spans="1:8">
      <c r="A5" s="103" t="s">
        <v>312</v>
      </c>
      <c r="B5" s="1144">
        <f>Weather_Input!A6</f>
        <v>37001</v>
      </c>
      <c r="C5" s="1145">
        <f>Weather_Input!A7</f>
        <v>37002</v>
      </c>
      <c r="D5" s="1145">
        <f>Weather_Input!A8</f>
        <v>37003</v>
      </c>
      <c r="E5" s="1145">
        <f>Weather_Input!A9</f>
        <v>37004</v>
      </c>
      <c r="F5" s="1146">
        <f>Weather_Input!A10</f>
        <v>37005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196.46299999999999</v>
      </c>
      <c r="C6" s="1147">
        <f>PGL_Supplies!AC9/1000+PGL_Supplies!L9/1000-PGL_Requirements!O9/1000+C15-PGL_Requirements!T9/1000</f>
        <v>191.46299999999999</v>
      </c>
      <c r="D6" s="1147">
        <f>PGL_Supplies!AC10/1000+PGL_Supplies!L10/1000-PGL_Requirements!O10/1000+D15-PGL_Requirements!T10/1000</f>
        <v>191.46299999999999</v>
      </c>
      <c r="E6" s="1147">
        <f>PGL_Supplies!AC11/1000+PGL_Supplies!L11/1000-PGL_Requirements!O11/1000+E15-PGL_Requirements!T11/1000</f>
        <v>191.46299999999999</v>
      </c>
      <c r="F6" s="1148">
        <f>PGL_Supplies!AC12/1000+PGL_Supplies!L12/1000-PGL_Requirements!O12/1000+F15-PGL_Requirements!T12/1000</f>
        <v>191.46299999999999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90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Friday</v>
      </c>
      <c r="C21" s="1157" t="str">
        <f t="shared" si="0"/>
        <v>Saturday</v>
      </c>
      <c r="D21" s="1157" t="str">
        <f t="shared" si="0"/>
        <v>Sunday</v>
      </c>
      <c r="E21" s="1157" t="str">
        <f t="shared" si="0"/>
        <v>Monday</v>
      </c>
      <c r="F21" s="1158" t="str">
        <f t="shared" si="0"/>
        <v>Tuesday</v>
      </c>
      <c r="G21" s="100"/>
    </row>
    <row r="22" spans="1:7">
      <c r="A22" s="107" t="s">
        <v>312</v>
      </c>
      <c r="B22" s="1159">
        <f t="shared" si="0"/>
        <v>37001</v>
      </c>
      <c r="C22" s="1159">
        <f t="shared" si="0"/>
        <v>37002</v>
      </c>
      <c r="D22" s="1159">
        <f t="shared" si="0"/>
        <v>37003</v>
      </c>
      <c r="E22" s="1159">
        <f t="shared" si="0"/>
        <v>37004</v>
      </c>
      <c r="F22" s="1160">
        <f t="shared" si="0"/>
        <v>37005</v>
      </c>
      <c r="G22" s="100"/>
    </row>
    <row r="23" spans="1:7">
      <c r="A23" s="100" t="s">
        <v>313</v>
      </c>
      <c r="B23" s="1153">
        <f>NSG_Supplies!R8/1000+NSG_Supplies!F8/1000-NSG_Requirements!H8/1000</f>
        <v>57.948</v>
      </c>
      <c r="C23" s="1153">
        <f>NSG_Supplies!R9/1000+NSG_Supplies!F9/1000-NSG_Requirements!H9/1000</f>
        <v>58.088000000000001</v>
      </c>
      <c r="D23" s="1153">
        <f>NSG_Supplies!R10/1000+NSG_Supplies!F10/1000-NSG_Requirements!H10/1000</f>
        <v>58.088000000000001</v>
      </c>
      <c r="E23" s="1153">
        <f>NSG_Supplies!R12/1000+NSG_Supplies!F11/1000-NSG_Requirements!H11/1000</f>
        <v>58.088000000000001</v>
      </c>
      <c r="F23" s="1148">
        <f>NSG_Supplies!R12/1000+NSG_Supplies!F12/1000-NSG_Requirements!H12/1000</f>
        <v>58.088000000000001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0" t="s">
        <v>382</v>
      </c>
      <c r="C1" s="909">
        <f>Weather_Input!A6</f>
        <v>37001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10.416666666666666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303.904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131.97300000000001</v>
      </c>
      <c r="D11" s="789"/>
      <c r="E11" s="1130"/>
      <c r="F11" s="435" t="s">
        <v>379</v>
      </c>
      <c r="G11" s="447">
        <f>G8+G10</f>
        <v>303.904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131.97300000000001</v>
      </c>
      <c r="D14" s="438"/>
      <c r="E14" s="440">
        <f>AVERAGE(C14/24)</f>
        <v>5.4988750000000008</v>
      </c>
      <c r="F14" s="782" t="s">
        <v>555</v>
      </c>
      <c r="G14" s="448">
        <v>82.247</v>
      </c>
      <c r="H14" s="438"/>
      <c r="I14" s="440">
        <f>AVERAGE(G14/24)</f>
        <v>3.4269583333333333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SUM(G11)-G14</f>
        <v>221.65699999999998</v>
      </c>
      <c r="H15" s="438" t="s">
        <v>11</v>
      </c>
      <c r="I15" s="440">
        <f>AVERAGE(G15/24)</f>
        <v>9.2357083333333332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41.16</v>
      </c>
      <c r="E16" s="161"/>
      <c r="F16" s="782" t="s">
        <v>575</v>
      </c>
      <c r="G16" s="448">
        <f>PGL_Requirements!H8/1000</f>
        <v>37.447000000000003</v>
      </c>
      <c r="H16" s="448" t="s">
        <v>11</v>
      </c>
      <c r="I16" s="440">
        <f>AVERAGE(G16/24)</f>
        <v>1.5602916666666669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37001</v>
      </c>
      <c r="I1" s="932"/>
      <c r="J1" s="934"/>
      <c r="K1" s="934"/>
    </row>
    <row r="2" spans="1:22" ht="16.5" customHeight="1">
      <c r="A2" s="952" t="s">
        <v>687</v>
      </c>
      <c r="C2" s="1046">
        <v>288</v>
      </c>
      <c r="F2" s="1047">
        <v>289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82.247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43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5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14.948</v>
      </c>
      <c r="N11" s="935"/>
      <c r="O11" s="960"/>
      <c r="U11" s="934"/>
      <c r="V11" s="948"/>
    </row>
    <row r="12" spans="1:22" ht="14.45" customHeight="1">
      <c r="A12" s="932" t="s">
        <v>753</v>
      </c>
      <c r="H12" s="954"/>
      <c r="U12" s="934"/>
      <c r="V12" s="954"/>
    </row>
    <row r="13" spans="1:22" ht="14.45" customHeight="1">
      <c r="A13" s="1049">
        <f>PGL_Supplies!Y8/1000</f>
        <v>131.97300000000001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293</v>
      </c>
      <c r="F15" s="1052">
        <v>293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354</v>
      </c>
      <c r="D18" s="1054"/>
      <c r="E18" s="1054"/>
      <c r="F18" s="1047">
        <v>812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57.948</v>
      </c>
      <c r="N19" s="1057"/>
    </row>
    <row r="20" spans="1:17" ht="17.25" customHeight="1">
      <c r="A20" s="954">
        <f>Billy_Sheet!G15</f>
        <v>221.65699999999998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</v>
      </c>
      <c r="H26" s="935"/>
      <c r="I26" s="935"/>
      <c r="J26" s="935" t="s">
        <v>580</v>
      </c>
      <c r="K26" s="1059">
        <f>PGL_Deliveries!C6/1000</f>
        <v>285</v>
      </c>
      <c r="L26" s="932" t="s">
        <v>691</v>
      </c>
      <c r="M26" s="954">
        <f>NSG_Deliveries!C6/1000</f>
        <v>43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159.43</v>
      </c>
      <c r="L28" s="935" t="s">
        <v>745</v>
      </c>
      <c r="M28" s="960">
        <f>SUM(J2+K17+K19+H11+H9-M26)</f>
        <v>34.948000000000008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37000</v>
      </c>
      <c r="G29" s="954">
        <f>PGL_Requirements!H7/1000</f>
        <v>0</v>
      </c>
      <c r="H29" s="933"/>
      <c r="J29" s="935" t="s">
        <v>695</v>
      </c>
      <c r="K29" s="954">
        <f>PGL_Supplies!AC8/1000+PGL_Supplies!L8/1000-PGL_Requirements!O8/1000</f>
        <v>196.46299999999999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37001</v>
      </c>
      <c r="G30" s="954">
        <f>PGL_Requirements!H8/1000</f>
        <v>37.447000000000003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70.893000000000029</v>
      </c>
    </row>
    <row r="32" spans="1:17">
      <c r="A32" s="954">
        <f>PGL_Supplies!H8/1000</f>
        <v>1</v>
      </c>
      <c r="G32" s="954">
        <f>PGL_Requirements!P8/1000</f>
        <v>250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357</v>
      </c>
      <c r="F38" s="1052">
        <v>752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446.87700000000001</v>
      </c>
      <c r="B40" s="948"/>
      <c r="C40" s="947"/>
      <c r="D40" s="948"/>
      <c r="E40" s="948"/>
      <c r="F40" s="1062"/>
      <c r="G40" s="1062">
        <f>SUM(G30:G35)</f>
        <v>287.447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159.43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291</v>
      </c>
      <c r="E45" s="1067"/>
      <c r="F45" s="1068">
        <v>6.7000000000000004E-2</v>
      </c>
      <c r="G45" s="1069">
        <f>(C45-D45)*F45</f>
        <v>7.9730000000000008</v>
      </c>
      <c r="H45" s="1069">
        <f>(D45-B45)*F45</f>
        <v>2.7470000000000003</v>
      </c>
      <c r="I45" s="954"/>
      <c r="J45" s="1070"/>
    </row>
    <row r="46" spans="1:11">
      <c r="A46" s="934" t="s">
        <v>672</v>
      </c>
      <c r="B46" s="1071">
        <v>781</v>
      </c>
      <c r="C46" s="1065">
        <v>781</v>
      </c>
      <c r="D46" s="1066">
        <f>SUM(F18+F38)/2</f>
        <v>782</v>
      </c>
      <c r="E46" s="1067"/>
      <c r="F46" s="1068">
        <v>0.13900000000000001</v>
      </c>
      <c r="G46" s="1069">
        <f>(C46-D46)*F46</f>
        <v>-0.13900000000000001</v>
      </c>
      <c r="H46" s="1069">
        <f>(D46-B46)*F46</f>
        <v>0.13900000000000001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290.5</v>
      </c>
      <c r="E47" s="1067"/>
      <c r="F47" s="1068">
        <v>0.14099999999999999</v>
      </c>
      <c r="G47" s="1069">
        <f>(C47-D47)*F47</f>
        <v>16.849499999999999</v>
      </c>
      <c r="H47" s="1069">
        <f>(D47-B47)*F47</f>
        <v>5.7104999999999997</v>
      </c>
      <c r="I47" s="954"/>
    </row>
    <row r="48" spans="1:11">
      <c r="A48" s="934" t="s">
        <v>674</v>
      </c>
      <c r="B48" s="1071">
        <v>290</v>
      </c>
      <c r="C48" s="1065">
        <v>750</v>
      </c>
      <c r="D48" s="1066">
        <f>SUM(C18+C38)/2</f>
        <v>355.5</v>
      </c>
      <c r="E48" s="1067"/>
      <c r="F48" s="1068">
        <v>0.161</v>
      </c>
      <c r="G48" s="1069">
        <f>(C48-D48)*F48</f>
        <v>63.514499999999998</v>
      </c>
      <c r="H48" s="1069">
        <f>(D48-B48)*F48</f>
        <v>10.545500000000001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88.197999999999993</v>
      </c>
      <c r="H49" s="1069">
        <f>SUM(H45:H48)</f>
        <v>19.141999999999999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37000</v>
      </c>
      <c r="B5" s="11">
        <v>65</v>
      </c>
      <c r="C5" s="49">
        <v>53</v>
      </c>
      <c r="D5" s="49">
        <v>13</v>
      </c>
      <c r="E5" s="11" t="s">
        <v>793</v>
      </c>
      <c r="F5" s="11">
        <v>306</v>
      </c>
      <c r="G5" s="11">
        <v>6339</v>
      </c>
      <c r="H5" s="11">
        <v>14</v>
      </c>
      <c r="I5" s="911" t="s">
        <v>794</v>
      </c>
      <c r="J5" s="911" t="s">
        <v>795</v>
      </c>
      <c r="K5" s="11">
        <v>1</v>
      </c>
      <c r="L5" s="11">
        <v>1</v>
      </c>
      <c r="N5" s="15" t="str">
        <f>I5&amp;" "&amp;I5</f>
        <v>EARLY CLOUDS AND THEN MOSTLY SUNNY BUT BECOMING CLOUDY LATER IN THE EARLY CLOUDS AND THEN MOSTLY SUNNY BUT BECOMING CLOUDY LATER IN THE</v>
      </c>
      <c r="AE5" s="15">
        <v>1</v>
      </c>
      <c r="AH5" s="15" t="s">
        <v>34</v>
      </c>
    </row>
    <row r="6" spans="1:34" ht="16.5" customHeight="1">
      <c r="A6" s="88">
        <f>A5+1</f>
        <v>37001</v>
      </c>
      <c r="B6" s="11">
        <v>78</v>
      </c>
      <c r="C6" s="49">
        <v>56</v>
      </c>
      <c r="D6" s="49">
        <v>18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797</v>
      </c>
      <c r="K6" s="11">
        <v>3</v>
      </c>
      <c r="L6" s="11" t="s">
        <v>633</v>
      </c>
      <c r="N6" s="15" t="str">
        <f>I6&amp;" "&amp;J6</f>
        <v>PARTLY SUNNY AND WARMER WITH A CHANCE OF SHOWERS OR T-STORMS  IN  THE AFTERNOON. HIGH IN THE 70S.  CLOUDY WITH A 40%  CHANCE OF SHOWERS.</v>
      </c>
      <c r="AE6" s="15">
        <v>1</v>
      </c>
      <c r="AH6" s="15" t="s">
        <v>35</v>
      </c>
    </row>
    <row r="7" spans="1:34" ht="16.5" customHeight="1">
      <c r="A7" s="88">
        <f>A6+1</f>
        <v>37002</v>
      </c>
      <c r="B7" s="11">
        <v>80</v>
      </c>
      <c r="C7" s="49">
        <v>53</v>
      </c>
      <c r="D7" s="49">
        <v>18</v>
      </c>
      <c r="E7" s="11" t="s">
        <v>11</v>
      </c>
      <c r="F7" s="11" t="s">
        <v>11</v>
      </c>
      <c r="G7" s="11"/>
      <c r="H7" s="11" t="s">
        <v>11</v>
      </c>
      <c r="I7" s="911" t="s">
        <v>798</v>
      </c>
      <c r="J7" s="911" t="s">
        <v>799</v>
      </c>
      <c r="K7" s="11">
        <v>6</v>
      </c>
      <c r="L7" s="11" t="s">
        <v>22</v>
      </c>
      <c r="N7" s="15" t="str">
        <f>I7&amp;" "&amp;J7</f>
        <v>PARTLY CLOUDY WITH A CHANCE OF SHOWERS AND T-STORMS. HIGH IN THE  UPPER 70S.</v>
      </c>
    </row>
    <row r="8" spans="1:34" ht="16.5" customHeight="1">
      <c r="A8" s="88">
        <f>A7+1</f>
        <v>37003</v>
      </c>
      <c r="B8" s="11">
        <v>68</v>
      </c>
      <c r="C8" s="49">
        <v>49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11" t="s">
        <v>800</v>
      </c>
      <c r="J8" s="911" t="s">
        <v>801</v>
      </c>
      <c r="K8" s="11">
        <v>6</v>
      </c>
      <c r="L8" s="11"/>
      <c r="N8" s="15" t="str">
        <f>I8&amp;" "&amp;J8</f>
        <v>MOSTLY CLOUDY WITH A CHANCE OF SHOWERS AND T-STORMS. HIGH 65 TO 70.  BUT COOLER NEAR THE LAKE.</v>
      </c>
    </row>
    <row r="9" spans="1:34" ht="16.5" customHeight="1">
      <c r="A9" s="88">
        <f>A8+1</f>
        <v>37004</v>
      </c>
      <c r="B9" s="11">
        <v>72</v>
      </c>
      <c r="C9" s="49">
        <v>45</v>
      </c>
      <c r="D9" s="49">
        <v>20</v>
      </c>
      <c r="E9" s="11" t="s">
        <v>11</v>
      </c>
      <c r="F9" s="11" t="s">
        <v>11</v>
      </c>
      <c r="G9" s="11"/>
      <c r="H9" s="11" t="s">
        <v>11</v>
      </c>
      <c r="I9" s="911" t="s">
        <v>802</v>
      </c>
      <c r="J9" s="911" t="s">
        <v>803</v>
      </c>
      <c r="K9" s="11">
        <v>6</v>
      </c>
      <c r="L9" s="11">
        <v>0</v>
      </c>
      <c r="M9" s="89"/>
      <c r="N9" s="15" t="str">
        <f>I10&amp;" "&amp;J9</f>
        <v>MOSTLY CLOUDY WITH A CHANCE OF SHOWERS AND T-STORMS. HIGH IN THE  MIDDLE 60S.LOWS IN THE 50S.</v>
      </c>
    </row>
    <row r="10" spans="1:34" ht="16.5" customHeight="1">
      <c r="A10" s="88">
        <f>A9+1</f>
        <v>37005</v>
      </c>
      <c r="B10" s="11">
        <v>72</v>
      </c>
      <c r="C10" s="49">
        <v>45</v>
      </c>
      <c r="D10" s="49">
        <v>20</v>
      </c>
      <c r="E10" s="11" t="s">
        <v>11</v>
      </c>
      <c r="F10" s="11" t="s">
        <v>11</v>
      </c>
      <c r="G10" s="11"/>
      <c r="H10" s="11" t="s">
        <v>11</v>
      </c>
      <c r="I10" s="911" t="s">
        <v>802</v>
      </c>
      <c r="J10" s="911" t="s">
        <v>803</v>
      </c>
      <c r="K10" s="11">
        <v>6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4.149</v>
      </c>
      <c r="C2" s="60"/>
      <c r="D2" s="121" t="s">
        <v>325</v>
      </c>
      <c r="E2" s="426">
        <f>Weather_Input!A5</f>
        <v>37000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223.28700000000001</v>
      </c>
      <c r="C8" s="631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1.145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4.149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9.4120000000000008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307.74700000000001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-256.875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5.8940000000000001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5">
        <f>SUM(B8:B17)-C16</f>
        <v>278.822</v>
      </c>
      <c r="C18" s="169"/>
      <c r="D18" s="179" t="s">
        <v>592</v>
      </c>
      <c r="E18" s="178">
        <f>SUM(E5:E17)</f>
        <v>4.149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144.90899999999999</v>
      </c>
      <c r="C19" s="631"/>
      <c r="D19" s="117" t="s">
        <v>320</v>
      </c>
      <c r="E19" s="154">
        <f>PGL_Deliveries!AI5/1000</f>
        <v>1.2999999999999999E-2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0.4</v>
      </c>
      <c r="C20" s="64"/>
      <c r="D20" s="117" t="s">
        <v>189</v>
      </c>
      <c r="E20" s="154">
        <f>PGL_Deliveries!AW5/1000+B41-0.001</f>
        <v>3.8737500000000002</v>
      </c>
      <c r="F20" s="171"/>
      <c r="H20"/>
      <c r="I20"/>
      <c r="J20"/>
      <c r="K20"/>
      <c r="L20"/>
      <c r="M20"/>
    </row>
    <row r="21" spans="1:13" ht="16.5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8.0357500000000002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145.309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144.06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177.55699999999999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185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33.496999999999986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1.6E-2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332.24700000000001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3.8587500000000001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750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65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53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13</v>
      </c>
      <c r="C48" s="162"/>
      <c r="D48" s="251" t="s">
        <v>245</v>
      </c>
      <c r="E48" s="154">
        <f>PGL_Deliveries!AI5/1000</f>
        <v>1.2999999999999999E-2</v>
      </c>
      <c r="F48" s="161"/>
    </row>
    <row r="49" spans="1:6" ht="15">
      <c r="A49" s="172" t="s">
        <v>624</v>
      </c>
      <c r="B49" s="154">
        <f>PGL_Deliveries!AM5/1000</f>
        <v>1.0309999999999999</v>
      </c>
      <c r="C49" s="162"/>
      <c r="D49" s="60" t="s">
        <v>791</v>
      </c>
      <c r="E49" s="154">
        <f>PGL_Deliveries!AJ5/1000</f>
        <v>9.4120000000000008</v>
      </c>
      <c r="F49" s="161"/>
    </row>
    <row r="50" spans="1:6" ht="15.75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0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37000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14.090999999999999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54.203000000000003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0.82199999999999995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55.025000000000006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37000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36999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207088</v>
      </c>
      <c r="O6" s="204">
        <v>0</v>
      </c>
      <c r="P6" s="204">
        <v>43514813</v>
      </c>
      <c r="Q6" s="204">
        <v>15045098</v>
      </c>
      <c r="R6" s="204">
        <v>28469715</v>
      </c>
      <c r="S6" s="204">
        <v>0</v>
      </c>
    </row>
    <row r="7" spans="1:19">
      <c r="A7" s="4">
        <f>B1</f>
        <v>37000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144909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43659722</v>
      </c>
      <c r="Q7">
        <f>IF(O7&gt;0,Q6+O7,Q6)</f>
        <v>15045098</v>
      </c>
      <c r="R7">
        <f>IF(P7&gt;Q7,P7-Q7,0)</f>
        <v>28614624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37000</v>
      </c>
      <c r="B5" s="1">
        <f>(Weather_Input!B5+Weather_Input!C5)/2</f>
        <v>59</v>
      </c>
      <c r="C5" s="912">
        <v>365000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4149</v>
      </c>
      <c r="T5" s="1161">
        <v>0</v>
      </c>
      <c r="U5" s="912">
        <f>SUM(D5:S5)-T5</f>
        <v>4149</v>
      </c>
      <c r="V5" s="912">
        <v>223287</v>
      </c>
      <c r="W5" s="11">
        <v>1145</v>
      </c>
      <c r="X5" s="11">
        <v>0</v>
      </c>
      <c r="Y5" s="11">
        <v>0</v>
      </c>
      <c r="Z5" s="11">
        <v>307747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16</v>
      </c>
      <c r="AH5" s="11">
        <v>0</v>
      </c>
      <c r="AI5" s="11">
        <v>13</v>
      </c>
      <c r="AJ5" s="11">
        <v>9412</v>
      </c>
      <c r="AK5" s="11">
        <v>0</v>
      </c>
      <c r="AL5" s="11">
        <v>0</v>
      </c>
      <c r="AM5" s="1">
        <v>1031</v>
      </c>
      <c r="AN5" s="1"/>
      <c r="AO5" s="1">
        <v>5894</v>
      </c>
      <c r="AP5" s="1">
        <v>0</v>
      </c>
      <c r="AQ5" s="1">
        <v>11242</v>
      </c>
      <c r="AR5" s="1">
        <v>0</v>
      </c>
      <c r="AS5" s="1">
        <v>0</v>
      </c>
      <c r="AT5" s="1">
        <v>1045</v>
      </c>
      <c r="AU5" s="1">
        <v>257250</v>
      </c>
      <c r="AV5" s="1">
        <v>670</v>
      </c>
      <c r="AW5" s="627">
        <f>AU5*0.015</f>
        <v>3858.75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37001</v>
      </c>
      <c r="B6" s="931">
        <f>(Weather_Input!B6+Weather_Input!C6)/2</f>
        <v>67</v>
      </c>
      <c r="C6" s="912">
        <v>285000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37002</v>
      </c>
      <c r="B7" s="931">
        <f>(Weather_Input!B7+Weather_Input!C7)/2</f>
        <v>66.5</v>
      </c>
      <c r="C7" s="912">
        <v>265000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37003</v>
      </c>
      <c r="B8" s="931">
        <f>(Weather_Input!B8+Weather_Input!C8)/2</f>
        <v>58.5</v>
      </c>
      <c r="C8" s="912">
        <v>355000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37004</v>
      </c>
      <c r="B9" s="931">
        <f>(Weather_Input!B9+Weather_Input!C9)/2</f>
        <v>58.5</v>
      </c>
      <c r="C9" s="912">
        <v>370000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37005</v>
      </c>
      <c r="B10" s="931">
        <f>(Weather_Input!B10+Weather_Input!C10)/2</f>
        <v>58.5</v>
      </c>
      <c r="C10" s="912">
        <v>370000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37000</v>
      </c>
      <c r="B5" s="1">
        <f>(Weather_Input!B5+Weather_Input!C5)/2</f>
        <v>59</v>
      </c>
      <c r="C5" s="912">
        <v>58000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1010</v>
      </c>
      <c r="J5" s="1" t="s">
        <v>11</v>
      </c>
      <c r="K5" s="1">
        <v>0</v>
      </c>
      <c r="L5" s="1">
        <v>822</v>
      </c>
      <c r="M5" s="1">
        <v>14091</v>
      </c>
      <c r="N5" s="1">
        <v>0</v>
      </c>
    </row>
    <row r="6" spans="1:14">
      <c r="A6" s="12">
        <f>A5+1</f>
        <v>37001</v>
      </c>
      <c r="B6" s="931">
        <f>(Weather_Input!B6+Weather_Input!C6)/2</f>
        <v>67</v>
      </c>
      <c r="C6" s="912">
        <v>43000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37002</v>
      </c>
      <c r="B7" s="931">
        <f>(Weather_Input!B7+Weather_Input!C7)/2</f>
        <v>66.5</v>
      </c>
      <c r="C7" s="912">
        <v>40000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37003</v>
      </c>
      <c r="B8" s="931">
        <f>(Weather_Input!B8+Weather_Input!C8)/2</f>
        <v>58.5</v>
      </c>
      <c r="C8" s="912">
        <v>56000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37004</v>
      </c>
      <c r="B9" s="931">
        <f>(Weather_Input!B9+Weather_Input!C9)/2</f>
        <v>58.5</v>
      </c>
      <c r="C9" s="912">
        <v>58000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37005</v>
      </c>
      <c r="B10" s="931">
        <f>(Weather_Input!B10+Weather_Input!C10)/2</f>
        <v>58.5</v>
      </c>
      <c r="C10" s="912">
        <v>58000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2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1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3">
        <f>Weather_Input!A5</f>
        <v>37000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0</v>
      </c>
      <c r="H7" s="923">
        <v>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144060</v>
      </c>
      <c r="P7" s="625">
        <v>185000</v>
      </c>
      <c r="Q7" s="627">
        <f t="shared" ref="Q7:Q12" si="0">P7*0.015</f>
        <v>2775</v>
      </c>
      <c r="R7" s="625">
        <v>640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37000</v>
      </c>
    </row>
    <row r="8" spans="1:89" s="1" customFormat="1" ht="12.75">
      <c r="A8" s="833">
        <f>A7+1</f>
        <v>37001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37447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250000</v>
      </c>
      <c r="Q8" s="627">
        <f t="shared" si="0"/>
        <v>3750</v>
      </c>
      <c r="R8" s="625">
        <v>640</v>
      </c>
      <c r="S8" s="625">
        <v>0</v>
      </c>
      <c r="T8" s="625">
        <v>0</v>
      </c>
      <c r="U8" s="624">
        <v>41160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37001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37002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0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250000</v>
      </c>
      <c r="Q9" s="627">
        <f t="shared" si="0"/>
        <v>3750</v>
      </c>
      <c r="R9" s="625">
        <v>640</v>
      </c>
      <c r="S9" s="625">
        <v>0</v>
      </c>
      <c r="T9" s="625">
        <v>0</v>
      </c>
      <c r="U9" s="624">
        <v>41160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37002</v>
      </c>
      <c r="AN9" s="624"/>
    </row>
    <row r="10" spans="1:89" s="1" customFormat="1" ht="12.75">
      <c r="A10" s="833">
        <f>A9+1</f>
        <v>37003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185000</v>
      </c>
      <c r="Q10" s="627">
        <f t="shared" si="0"/>
        <v>2775</v>
      </c>
      <c r="R10" s="625">
        <v>640</v>
      </c>
      <c r="S10" s="625">
        <v>0</v>
      </c>
      <c r="T10" s="625">
        <v>0</v>
      </c>
      <c r="U10" s="624">
        <v>41160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37003</v>
      </c>
    </row>
    <row r="11" spans="1:89" s="1" customFormat="1" ht="12.75">
      <c r="A11" s="833">
        <f>A10+1</f>
        <v>37004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185000</v>
      </c>
      <c r="Q11" s="627">
        <f t="shared" si="0"/>
        <v>2775</v>
      </c>
      <c r="R11" s="625">
        <v>640</v>
      </c>
      <c r="S11" s="625">
        <v>0</v>
      </c>
      <c r="T11" s="625">
        <v>0</v>
      </c>
      <c r="U11" s="624">
        <v>41160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37004</v>
      </c>
    </row>
    <row r="12" spans="1:89" s="1" customFormat="1" ht="12.75">
      <c r="A12" s="833">
        <f>A11+1</f>
        <v>37005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185000</v>
      </c>
      <c r="Q12" s="627">
        <f t="shared" si="0"/>
        <v>2775</v>
      </c>
      <c r="R12" s="625">
        <v>640</v>
      </c>
      <c r="S12" s="625">
        <v>0</v>
      </c>
      <c r="T12" s="625">
        <v>0</v>
      </c>
      <c r="U12" s="624">
        <v>41160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37005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37000</v>
      </c>
      <c r="B7" s="627">
        <v>0</v>
      </c>
      <c r="C7" s="628">
        <v>30100</v>
      </c>
      <c r="D7" s="627">
        <v>0</v>
      </c>
      <c r="E7" s="627">
        <v>100</v>
      </c>
      <c r="F7" s="627">
        <v>0</v>
      </c>
      <c r="G7" s="921">
        <v>0</v>
      </c>
      <c r="H7" s="625">
        <v>1000</v>
      </c>
      <c r="I7" s="625">
        <v>10000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241966</v>
      </c>
      <c r="W7" s="626">
        <v>0</v>
      </c>
      <c r="X7" s="624">
        <v>400</v>
      </c>
      <c r="Y7" s="924">
        <v>144909</v>
      </c>
      <c r="Z7" s="626">
        <v>41160</v>
      </c>
      <c r="AA7" s="1">
        <v>0</v>
      </c>
      <c r="AB7" s="624">
        <v>332247</v>
      </c>
      <c r="AC7" s="624">
        <v>177557</v>
      </c>
      <c r="AD7" s="624">
        <v>0</v>
      </c>
      <c r="AE7" s="924">
        <v>0</v>
      </c>
      <c r="AF7" s="51">
        <f>Weather_Input!A5</f>
        <v>37000</v>
      </c>
      <c r="AI7" s="624"/>
      <c r="AJ7" s="624"/>
      <c r="AK7" s="624"/>
    </row>
    <row r="8" spans="1:37">
      <c r="A8" s="833">
        <f>A7+1</f>
        <v>37001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241966</v>
      </c>
      <c r="W8" s="626">
        <v>0</v>
      </c>
      <c r="X8" s="624">
        <v>0</v>
      </c>
      <c r="Y8" s="924">
        <v>131973</v>
      </c>
      <c r="Z8" s="626">
        <v>41160</v>
      </c>
      <c r="AA8" s="1">
        <v>0</v>
      </c>
      <c r="AB8" s="624">
        <v>303904</v>
      </c>
      <c r="AC8" s="624">
        <v>196463</v>
      </c>
      <c r="AD8" s="624">
        <v>0</v>
      </c>
      <c r="AE8" s="924">
        <v>0</v>
      </c>
      <c r="AF8" s="833">
        <f>AF7+1</f>
        <v>37001</v>
      </c>
      <c r="AI8" s="624"/>
      <c r="AJ8" s="624"/>
      <c r="AK8" s="624"/>
    </row>
    <row r="9" spans="1:37" s="624" customFormat="1">
      <c r="A9" s="833">
        <f>A8+1</f>
        <v>37002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241966</v>
      </c>
      <c r="W9" s="626">
        <v>0</v>
      </c>
      <c r="X9" s="624">
        <v>0</v>
      </c>
      <c r="Y9" s="924">
        <v>119802</v>
      </c>
      <c r="Z9" s="626">
        <v>41160</v>
      </c>
      <c r="AA9" s="1">
        <v>0</v>
      </c>
      <c r="AB9" s="624">
        <v>303904</v>
      </c>
      <c r="AC9" s="624">
        <v>191463</v>
      </c>
      <c r="AD9" s="624">
        <v>0</v>
      </c>
      <c r="AE9" s="924">
        <v>0</v>
      </c>
      <c r="AF9" s="833">
        <f>AF8+1</f>
        <v>37002</v>
      </c>
    </row>
    <row r="10" spans="1:37">
      <c r="A10" s="833">
        <f>A9+1</f>
        <v>37003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241966</v>
      </c>
      <c r="W10" s="626">
        <v>0</v>
      </c>
      <c r="X10" s="624">
        <v>0</v>
      </c>
      <c r="Y10" s="924">
        <v>119802</v>
      </c>
      <c r="Z10" s="626">
        <v>41160</v>
      </c>
      <c r="AA10" s="1">
        <v>0</v>
      </c>
      <c r="AB10" s="624">
        <v>303904</v>
      </c>
      <c r="AC10" s="624">
        <v>191463</v>
      </c>
      <c r="AD10" s="624">
        <v>0</v>
      </c>
      <c r="AE10" s="924">
        <v>0</v>
      </c>
      <c r="AF10" s="833">
        <f>AF9+1</f>
        <v>37003</v>
      </c>
      <c r="AI10" s="624"/>
      <c r="AJ10" s="624"/>
      <c r="AK10" s="624"/>
    </row>
    <row r="11" spans="1:37">
      <c r="A11" s="833">
        <f>A10+1</f>
        <v>37004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241966</v>
      </c>
      <c r="W11" s="626">
        <v>0</v>
      </c>
      <c r="X11" s="624">
        <v>0</v>
      </c>
      <c r="Y11" s="924">
        <v>119802</v>
      </c>
      <c r="Z11" s="626">
        <v>41160</v>
      </c>
      <c r="AA11" s="1">
        <v>0</v>
      </c>
      <c r="AB11" s="624">
        <v>303904</v>
      </c>
      <c r="AC11" s="624">
        <v>191463</v>
      </c>
      <c r="AD11" s="624">
        <v>0</v>
      </c>
      <c r="AE11" s="924">
        <v>0</v>
      </c>
      <c r="AF11" s="833">
        <f>AF10+1</f>
        <v>37004</v>
      </c>
    </row>
    <row r="12" spans="1:37">
      <c r="A12" s="833">
        <f>A11+1</f>
        <v>37005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241966</v>
      </c>
      <c r="W12" s="626">
        <v>0</v>
      </c>
      <c r="X12" s="624">
        <v>0</v>
      </c>
      <c r="Y12" s="924">
        <v>119802</v>
      </c>
      <c r="Z12" s="626">
        <v>41160</v>
      </c>
      <c r="AA12" s="1">
        <v>0</v>
      </c>
      <c r="AB12" s="624">
        <v>303904</v>
      </c>
      <c r="AC12" s="624">
        <v>191463</v>
      </c>
      <c r="AD12" s="624">
        <v>0</v>
      </c>
      <c r="AE12" s="924">
        <v>0</v>
      </c>
      <c r="AF12" s="833">
        <f>AF11+1</f>
        <v>37005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4">
        <f>Weather_Input!A5</f>
        <v>37000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37000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37001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37001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37002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37002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37003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37003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37004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37004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37005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37005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37000</v>
      </c>
      <c r="B7" s="627">
        <v>0</v>
      </c>
      <c r="C7" s="628">
        <v>0</v>
      </c>
      <c r="D7" s="627">
        <v>0</v>
      </c>
      <c r="E7" s="627">
        <v>0</v>
      </c>
      <c r="F7" s="627">
        <v>3800</v>
      </c>
      <c r="G7" s="627">
        <f>(R7+S7+C7+PGL_Requirements!Y7+PGL_Requirements!Z7-NSG_Requirements!C7)*0.05</f>
        <v>4170.3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54203</v>
      </c>
      <c r="S7" s="627">
        <v>29203</v>
      </c>
      <c r="T7" s="627">
        <v>0</v>
      </c>
      <c r="U7" s="627">
        <v>0</v>
      </c>
      <c r="V7" s="833">
        <f>Weather_Input!A5</f>
        <v>37000</v>
      </c>
      <c r="W7" s="624"/>
      <c r="X7" s="624"/>
    </row>
    <row r="8" spans="1:24">
      <c r="A8" s="833">
        <f>A7+1</f>
        <v>37001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4357.55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57948</v>
      </c>
      <c r="S8" s="627">
        <v>29203</v>
      </c>
      <c r="T8" s="627">
        <v>0</v>
      </c>
      <c r="U8" s="627">
        <v>0</v>
      </c>
      <c r="V8" s="833">
        <f>V7+1</f>
        <v>37001</v>
      </c>
      <c r="W8" s="624"/>
      <c r="X8" s="624"/>
    </row>
    <row r="9" spans="1:24">
      <c r="A9" s="833">
        <f>A8+1</f>
        <v>37002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4364.55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58088</v>
      </c>
      <c r="S9" s="627">
        <v>29203</v>
      </c>
      <c r="T9" s="627">
        <v>0</v>
      </c>
      <c r="U9" s="627">
        <v>0</v>
      </c>
      <c r="V9" s="833">
        <f>V8+1</f>
        <v>37002</v>
      </c>
      <c r="W9" s="624"/>
      <c r="X9" s="624"/>
    </row>
    <row r="10" spans="1:24">
      <c r="A10" s="833">
        <f>A9+1</f>
        <v>37003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4364.55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58088</v>
      </c>
      <c r="S10" s="627">
        <v>29203</v>
      </c>
      <c r="T10" s="627">
        <v>0</v>
      </c>
      <c r="U10" s="627">
        <v>0</v>
      </c>
      <c r="V10" s="833">
        <f>V9+1</f>
        <v>37003</v>
      </c>
      <c r="W10" s="624"/>
      <c r="X10" s="624"/>
    </row>
    <row r="11" spans="1:24">
      <c r="A11" s="833">
        <f>A10+1</f>
        <v>37004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4364.55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58088</v>
      </c>
      <c r="S11" s="627">
        <v>29203</v>
      </c>
      <c r="T11" s="627">
        <v>0</v>
      </c>
      <c r="U11" s="627">
        <v>0</v>
      </c>
      <c r="V11" s="833">
        <f>V10+1</f>
        <v>37004</v>
      </c>
      <c r="W11" s="624"/>
      <c r="X11" s="624"/>
    </row>
    <row r="12" spans="1:24">
      <c r="A12" s="833">
        <f>A11+1</f>
        <v>37005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4364.55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58088</v>
      </c>
      <c r="S12" s="627">
        <v>29203</v>
      </c>
      <c r="T12" s="627">
        <v>0</v>
      </c>
      <c r="U12" s="627">
        <v>0</v>
      </c>
      <c r="V12" s="833">
        <f>V11+1</f>
        <v>37005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THU</v>
      </c>
      <c r="I1" s="838">
        <f>D4</f>
        <v>37000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</row>
    <row r="4" spans="1:256" ht="15.75" thickBot="1">
      <c r="A4" s="845"/>
      <c r="B4" s="846"/>
      <c r="C4" s="846"/>
      <c r="D4" s="466">
        <f>Weather_Input!A5</f>
        <v>37000</v>
      </c>
      <c r="E4" s="466">
        <f>Weather_Input!A6</f>
        <v>37001</v>
      </c>
      <c r="F4" s="466">
        <f>Weather_Input!A7</f>
        <v>37002</v>
      </c>
      <c r="G4" s="466">
        <f>Weather_Input!A8</f>
        <v>37003</v>
      </c>
      <c r="H4" s="466">
        <f>Weather_Input!A9</f>
        <v>37004</v>
      </c>
      <c r="I4" s="467">
        <f>Weather_Input!A10</f>
        <v>37005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65/53/59</v>
      </c>
      <c r="E5" s="468" t="str">
        <f>TEXT(Weather_Input!B6,"0")&amp;"/"&amp;TEXT(Weather_Input!C6,"0") &amp; "/" &amp; TEXT((Weather_Input!B6+Weather_Input!C6)/2,"0")</f>
        <v>78/56/67</v>
      </c>
      <c r="F5" s="468" t="str">
        <f>TEXT(Weather_Input!B7,"0")&amp;"/"&amp;TEXT(Weather_Input!C7,"0") &amp; "/" &amp; TEXT((Weather_Input!B7+Weather_Input!C7)/2,"0")</f>
        <v>80/53/67</v>
      </c>
      <c r="G5" s="468" t="str">
        <f>TEXT(Weather_Input!B8,"0")&amp;"/"&amp;TEXT(Weather_Input!C8,"0") &amp; "/" &amp; TEXT((Weather_Input!B8+Weather_Input!C8)/2,"0")</f>
        <v>68/49/59</v>
      </c>
      <c r="H5" s="468" t="str">
        <f>TEXT(Weather_Input!B9,"0")&amp;"/"&amp;TEXT(Weather_Input!C9,"0") &amp; "/" &amp; TEXT((Weather_Input!B9+Weather_Input!C9)/2,"0")</f>
        <v>72/45/59</v>
      </c>
      <c r="I5" s="469" t="str">
        <f>TEXT(Weather_Input!B10,"0")&amp;"/"&amp;TEXT(Weather_Input!C10,"0") &amp; "/" &amp; TEXT((Weather_Input!B10+Weather_Input!C10)/2,"0")</f>
        <v>72/45/59</v>
      </c>
    </row>
    <row r="6" spans="1:256" ht="15.75">
      <c r="A6" s="852" t="s">
        <v>139</v>
      </c>
      <c r="B6" s="840"/>
      <c r="C6" s="840"/>
      <c r="D6" s="468">
        <f>PGL_Deliveries!C5/1000</f>
        <v>365</v>
      </c>
      <c r="E6" s="468">
        <f>PGL_Deliveries!C6/1000</f>
        <v>285</v>
      </c>
      <c r="F6" s="468">
        <f>PGL_Deliveries!C7/1000</f>
        <v>265</v>
      </c>
      <c r="G6" s="468">
        <f>PGL_Deliveries!C8/1000</f>
        <v>355</v>
      </c>
      <c r="H6" s="468">
        <f>PGL_Deliveries!C9/1000</f>
        <v>370</v>
      </c>
      <c r="I6" s="469">
        <f>PGL_Deliveries!C10/1000</f>
        <v>370</v>
      </c>
    </row>
    <row r="7" spans="1:256" ht="15.75">
      <c r="A7" s="852" t="s">
        <v>574</v>
      </c>
      <c r="B7" s="840" t="s">
        <v>421</v>
      </c>
      <c r="C7" s="840"/>
      <c r="D7" s="468">
        <f>PGL_Requirements!H7/1000*0.5</f>
        <v>0</v>
      </c>
      <c r="E7" s="468">
        <f>PGL_Requirements!H8/1000*0.5</f>
        <v>18.723500000000001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185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185</v>
      </c>
      <c r="H13" s="468">
        <f>PGL_Requirements!P11/1000</f>
        <v>185</v>
      </c>
      <c r="I13" s="469">
        <f>PGL_Requirements!P12/1000</f>
        <v>185</v>
      </c>
    </row>
    <row r="14" spans="1:256" ht="15.75">
      <c r="A14" s="849"/>
      <c r="B14" s="840"/>
      <c r="C14" s="840" t="s">
        <v>101</v>
      </c>
      <c r="D14" s="468">
        <f>PGL_Requirements!Q7/1000</f>
        <v>2.7749999999999999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2.7749999999999999</v>
      </c>
      <c r="H14" s="468">
        <f>PGL_Requirements!Q11/1000</f>
        <v>2.7749999999999999</v>
      </c>
      <c r="I14" s="469">
        <f>PGL_Requirements!Q12/1000</f>
        <v>2.7749999999999999</v>
      </c>
    </row>
    <row r="15" spans="1:256" ht="15.75">
      <c r="A15" s="849"/>
      <c r="C15" s="840" t="s">
        <v>746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41.16</v>
      </c>
      <c r="F18" s="468">
        <f>PGL_Requirements!U9/1000</f>
        <v>41.16</v>
      </c>
      <c r="G18" s="468">
        <f>PGL_Requirements!U10/1000</f>
        <v>41.16</v>
      </c>
      <c r="H18" s="468">
        <f>PGL_Requirements!U11/1000</f>
        <v>41.16</v>
      </c>
      <c r="I18" s="469">
        <f>PGL_Requirements!U12/1000</f>
        <v>41.16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144.06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737.47499999999991</v>
      </c>
      <c r="E30" s="472">
        <f t="shared" si="1"/>
        <v>599.27350000000001</v>
      </c>
      <c r="F30" s="472">
        <f t="shared" si="1"/>
        <v>560.54999999999995</v>
      </c>
      <c r="G30" s="472">
        <f t="shared" si="1"/>
        <v>584.57499999999993</v>
      </c>
      <c r="H30" s="472">
        <f t="shared" si="1"/>
        <v>599.57499999999993</v>
      </c>
      <c r="I30" s="1175">
        <f t="shared" si="1"/>
        <v>599.57499999999993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774</v>
      </c>
      <c r="B47" s="840" t="s">
        <v>752</v>
      </c>
      <c r="C47" s="840"/>
      <c r="D47" s="468">
        <f>PGL_Supplies!Y7/1000</f>
        <v>144.90899999999999</v>
      </c>
      <c r="E47" s="468">
        <f>PGL_Supplies!Y8/1000</f>
        <v>131.97300000000001</v>
      </c>
      <c r="F47" s="468">
        <f>PGL_Supplies!Y9/1000</f>
        <v>119.80200000000001</v>
      </c>
      <c r="G47" s="468">
        <f>PGL_Supplies!Y10/1000</f>
        <v>119.80200000000001</v>
      </c>
      <c r="H47" s="468">
        <f>PGL_Supplies!Y11/1000</f>
        <v>119.80200000000001</v>
      </c>
      <c r="I47" s="469">
        <f>PGL_Supplies!Y12/1000</f>
        <v>119.80200000000001</v>
      </c>
    </row>
    <row r="48" spans="1:9" ht="15.75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 ht="15.75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 ht="15.75">
      <c r="A50" s="852"/>
      <c r="B50" s="840" t="s">
        <v>421</v>
      </c>
      <c r="C50" s="853"/>
      <c r="D50" s="468">
        <f>PGL_Supplies!AB7/1000</f>
        <v>332.24700000000001</v>
      </c>
      <c r="E50" s="468">
        <f>PGL_Supplies!AB8/1000</f>
        <v>303.904</v>
      </c>
      <c r="F50" s="468">
        <f>PGL_Supplies!AB9/1000</f>
        <v>303.904</v>
      </c>
      <c r="G50" s="468">
        <f>PGL_Supplies!AB10/1000</f>
        <v>303.904</v>
      </c>
      <c r="H50" s="468">
        <f>PGL_Supplies!AB11/1000</f>
        <v>303.904</v>
      </c>
      <c r="I50" s="469">
        <f>PGL_Supplies!AB12/1000</f>
        <v>303.904</v>
      </c>
    </row>
    <row r="51" spans="1:10" ht="15.75">
      <c r="A51" s="852"/>
      <c r="B51" s="840" t="s">
        <v>141</v>
      </c>
      <c r="C51" s="840"/>
      <c r="D51" s="468">
        <f>PGL_Supplies!AC7/1000</f>
        <v>177.55699999999999</v>
      </c>
      <c r="E51" s="468">
        <f>PGL_Supplies!AC8/1000</f>
        <v>196.46299999999999</v>
      </c>
      <c r="F51" s="468">
        <f>PGL_Supplies!AC9/1000</f>
        <v>191.46299999999999</v>
      </c>
      <c r="G51" s="468">
        <f>PGL_Supplies!AC10/1000</f>
        <v>191.46299999999999</v>
      </c>
      <c r="H51" s="468">
        <f>PGL_Supplies!AC11/1000</f>
        <v>191.46299999999999</v>
      </c>
      <c r="I51" s="469">
        <f>PGL_Supplies!AC12/1000</f>
        <v>191.46299999999999</v>
      </c>
    </row>
    <row r="52" spans="1:10" ht="15.75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10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763</v>
      </c>
      <c r="B56" s="840" t="s">
        <v>752</v>
      </c>
      <c r="C56" s="840"/>
      <c r="D56" s="468">
        <f>PGL_Supplies!X7/1000</f>
        <v>0.4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30.1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421</v>
      </c>
      <c r="C59" s="840"/>
      <c r="D59" s="468">
        <f>PGL_Supplies!E7/1000</f>
        <v>0.1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737.47300000000007</v>
      </c>
      <c r="E61" s="478">
        <f t="shared" si="2"/>
        <v>684.5</v>
      </c>
      <c r="F61" s="478">
        <f t="shared" si="2"/>
        <v>667.32899999999995</v>
      </c>
      <c r="G61" s="478">
        <f t="shared" si="2"/>
        <v>667.32899999999995</v>
      </c>
      <c r="H61" s="478">
        <f t="shared" si="2"/>
        <v>667.32899999999995</v>
      </c>
      <c r="I61" s="1177">
        <f t="shared" si="2"/>
        <v>667.32899999999995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85.226499999999987</v>
      </c>
      <c r="F62" s="479">
        <f t="shared" si="3"/>
        <v>106.779</v>
      </c>
      <c r="G62" s="479">
        <f t="shared" si="3"/>
        <v>82.754000000000019</v>
      </c>
      <c r="H62" s="479">
        <f t="shared" si="3"/>
        <v>67.754000000000019</v>
      </c>
      <c r="I62" s="1178">
        <f t="shared" si="3"/>
        <v>67.754000000000019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1.9999999998390194E-3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5" thickTop="1" thickBot="1">
      <c r="A64" s="1166" t="s">
        <v>778</v>
      </c>
      <c r="B64" s="1167"/>
      <c r="C64" s="1167"/>
      <c r="D64" s="1168">
        <f>PGL_Supplies!V7/1000</f>
        <v>241.96600000000001</v>
      </c>
      <c r="E64" s="1168">
        <f>PGL_Supplies!V8/1000</f>
        <v>241.96600000000001</v>
      </c>
      <c r="F64" s="1168">
        <f>PGL_Supplies!V9/1000</f>
        <v>241.96600000000001</v>
      </c>
      <c r="G64" s="1168">
        <f>PGL_Supplies!V10/1000</f>
        <v>241.96600000000001</v>
      </c>
      <c r="H64" s="1168">
        <f>PGL_Supplies!V11/1000</f>
        <v>241.96600000000001</v>
      </c>
      <c r="I64" s="1169">
        <f>PGL_Supplies!V12/1000</f>
        <v>241.96600000000001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2001-04-20T09:11:47Z</cp:lastPrinted>
  <dcterms:created xsi:type="dcterms:W3CDTF">1997-07-16T16:14:22Z</dcterms:created>
  <dcterms:modified xsi:type="dcterms:W3CDTF">2023-09-10T17:07:46Z</dcterms:modified>
</cp:coreProperties>
</file>