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5353B2-C2C7-43A0-9ED3-904C01F1A156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<sst xmlns="http://schemas.openxmlformats.org/spreadsheetml/2006/main" count="2148" uniqueCount="800">
  <si>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</si>
  <si>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</si>
  <si>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</si>
  <si>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</si>
  <si>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</si>
  <si>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</si>
  <si>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</si>
  <si>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</si>
  <si>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</si>
  <si>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</si>
  <si>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</si>
  <si>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</si>
  <si>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</si>
  <si>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</si>
  <si>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</si>
  <si>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</si>
  <si>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</si>
  <si>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</si>
  <si>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</si>
  <si>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</si>
  <si>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</si>
  <si>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</si>
  <si>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</si>
  <si>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</si>
  <si>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</si>
  <si>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</si>
  <si>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</si>
  <si>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</si>
  <si>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</si>
  <si>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</si>
  <si>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</si>
  <si>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</si>
  <si>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</si>
  <si>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</si>
  <si>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</si>
  <si>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</si>
  <si>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</si>
  <si>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</si>
  <si>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</si>
  <si>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</si>
  <si>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</si>
  <si>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</si>
  <si>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</si>
  <si>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</si>
  <si>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</si>
  <si>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</si>
  <si>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</si>
  <si>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</si>
  <si>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</si>
  <si>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</si>
  <si>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</si>
  <si>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</si>
  <si>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</si>
  <si>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</si>
  <si>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</si>
  <si>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</si>
  <si>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</si>
  <si>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</si>
  <si>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</si>
  <si>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</si>
  <si>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</si>
  <si>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</si>
  <si>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</si>
  <si>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</si>
  <si>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</si>
  <si>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</si>
  <si>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</si>
  <si>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</si>
  <si>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</si>
  <si>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</si>
  <si>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</si>
  <si>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</si>
  <si>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</si>
  <si>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</si>
  <si>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</si>
  <si>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</si>
  <si>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</si>
  <si>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</si>
  <si>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</si>
  <si>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</si>
  <si>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</si>
  <si>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</si>
  <si>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</si>
  <si>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</si>
  <si>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</si>
  <si>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</si>
  <si>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</si>
  <si>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</si>
  <si>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</si>
  <si>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</si>
  <si>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</si>
  <si>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</si>
  <si>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</si>
  <si>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</si>
  <si>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</si>
  <si>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</si>
  <si>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</si>
  <si>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</si>
  <si>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</si>
  <si>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</si>
  <si>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</si>
  <si>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</si>
  <si>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</si>
  <si>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</si>
  <si>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</si>
  <si>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</si>
  <si>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</si>
  <si>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</si>
  <si>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</si>
  <si>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</si>
  <si>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</si>
  <si>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</si>
  <si>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</si>
  <si>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</si>
  <si>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</si>
  <si>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</si>
  <si>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</si>
  <si>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</si>
  <si>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</si>
  <si>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</si>
  <si>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</si>
  <si>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</si>
  <si>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</si>
  <si>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</si>
  <si>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</si>
  <si>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</si>
  <si>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</si>
  <si>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</si>
  <si>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</si>
  <si>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</si>
  <si>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</si>
  <si>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</si>
  <si>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</si>
  <si>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</si>
  <si>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</si>
  <si>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</si>
  <si>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</si>
  <si>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</si>
  <si>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</si>
  <si>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</si>
  <si>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</si>
  <si>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</si>
  <si>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</si>
  <si>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</si>
  <si>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</si>
  <si>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</si>
  <si>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</si>
  <si>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</si>
  <si>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</si>
  <si>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</si>
  <si>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</si>
  <si>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</si>
  <si>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</si>
  <si>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</si>
  <si>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</si>
  <si>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</si>
  <si>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</si>
  <si>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</si>
  <si>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</si>
  <si>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</si>
  <si>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</si>
  <si>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</si>
  <si>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</si>
  <si>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</si>
  <si>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</si>
  <si>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</si>
  <si>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</si>
  <si>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</si>
  <si>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</si>
  <si>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</si>
  <si>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</si>
  <si>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</si>
  <si>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</si>
  <si>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</si>
  <si>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</si>
  <si>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</si>
  <si>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</si>
  <si>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</si>
  <si>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</si>
  <si>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</si>
  <si>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</si>
  <si>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</si>
  <si>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</si>
  <si>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</si>
  <si>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</si>
  <si>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</si>
  <si>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</si>
  <si>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</si>
  <si>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</si>
  <si>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</si>
  <si>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</si>
  <si>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</si>
  <si>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</si>
  <si>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</si>
  <si>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</si>
  <si>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</si>
  <si>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</si>
  <si>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</si>
  <si>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</si>
  <si>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</si>
  <si>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</si>
  <si>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</si>
  <si>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</si>
  <si>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</si>
  <si>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</si>
  <si>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</si>
  <si>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</si>
  <si>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</si>
  <si>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</si>
  <si>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</si>
  <si>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</si>
  <si>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</si>
  <si>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</si>
  <si>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</si>
  <si>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</si>
  <si>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</si>
  <si>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</si>
  <si>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</si>
  <si>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</si>
  <si>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</si>
  <si>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</si>
  <si>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</si>
  <si>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</si>
  <si>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</si>
  <si>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</si>
  <si>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</si>
  <si>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</si>
  <si>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</si>
  <si>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</si>
  <si>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</si>
  <si>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</si>
  <si>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</si>
  <si>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</si>
  <si>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</si>
  <si>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</si>
  <si>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</si>
  <si>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</si>
  <si>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</si>
  <si>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</si>
  <si>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</si>
  <si>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</si>
  <si>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</si>
  <si>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</si>
  <si>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</si>
  <si>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</si>
  <si>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</si>
  <si>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</si>
  <si>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</si>
  <si>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</si>
  <si>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</si>
  <si>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</si>
  <si>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</si>
  <si>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</si>
  <si>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</si>
  <si>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</si>
  <si>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</si>
  <si>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</si>
  <si>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</si>
  <si>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</si>
  <si>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</si>
  <si>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</si>
  <si>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</si>
  <si>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</si>
  <si>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</si>
  <si>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</si>
  <si>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</si>
  <si>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</si>
  <si>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</si>
  <si>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</si>
  <si>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</si>
  <si>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</si>
  <si>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</si>
  <si>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</si>
  <si>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</si>
  <si>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</si>
  <si>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</si>
  <si>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</si>
  <si>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</si>
  <si>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</si>
  <si>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</si>
  <si>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</si>
  <si>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</si>
  <si>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</si>
  <si>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</si>
  <si>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</si>
  <si>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</si>
  <si>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</si>
  <si>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</si>
  <si>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</si>
  <si>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</si>
  <si>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</si>
  <si>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</si>
  <si>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</si>
  <si>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</si>
  <si>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</si>
  <si>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</si>
  <si>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</si>
  <si>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</si>
  <si>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</si>
  <si>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</si>
  <si>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</si>
  <si>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</si>
  <si>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</si>
  <si>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</si>
  <si>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</si>
  <si>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</si>
  <si>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</si>
  <si>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</si>
  <si>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</si>
  <si>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</si>
  <si>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</si>
  <si>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</si>
  <si>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</si>
  <si>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</si>
  <si>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</si>
  <si>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</si>
  <si>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</si>
  <si>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</si>
  <si>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</si>
  <si>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</si>
  <si>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</si>
  <si>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</si>
  <si>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</si>
  <si>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</si>
  <si>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</si>
  <si>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</si>
  <si>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</si>
  <si>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</si>
  <si>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</si>
  <si>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</si>
  <si>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</si>
  <si>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</si>
  <si>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</si>
  <si>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</si>
  <si>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</si>
  <si>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</si>
  <si>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</si>
  <si>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</si>
  <si>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</si>
  <si>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</si>
  <si>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</si>
  <si>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</si>
  <si>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</si>
  <si>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</si>
  <si>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</si>
  <si>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</si>
  <si>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</si>
  <si>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</si>
  <si>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</si>
  <si>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</si>
  <si>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</si>
  <si>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</si>
  <si>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</si>
  <si>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</si>
  <si>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</si>
  <si>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</si>
  <si>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</si>
  <si>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</si>
  <si>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</si>
  <si>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</si>
  <si>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</si>
  <si>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</si>
  <si>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</si>
  <si>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</si>
  <si>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</si>
  <si>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</si>
  <si>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</si>
  <si>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</si>
  <si>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</si>
  <si>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</si>
  <si>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</si>
  <si>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</si>
  <si>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</si>
  <si>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</si>
  <si>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</si>
  <si>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</si>
  <si>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</si>
  <si>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</si>
  <si>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</si>
  <si>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</si>
  <si>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</si>
  <si>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</si>
  <si>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</si>
  <si>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</si>
  <si>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</si>
  <si>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</si>
  <si>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</si>
  <si>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</si>
  <si>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</si>
  <si>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</si>
  <si>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</si>
  <si>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</si>
  <si>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</si>
  <si>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</si>
  <si>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</si>
  <si>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</si>
  <si>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</si>
  <si>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</si>
  <si>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</si>
  <si>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</si>
  <si>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</si>
  <si>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</si>
  <si>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</si>
  <si>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</si>
  <si>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</si>
  <si>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</si>
  <si>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</si>
  <si>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</si>
  <si>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</si>
  <si>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</si>
  <si>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</si>
  <si>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</si>
  <si>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</si>
  <si>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</si>
  <si>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</si>
  <si>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</si>
  <si>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</si>
  <si>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</si>
  <si>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</si>
  <si>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</si>
  <si>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</si>
  <si>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</si>
  <si>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</si>
  <si>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</si>
  <si>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</si>
  <si>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</si>
  <si>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</si>
  <si>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</si>
  <si>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</si>
  <si>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</si>
  <si>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</si>
  <si>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</si>
  <si>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</si>
  <si>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</si>
  <si>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</si>
  <si>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</si>
  <si>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</si>
  <si>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</si>
  <si>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</si>
  <si>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</si>
  <si>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</si>
  <si>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</si>
  <si>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</si>
  <si>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</si>
  <si>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</si>
  <si>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</si>
  <si>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</si>
  <si>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</si>
  <si>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</si>
  <si>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</si>
  <si>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</si>
  <si>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</si>
  <si>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</si>
  <si>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</si>
  <si>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</si>
  <si>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</si>
  <si>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</si>
  <si>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</si>
  <si>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</si>
  <si>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</si>
  <si>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</si>
  <si>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</si>
  <si>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</si>
  <si>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</si>
  <si>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</si>
  <si>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</si>
  <si>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</si>
  <si>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</si>
  <si>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</si>
  <si>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</si>
  <si>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</si>
  <si>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</si>
  <si>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</si>
  <si>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</si>
  <si>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</si>
  <si>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</si>
  <si>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</si>
  <si>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</si>
  <si>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</si>
  <si>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</si>
  <si>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</si>
  <si>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</si>
  <si>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</si>
  <si>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</si>
  <si>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</si>
  <si>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</si>
  <si>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</si>
  <si>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</si>
  <si>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</si>
  <si>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</si>
  <si>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</si>
  <si>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</si>
  <si>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</si>
  <si>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</si>
  <si>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</si>
  <si>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</si>
  <si>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</si>
  <si>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</si>
  <si>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</si>
  <si>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</si>
  <si>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</si>
  <si>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</si>
  <si>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</si>
  <si>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</si>
  <si>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</si>
  <si>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</si>
  <si>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</si>
  <si>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</si>
  <si>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</si>
  <si>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</si>
  <si>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</si>
  <si>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</si>
  <si>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</si>
  <si>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</si>
  <si>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</si>
  <si>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</si>
  <si>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</si>
  <si>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</si>
  <si>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</si>
  <si>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</si>
  <si>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</si>
  <si>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</si>
  <si>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</si>
  <si>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</si>
  <si>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</si>
  <si>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</si>
  <si>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</si>
  <si>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</si>
  <si>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</si>
  <si>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</si>
  <si>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</si>
  <si>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</si>
  <si>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</si>
  <si>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</si>
  <si>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</si>
  <si>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</si>
  <si>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</si>
  <si>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</si>
  <si>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</si>
  <si>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</si>
  <si>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</si>
  <si>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</si>
  <si>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</si>
  <si>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</si>
  <si>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</si>
  <si>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</si>
  <si>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</si>
  <si>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</si>
  <si>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</si>
  <si>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</si>
  <si>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</si>
  <si>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</si>
  <si>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</si>
  <si>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</si>
  <si>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</si>
  <si>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</si>
  <si>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</si>
  <si>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</si>
  <si>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</si>
  <si>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</si>
  <si>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</si>
  <si>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</si>
  <si>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</si>
  <si>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</si>
  <si>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</si>
  <si>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</si>
  <si>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</si>
  <si>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</si>
  <si>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</si>
  <si>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</si>
  <si>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</si>
  <si>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</si>
  <si>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</si>
  <si>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</si>
  <si>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</si>
  <si>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</si>
  <si>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</si>
  <si>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</si>
  <si>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</si>
  <si>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</si>
  <si>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</si>
  <si>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</si>
  <si>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</si>
  <si>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</si>
  <si>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</si>
  <si>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</si>
  <si>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</si>
  <si>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</si>
  <si>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</si>
  <si>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</si>
  <si>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</si>
  <si>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</si>
  <si>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</si>
  <si>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</si>
  <si>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</si>
  <si>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</si>
  <si>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</si>
  <si>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</si>
  <si>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</si>
  <si>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</si>
  <si>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</si>
  <si>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</si>
  <si>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</si>
  <si>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</si>
  <si>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</si>
  <si>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</si>
  <si>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</si>
  <si>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</si>
  <si>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</si>
  <si>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</si>
  <si>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</si>
  <si>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</si>
  <si>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</si>
  <si>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</si>
  <si>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</si>
  <si>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</si>
  <si>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</si>
  <si>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</si>
  <si>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</si>
  <si>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</si>
  <si>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</si>
  <si>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</si>
  <si>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</si>
  <si>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</si>
  <si>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</si>
  <si>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</si>
  <si>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</si>
  <si>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</si>
  <si>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</si>
  <si>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</si>
  <si>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</si>
  <si>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</si>
  <si>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</si>
  <si>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</si>
  <si>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</si>
  <si>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</si>
  <si>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</si>
  <si>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</si>
  <si>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</si>
  <si>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</si>
  <si>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</si>
  <si>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</si>
  <si>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</si>
  <si>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</si>
  <si>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</si>
  <si>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</si>
  <si>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</si>
  <si>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</si>
  <si>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</si>
  <si>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</si>
  <si>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</si>
  <si>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</si>
  <si>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</si>
  <si>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</si>
  <si>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</si>
  <si>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</si>
  <si>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</si>
  <si>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</si>
  <si>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</si>
  <si>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</si>
  <si>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</si>
  <si>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</si>
  <si>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</si>
  <si>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</si>
  <si>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</si>
  <si>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</si>
  <si>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</si>
  <si>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</si>
  <si>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</si>
  <si>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</si>
  <si>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</si>
  <si>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</si>
  <si>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</si>
  <si>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</si>
  <si>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</si>
  <si>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</si>
  <si>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</si>
  <si>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</si>
  <si>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</si>
  <si>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</si>
  <si>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</si>
  <si>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</si>
  <si>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</si>
  <si>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</si>
  <si>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</si>
  <si>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</si>
  <si>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</si>
  <si>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</si>
  <si>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</si>
  <si>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</si>
  <si>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</si>
  <si>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</si>
  <si>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</si>
  <si>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</si>
  <si>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</si>
  <si>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</si>
  <si>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</si>
  <si>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</si>
  <si>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</si>
  <si>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</si>
  <si>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</si>
  <si>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</si>
  <si>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</si>
  <si>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</si>
  <si>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</si>
  <si>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</si>
  <si>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</si>
  <si>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</si>
  <si>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</si>
  <si>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</si>
  <si>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</si>
  <si>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</si>
  <si>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</si>
  <si>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</si>
  <si>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</si>
  <si>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</si>
  <si>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</si>
  <si>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</si>
  <si>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</si>
  <si>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</si>
  <si>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</si>
  <si>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</si>
  <si>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</si>
  <si>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</si>
  <si>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</si>
  <si>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</si>
  <si>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</si>
  <si>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</si>
  <si>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</si>
  <si>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</si>
  <si>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</si>
  <si>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</si>
  <si>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</si>
  <si>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</si>
  <si>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</si>
  <si>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</si>
  <si>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</si>
  <si>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</si>
  <si>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</si>
  <si>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</si>
  <si>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</si>
  <si>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</si>
  <si>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</si>
  <si>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</si>
  <si>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</si>
  <si>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</si>
  <si>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</si>
  <si>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</si>
  <si>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</si>
  <si>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</si>
  <si>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</si>
  <si>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</si>
  <si>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</si>
  <si>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</si>
  <si>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</si>
  <si>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</si>
  <si>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</si>
  <si>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</si>
  <si>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</si>
  <si>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</si>
  <si>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</si>
  <si>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</si>
  <si>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</si>
  <si>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</si>
  <si>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</si>
  <si>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</si>
  <si>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</si>
  <si>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</si>
  <si>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</si>
  <si>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</si>
  <si>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</si>
  <si>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</si>
  <si>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</si>
  <si>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</si>
  <si>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</si>
  <si>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</si>
  <si>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</si>
  <si>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</si>
  <si>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</si>
  <si>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</si>
  <si>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</si>
  <si>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</si>
  <si>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</si>
  <si>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</si>
  <si>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</si>
  <si>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</si>
  <si>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</si>
  <si>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</si>
  <si>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</si>
  <si>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</si>
  <si>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</si>
  <si>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</si>
  <si>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</si>
  <si>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N/A</t>
  </si>
  <si>
    <t xml:space="preserve">MOSTLY SUNNY AND MILD.  LOWER TEMPS ALONG LAKE MICHIGAN WITH LAKE  </t>
  </si>
  <si>
    <t>BREEZES.</t>
  </si>
  <si>
    <t>BECOMING MOSTLY CLOUDY WITH CHANCE OF SHOWERS AFTER DARK.</t>
  </si>
  <si>
    <t>MOSTLY CLOUDY WITH A 50% CHANCE OF SHOWERS AND T-STORMS.</t>
  </si>
  <si>
    <t xml:space="preserve">PARTLY CLOUDY WITH A CHANCE OF SHOWERS AND T-STORMS. </t>
  </si>
  <si>
    <t>MOSTLY CLOUDY WITH A CHANCE OF SHOWERS AND T-STORMS.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</si>
</sst>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4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A174EE3-DF8E-DBFA-EDD1-5D0DEEE1E7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CD142BC-D221-D5D9-555F-0AD4920209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CBED2B1-32E1-8113-3E64-AD8DA43EAD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C28855C-36CA-3F25-1D0D-D537B0C38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5563315-8999-9520-121B-0198090F4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AABA39F-8308-CE58-4486-D94BB8F98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C1E3AB3C-1A42-8064-2618-6AFC1DFE8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76198292-6CD9-AFDD-9CA8-F70DBC34A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B158236-2F55-3779-9942-07E995A21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C333401B-4067-5D3B-531F-5B81DBF32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57E5CCAE-88C4-48E8-964F-2F67C325C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8A7B3B32-EE37-DC75-2F88-ADA82DDB0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F787ED9-6D18-54EB-267E-8F3B7BE58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12486DB-F303-AACC-F882-B71CA3BE3C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924282CD-82D6-8FCF-C64C-B51A8E0A6A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D321254A-9D1B-82F5-D4CD-7B285EDF9B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1D1665A5-EA57-AC13-DDEA-A9149EBDA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EFC46B23-F461-5122-AA4C-29CD4FA11E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63E761B9-01B3-E591-195F-2A9E2B82F0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5E2CC73-6E1D-ECCB-C5A2-56B56BFD6B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BD639E12-792E-F6D9-34DC-D77F39550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9F74BE77-FEAD-35C8-0AF9-513DF441A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8C72345C-879B-7894-AF83-C53B41160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9659C530-0F24-DA2B-6C15-4DFA1BD91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8675AC2C-E318-B880-CDA3-B33CB934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523B7B47-48B9-CD7C-C50D-352FF6C54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07E89A4F-CDCB-26FF-6972-67E667D01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6D7AF618-2BCC-743D-6CC7-2F5DB0EEE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509DD8EC-9CB2-0766-85A9-0A9E96CEA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C587DE32-9D84-303B-9647-17E3F9D6D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8A62B920-653A-05F8-6FED-27981622F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83F530AB-BF4E-0DAB-0C0B-C2CD47ED8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DCB3E3F1-CE7C-C05D-ACEC-56ADD46EE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A5CDEB71-BFB2-B9E4-2D63-0AD805EFD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FC067AD6-C368-13F6-17AE-C012AD573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15601DF0-D14D-2D21-6C16-51AFE5B24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B0C973BF-D682-BA5D-C3C4-115AB8ED7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B51CE84A-9756-135A-9FE9-62E96C223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8D81DD02-3F51-A542-DD05-C4791639A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17998DE2-7C94-7BE5-491A-C414226F0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B86CEE61-CE78-556C-E15E-089DF42B1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E559CC57-BC0B-90AB-FCAD-90EFA9BCD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6C124EDB-18C9-3F08-F706-06E527975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E1484098-5FA1-919A-A1A4-DC243EBB0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677" name="Day_1">
          <a:extLst>
            <a:ext uri="{FF2B5EF4-FFF2-40B4-BE49-F238E27FC236}">
              <a16:creationId xmlns:a16="http://schemas.microsoft.com/office/drawing/2014/main" id="{C48A241A-E31E-02FE-9B94-46AB58F41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678" name="Day_2">
          <a:extLst>
            <a:ext uri="{FF2B5EF4-FFF2-40B4-BE49-F238E27FC236}">
              <a16:creationId xmlns:a16="http://schemas.microsoft.com/office/drawing/2014/main" id="{EE09E69A-EE34-0843-9DDB-9F25816AC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679" name="Day_3">
          <a:extLst>
            <a:ext uri="{FF2B5EF4-FFF2-40B4-BE49-F238E27FC236}">
              <a16:creationId xmlns:a16="http://schemas.microsoft.com/office/drawing/2014/main" id="{D9DFE673-6FC0-097A-1C96-C09CC7E84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680" name="Day_4">
          <a:extLst>
            <a:ext uri="{FF2B5EF4-FFF2-40B4-BE49-F238E27FC236}">
              <a16:creationId xmlns:a16="http://schemas.microsoft.com/office/drawing/2014/main" id="{0F3D8A94-8B65-35EB-780B-507957710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681" name="Day_5">
          <a:extLst>
            <a:ext uri="{FF2B5EF4-FFF2-40B4-BE49-F238E27FC236}">
              <a16:creationId xmlns:a16="http://schemas.microsoft.com/office/drawing/2014/main" id="{E397B301-301F-EFFF-42E4-C163CE299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682" name="Day_6">
          <a:extLst>
            <a:ext uri="{FF2B5EF4-FFF2-40B4-BE49-F238E27FC236}">
              <a16:creationId xmlns:a16="http://schemas.microsoft.com/office/drawing/2014/main" id="{3B582DD8-BD71-541E-68E1-ECCCA21C1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5A0E60E8-95DB-89C0-2BA9-75FBE016BFEF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41C11025-9F40-79D1-A702-AA5092869190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BA0A715A-B5AE-A716-476E-838A78390BD7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7C7048D6-48D6-2C30-E3EB-13681BDE8B9E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91048977-1D08-E7BA-628A-39DEA823A41A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FEA89340-70C0-13B4-08BA-E73F675400E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06B9D69A-F5BA-1FE3-450F-6FCB336ED965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35F1A341-8828-69BD-4D84-21D30B6240B3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03956E3D-B834-4C60-9330-A48DEE10B6E4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FCD3FEEA-7A29-752F-E21E-1C68E1931AAD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65181BFA-F961-441B-15E2-B19919A51C21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6CE2883B-4125-2F20-25AA-A385FD29978F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84172A9D-3699-E7EB-D1D3-17C337A733E1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B1B5F99F-BF1F-479F-D542-8EC87257C32B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0B916FA9-9A91-A974-7717-B7EF5C39C38D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983A477D-FC13-70E6-DDE0-484FA24CFEAE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B9698060-1B48-2CF0-DB31-3AC7440165DF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3DE69684-E15F-DAA4-BEF9-A7A69CB6B568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94B5B8FF-D962-B72F-0032-AE2843D7FB59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17FD354A-9ACA-7F84-5032-CC7E0001BACA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A88F0D61-8AA9-118A-80A1-D8D7177B168B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DE5764CB-208A-5828-1745-FEF8908EF4CA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CE7B6BB6-3E50-FB41-3388-6FC1868F008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01178BAA-5D3B-2B88-2B4A-ED7C090FBDFD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7D38A75D-3D41-7EA6-AEA3-6DB972F10F26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9764A9C1-7752-10A6-F77F-6BBB89170AF6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81DE7FE5-9706-A648-7FF8-9B9D912DC4E9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C361C58E-922D-4CB3-8856-627FF024447E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23992E12-B336-8871-4791-0AA5B699DA21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13134C85-D4BF-F3D0-00E6-46120DFFCC72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DAAB8992-FFCD-8963-F700-5F88BA800F5A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D247CECD-6A7C-0B52-898A-5BA92946A296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AF86CD77-D693-CD38-66F1-EC66BB2AB201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7DA7B39D-8ABF-50DE-A78B-02D0D8186B11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3E4410DD-7DDB-28BC-48AD-DD1D790C5970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5CCBE926-ED09-FEA0-DCFA-5BB083B6DC50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A77813C2-5D82-E3EC-3753-ACFE6581771A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0FA8E513-7933-7B22-1505-42127ED35660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C18FBC70-6C16-E8A8-26BD-08CB5945E7B0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39EA2965-632F-8C40-7007-FA65B600E783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3DDF627B-4A06-2676-B0EC-E327275534CC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EFEECCAF-C86C-193C-F886-7F28494ED341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EAF3F1E2-4649-823C-D7E6-80881039DD11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CF264E6F-BE8D-CE59-228E-23EA2BA70DE7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DC413A56-E5A9-170E-5A0D-8ECFB1B40C8E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2BC74249-BEAF-54D0-1E69-CB4E109580C5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7B8E6E8B-7256-BA12-A619-F97231D6AE8A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31799C35-C743-70FD-A9F4-39AE497436F2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E856E3C7-3235-AA8C-2F0D-00104B8F9934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82127EE0-B3D2-A3AA-95D3-5C3DFB88BD67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B0989555-28BD-B5B8-681C-F01B1995AC70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2E0BCF35-66BC-9F3F-43E7-EDB66F17B4A5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BD19775F-5E7E-B942-4557-812FCB69DAEB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F0CDF552-8D14-E366-AB9F-D88E4B04A3DB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B09D3B29-53F2-C050-7D5C-E2977334D273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E6F35F9B-801E-AEB1-E0FC-E1DBF9FC3832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57E73D8D-8F74-1A64-88C3-7EACA184237B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0FE5B8F2-F16D-0DD3-72BA-C0A2BB48DAC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2AA17C32-CC65-01FF-0894-6CDE98706EFC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CDED09E6-6B9A-FDD1-22DC-3D0230465D83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6A0E4582-5B5D-EF3A-5454-17ED72E11158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3B235574-B942-515D-A6E0-DE724B6977B0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0B993F18-D45A-4E26-6520-48FDB205DE6A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8BB9E648-9BC3-EC69-2F12-74B59627CD48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82AD2E38-0834-B5B0-6825-BFC6E78C1EFC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66410807-2B87-C913-0A4C-51A0DF1B3B97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4419AA17-0803-087F-EB56-05830549D81C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ED84753F-1987-D60C-88AA-322789626565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0690EBC7-E849-4C56-FBBD-A3E363B0BD64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F10F920C-0A84-3299-493C-87592E204351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1BD499C3-C352-64D1-8177-20A2CCFB71DA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67FD4AE9-9ACD-781E-A561-EF56E8B2ADE8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E9C0397E-7A47-A1BC-2276-A5834E32FC0F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5B9F7836-695A-7061-30BD-73EFA4EBDF1C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0D31B867-1349-1F3C-FCAD-72B04294292D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3CE23CCE-A803-5AC7-4D42-BB517644BB78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C187A759-74D9-E0AF-43E3-188DBDDCF2CB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666C5F3F-9346-1FE6-3F45-A11C133D41C1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EE07DE1B-3FA3-05E4-ED01-4FA2A69AEFC7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8C1F18D1-79CF-ABDD-1F9E-5897AB1F378D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0C2D353B-2C13-6146-0816-975A56182AA7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79231C1B-62C4-594A-7F86-BDD8B8ADA2AC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D8C0FCB8-8E66-83B8-C99E-82B77949BBC0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70A18356-302E-711D-8FC6-CCC7010D6422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55F2BAD1-4518-55CC-08D3-3C323643E6A9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35B288DC-EFF5-CEE0-C9B7-2B0866914EC9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7DB0415E-5A0E-CB8B-B553-04FB2B233472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6FFF7A2B-9B6A-B12B-D33F-5EABFABCDE9E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C98C7349-07FF-C486-4856-34F029C003EB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326FD175-4306-D27D-2852-360E3EC19BAD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AF71128C-C090-AB98-37AD-647490047346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7B21EE5D-2CB2-F8C2-6D1F-7EB03B5740E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77D5BE33-2ABC-B830-0BD9-DE879E815E64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5D968F9D-62A3-956C-F551-E85F5407E0F4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7CE29086-AFB8-8C98-F1B1-DC21F4375A65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28C472F8-CA9C-E908-E559-1BCE85AB5426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4978A335-C31D-2B76-BC9B-7F5DB09D0944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15DF6AFE-F194-1917-4004-545D9A9751CB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F5CC2D50-6F28-3A0B-646A-46BF859AB183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71A18979-D32D-C15B-45B4-2608132D6D51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259DCDE3-8401-90A2-E4DB-BE682D63CC52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19AB7573-A1C4-F865-867C-D172350583DA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FFA8491C-4E7C-5F59-44E7-79531AFB2AB5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E71EF9E9-807A-E34C-C6D3-8B4A1A927022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4AE3FD59-FCD2-42B1-9558-7651F43D9997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59A994F8-951A-99F0-089F-A3FFC1518AAC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E2C85B13-CDB9-0498-A1B3-89B28159699B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4CACD893-B27F-E69B-9D86-8639040E3DB3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9E686017-3C06-C2F9-FF04-60653E3EA02C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A54F810B-EFA1-DED0-04EC-ED18A1341585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3EF2968F-6A1C-5F63-6FAB-4A03D26DCB84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0E9EA11D-0283-1972-40EB-DDB93538C8FC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66EA997C-2F7D-3715-D910-3925210FF835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E06547F4-656F-A8C7-F575-D22055FE07B9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2ECAEF9D-9F51-D196-6A89-22E1F95EC911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A43F5D61-5B1D-F26C-8F91-0C3AD3025CBC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20097146-FD69-6208-7F0B-122887A6BB49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108DC231-5505-2BB6-19D8-DA8BE60024BF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80267EA5-B872-442E-A515-83EF2D991C62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7B3C5D89-55E9-9C2A-1B84-CD591287CED8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7998A2E2-03CA-949D-CC68-E8EA475F686F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261C5798-FCD2-6B35-5EA4-A179EC9452AA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8005D23A-E261-5242-1292-769D1CD795CD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18F515F0-0A17-5EB9-1FA3-7D27E0AEBB99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DA37800D-97FF-041F-9961-8308ED0567BC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0AC07019-416B-5A2B-70D7-91D6C587D5E3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3B27E88F-3531-A44D-78EE-C5ADFCAE42C2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98012652-FE46-25B0-45BA-E1A6BD9C5366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3923228F-7D26-FB80-9ADE-A624D3005B13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710E88D4-A318-6035-016E-0ED18024953A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75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A36" sqref="A36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WED</v>
      </c>
      <c r="I1" s="880">
        <f>D4</f>
        <v>36999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WED</v>
      </c>
      <c r="E3" s="843" t="str">
        <f t="shared" si="0"/>
        <v>THU</v>
      </c>
      <c r="F3" s="843" t="str">
        <f t="shared" si="0"/>
        <v>FRI</v>
      </c>
      <c r="G3" s="843" t="str">
        <f t="shared" si="0"/>
        <v>SAT</v>
      </c>
      <c r="H3" s="843" t="str">
        <f t="shared" si="0"/>
        <v>SUN</v>
      </c>
      <c r="I3" s="844" t="str">
        <f t="shared" si="0"/>
        <v>MON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36999</v>
      </c>
      <c r="E4" s="847">
        <f>Weather_Input!A6</f>
        <v>37000</v>
      </c>
      <c r="F4" s="847">
        <f>Weather_Input!A7</f>
        <v>37001</v>
      </c>
      <c r="G4" s="847">
        <f>Weather_Input!A8</f>
        <v>37002</v>
      </c>
      <c r="H4" s="847">
        <f>Weather_Input!A9</f>
        <v>37003</v>
      </c>
      <c r="I4" s="848">
        <f>Weather_Input!A10</f>
        <v>37004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54/35/45</v>
      </c>
      <c r="E5" s="881" t="str">
        <f>TEXT(Weather_Input!B6,"0")&amp;"/"&amp;TEXT(Weather_Input!C6,"0") &amp; "/" &amp; TEXT((Weather_Input!B6+Weather_Input!C6)/2,"0")</f>
        <v>67/50/59</v>
      </c>
      <c r="F5" s="881" t="str">
        <f>TEXT(Weather_Input!B7,"0")&amp;"/"&amp;TEXT(Weather_Input!C7,"0") &amp; "/" &amp; TEXT((Weather_Input!B7+Weather_Input!C7)/2,"0")</f>
        <v>76/56/66</v>
      </c>
      <c r="G5" s="881" t="str">
        <f>TEXT(Weather_Input!B8,"0")&amp;"/"&amp;TEXT(Weather_Input!C8,"0") &amp; "/" &amp; TEXT((Weather_Input!B8+Weather_Input!C8)/2,"0")</f>
        <v>80/55/68</v>
      </c>
      <c r="H5" s="881" t="str">
        <f>TEXT(Weather_Input!B9,"0")&amp;"/"&amp;TEXT(Weather_Input!C9,"0") &amp; "/" &amp; TEXT((Weather_Input!B9+Weather_Input!C9)/2,"0")</f>
        <v>70/49/60</v>
      </c>
      <c r="I5" s="882" t="str">
        <f>TEXT(Weather_Input!B10,"0")&amp;"/"&amp;TEXT(Weather_Input!C10,"0") &amp; "/" &amp; TEXT((Weather_Input!B10+Weather_Input!C10)/2,"0")</f>
        <v>70/49/60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101</v>
      </c>
      <c r="E6" s="850">
        <f ca="1">VLOOKUP(E4,NSG_Sendouts,CELL("Col",NSG_Deliveries!C6),FALSE)/1000</f>
        <v>52</v>
      </c>
      <c r="F6" s="850">
        <f ca="1">VLOOKUP(F4,NSG_Sendouts,CELL("Col",NSG_Deliveries!C7),FALSE)/1000</f>
        <v>45</v>
      </c>
      <c r="G6" s="850">
        <f ca="1">VLOOKUP(G4,NSG_Sendouts,CELL("Col",NSG_Deliveries!C8),FALSE)/1000</f>
        <v>39</v>
      </c>
      <c r="H6" s="850">
        <f ca="1">VLOOKUP(H4,NSG_Sendouts,CELL("Col",NSG_Deliveries!C9),FALSE)/1000</f>
        <v>51</v>
      </c>
      <c r="I6" s="855">
        <f ca="1">VLOOKUP(I4,NSG_Sendouts,CELL("Col",NSG_Deliveries!C10),FALSE)/1000</f>
        <v>53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0</v>
      </c>
      <c r="F12" s="850">
        <f>NSG_Requirements!J9/1000</f>
        <v>0</v>
      </c>
      <c r="G12" s="850">
        <f>NSG_Requirements!J10/1000</f>
        <v>0</v>
      </c>
      <c r="H12" s="850">
        <f>NSG_Requirements!J11/1000</f>
        <v>0</v>
      </c>
      <c r="I12" s="851">
        <f>NSG_Requirements!J12/1000</f>
        <v>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121</v>
      </c>
      <c r="E19" s="859">
        <f t="shared" ca="1" si="1"/>
        <v>52</v>
      </c>
      <c r="F19" s="859">
        <f t="shared" ca="1" si="1"/>
        <v>45</v>
      </c>
      <c r="G19" s="859">
        <f t="shared" ca="1" si="1"/>
        <v>39</v>
      </c>
      <c r="H19" s="859">
        <f t="shared" ca="1" si="1"/>
        <v>51</v>
      </c>
      <c r="I19" s="860">
        <f t="shared" ca="1" si="1"/>
        <v>53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15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5.54</v>
      </c>
      <c r="E25" s="850">
        <f>NSG_Supplies!F8/1000</f>
        <v>0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80.463999999999999</v>
      </c>
      <c r="E32" s="850">
        <f>NSG_Supplies!R8/1000</f>
        <v>61.203000000000003</v>
      </c>
      <c r="F32" s="850">
        <f>NSG_Supplies!R9/1000</f>
        <v>61.118000000000002</v>
      </c>
      <c r="G32" s="850">
        <f>NSG_Supplies!R10/1000</f>
        <v>61.118000000000002</v>
      </c>
      <c r="H32" s="850">
        <f>NSG_Supplies!R11/1000</f>
        <v>61.118000000000002</v>
      </c>
      <c r="I32" s="851">
        <f>NSG_Supplies!R12/1000</f>
        <v>61.118000000000002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121.00399999999999</v>
      </c>
      <c r="E37" s="890">
        <f t="shared" si="2"/>
        <v>81.203000000000003</v>
      </c>
      <c r="F37" s="890">
        <f t="shared" si="2"/>
        <v>81.117999999999995</v>
      </c>
      <c r="G37" s="890">
        <f t="shared" si="2"/>
        <v>81.117999999999995</v>
      </c>
      <c r="H37" s="890">
        <f t="shared" si="2"/>
        <v>81.117999999999995</v>
      </c>
      <c r="I37" s="891">
        <f t="shared" si="2"/>
        <v>81.117999999999995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3.9999999999906777E-3</v>
      </c>
      <c r="E38" s="894">
        <f t="shared" ca="1" si="3"/>
        <v>29.203000000000003</v>
      </c>
      <c r="F38" s="894">
        <f t="shared" ca="1" si="3"/>
        <v>36.117999999999995</v>
      </c>
      <c r="G38" s="894">
        <f t="shared" ca="1" si="3"/>
        <v>42.117999999999995</v>
      </c>
      <c r="H38" s="894">
        <f t="shared" ca="1" si="3"/>
        <v>30.117999999999995</v>
      </c>
      <c r="I38" s="895">
        <f t="shared" ca="1" si="3"/>
        <v>28.117999999999995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0</v>
      </c>
      <c r="E39" s="876">
        <f t="shared" ca="1" si="4"/>
        <v>0</v>
      </c>
      <c r="F39" s="876">
        <f t="shared" ca="1" si="4"/>
        <v>0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29.503</v>
      </c>
      <c r="E40" s="1173">
        <f>NSG_Supplies!S8/1000</f>
        <v>29.503</v>
      </c>
      <c r="F40" s="1173">
        <f>NSG_Supplies!S9/1000</f>
        <v>29.503</v>
      </c>
      <c r="G40" s="1173">
        <f>NSG_Supplies!S10/1000</f>
        <v>29.503</v>
      </c>
      <c r="H40" s="1173">
        <f>NSG_Supplies!S11/1000</f>
        <v>29.503</v>
      </c>
      <c r="I40" s="1174">
        <f>NSG_Supplies!S12/1000</f>
        <v>29.503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6</v>
      </c>
      <c r="E42" s="901">
        <f>Weather_Input!D6</f>
        <v>14</v>
      </c>
      <c r="F42" s="901">
        <f>Weather_Input!D7</f>
        <v>15</v>
      </c>
      <c r="G42" s="902"/>
      <c r="H42" s="897"/>
      <c r="I42" s="897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22" zoomScale="75" workbookViewId="0">
      <selection activeCell="A30" sqref="A30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36999</v>
      </c>
      <c r="G1" s="770" t="str">
        <f>CHOOSE(WEEKDAY(F1),"SUN","MON","TUE","WED","THU","FRI","SAT")</f>
        <v>WED</v>
      </c>
      <c r="H1" s="592" t="s">
        <v>258</v>
      </c>
      <c r="I1" s="593"/>
    </row>
    <row r="2" spans="1:9" ht="15.75">
      <c r="A2" s="258" t="s">
        <v>11</v>
      </c>
      <c r="B2" s="609" t="s">
        <v>696</v>
      </c>
      <c r="C2" s="962">
        <v>45</v>
      </c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75">
      <c r="A4" s="258" t="s">
        <v>11</v>
      </c>
      <c r="B4" s="963">
        <f>Weather_Input!B5</f>
        <v>54</v>
      </c>
      <c r="C4" s="964">
        <f>Weather_Input!C5</f>
        <v>35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75">
      <c r="A5" s="258" t="s">
        <v>635</v>
      </c>
      <c r="B5" s="965"/>
      <c r="C5" s="966">
        <f>PGL_Requirements!H7/1000</f>
        <v>0</v>
      </c>
      <c r="D5" s="620"/>
      <c r="E5" s="302"/>
      <c r="F5" s="620"/>
      <c r="G5" s="607"/>
      <c r="H5" s="302"/>
      <c r="I5" s="296"/>
    </row>
    <row r="6" spans="1:9" ht="15.75">
      <c r="A6" s="262" t="s">
        <v>424</v>
      </c>
      <c r="B6" s="1163" t="s">
        <v>11</v>
      </c>
      <c r="C6" s="967">
        <f>PGL_Deliveries!C5/1000</f>
        <v>605</v>
      </c>
      <c r="D6" s="1163" t="s">
        <v>11</v>
      </c>
      <c r="E6" s="269"/>
      <c r="F6" s="602"/>
      <c r="G6" s="269"/>
      <c r="H6" s="602"/>
      <c r="I6" s="267"/>
    </row>
    <row r="7" spans="1:9" ht="15.75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5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212.08799999999999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71.56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-149.63999999999999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370.31400000000002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10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75" thickBot="1">
      <c r="A18" s="292" t="s">
        <v>573</v>
      </c>
      <c r="B18" s="615" t="s">
        <v>11</v>
      </c>
      <c r="C18" s="1136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5" thickBot="1">
      <c r="A19" s="616" t="s">
        <v>705</v>
      </c>
      <c r="B19" s="617" t="s">
        <v>11</v>
      </c>
      <c r="C19" s="511">
        <f>SUM(C9:C17)-C18</f>
        <v>514.32200000000012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5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90.677999999999884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5" thickBot="1">
      <c r="A24" s="493" t="s">
        <v>432</v>
      </c>
      <c r="B24" s="973" t="s">
        <v>11</v>
      </c>
      <c r="C24" s="974">
        <f>SUM(B54+B56+B57)</f>
        <v>2.25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7.25" thickTop="1" thickBot="1">
      <c r="A25" s="637" t="s">
        <v>433</v>
      </c>
      <c r="B25" s="978" t="s">
        <v>11</v>
      </c>
      <c r="C25" s="979">
        <f>SUM(C22:C24)</f>
        <v>92.927999999999884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75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0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-11.08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-81.846000000000004</v>
      </c>
      <c r="D29" s="986" t="s">
        <v>11</v>
      </c>
      <c r="E29" s="985">
        <f>-PGL_Supplies!AC7/1000</f>
        <v>-81.846000000000004</v>
      </c>
      <c r="F29" s="307"/>
      <c r="G29" s="985">
        <f>-PGL_Supplies!AC7/1000</f>
        <v>-81.846000000000004</v>
      </c>
      <c r="H29" s="514"/>
      <c r="I29" s="987">
        <f>-PGL_Supplies!AC7/1000</f>
        <v>-81.846000000000004</v>
      </c>
      <c r="L29" s="1102"/>
    </row>
    <row r="30" spans="1:12" ht="16.5" thickBot="1">
      <c r="A30" s="326" t="s">
        <v>11</v>
      </c>
      <c r="B30" s="487" t="s">
        <v>11</v>
      </c>
      <c r="C30" s="1187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5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75" thickBot="1">
      <c r="A33" s="1133" t="s">
        <v>4</v>
      </c>
      <c r="B33" s="324">
        <f>PGL_Supplies!Y7/1000</f>
        <v>207.08799999999999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5" thickBot="1">
      <c r="A34" s="559" t="s">
        <v>448</v>
      </c>
      <c r="B34" s="1124">
        <f>+B33+B32-B31</f>
        <v>212.08799999999999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5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0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0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30.4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75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5" thickBot="1">
      <c r="A41" s="559" t="s">
        <v>448</v>
      </c>
      <c r="B41" s="566">
        <f>B40+B37-B36-B38+B39</f>
        <v>71.56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5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75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5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5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5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0.64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5" thickBot="1">
      <c r="A54" s="425" t="s">
        <v>748</v>
      </c>
      <c r="B54" s="324">
        <f>PGL_Requirements!Q7/1000</f>
        <v>2.25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8" t="s">
        <v>457</v>
      </c>
      <c r="B55" s="519">
        <f>-B49+B50+B52+B56+B57-B53-B51</f>
        <v>-149.63999999999999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3.8</v>
      </c>
      <c r="I56" s="1007" t="s">
        <v>11</v>
      </c>
    </row>
    <row r="57" spans="1:9" ht="15.75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366.51400000000001</v>
      </c>
      <c r="I57" s="1007" t="s">
        <v>11</v>
      </c>
    </row>
    <row r="58" spans="1:9" ht="16.5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0</v>
      </c>
      <c r="I58" s="1011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</f>
        <v>0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370.31400000000002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4" t="s">
        <v>699</v>
      </c>
      <c r="G61" s="1015"/>
      <c r="H61" s="1086"/>
      <c r="I61" s="1084">
        <v>0</v>
      </c>
    </row>
    <row r="62" spans="1:9" ht="15.75" thickBot="1">
      <c r="A62" s="425" t="s">
        <v>109</v>
      </c>
      <c r="B62" s="1017">
        <f>PGL_Supplies!AD7/1000</f>
        <v>0</v>
      </c>
      <c r="C62" s="527" t="s">
        <v>11</v>
      </c>
      <c r="D62" s="349"/>
      <c r="E62" s="525"/>
      <c r="F62" s="1016" t="s">
        <v>700</v>
      </c>
      <c r="G62" s="594"/>
      <c r="H62" s="1087" t="s">
        <v>11</v>
      </c>
      <c r="I62" s="1085">
        <f>H57-I59-I61</f>
        <v>366.51400000000001</v>
      </c>
    </row>
    <row r="63" spans="1:9" ht="16.5" thickBot="1">
      <c r="A63" s="799" t="s">
        <v>565</v>
      </c>
      <c r="B63" s="1019">
        <f>+B62+B61-B60+B59</f>
        <v>0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f>PGL_Requirements!H7/1000</f>
        <v>0</v>
      </c>
    </row>
    <row r="64" spans="1:9" ht="15.75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6" t="s">
        <v>787</v>
      </c>
      <c r="G64" s="434"/>
      <c r="H64" s="1116"/>
      <c r="I64" s="1011"/>
    </row>
    <row r="65" spans="1:9" ht="15.75">
      <c r="A65" s="370" t="s">
        <v>739</v>
      </c>
      <c r="B65" s="1029"/>
      <c r="C65" s="1035" t="s">
        <v>11</v>
      </c>
      <c r="D65" s="1035" t="s">
        <v>11</v>
      </c>
      <c r="E65" s="1184" t="s">
        <v>11</v>
      </c>
      <c r="F65" s="1185" t="s">
        <v>3</v>
      </c>
      <c r="H65" s="240"/>
      <c r="I65" s="1183"/>
    </row>
    <row r="66" spans="1:9" ht="16.5" thickBot="1">
      <c r="A66" s="1189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5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5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5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5" thickBot="1">
      <c r="A70" s="1188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WED</v>
      </c>
      <c r="G1" s="1082">
        <f>Weather_Input!A5</f>
        <v>36999</v>
      </c>
      <c r="H1" s="589" t="s">
        <v>258</v>
      </c>
      <c r="I1" s="593"/>
    </row>
    <row r="2" spans="1:9" ht="20.25">
      <c r="A2" s="642" t="s">
        <v>11</v>
      </c>
      <c r="B2" s="793" t="s">
        <v>561</v>
      </c>
      <c r="C2" s="953">
        <v>45</v>
      </c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0.25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54</v>
      </c>
      <c r="C4" s="758">
        <f>Weather_Input!C5</f>
        <v>35</v>
      </c>
      <c r="D4" s="652"/>
      <c r="E4" s="653"/>
      <c r="F4" s="652"/>
      <c r="G4" s="653"/>
      <c r="H4" s="654"/>
      <c r="I4" s="655"/>
    </row>
    <row r="5" spans="1:9" ht="24" thickBot="1">
      <c r="A5" s="656" t="s">
        <v>139</v>
      </c>
      <c r="B5" s="657"/>
      <c r="C5" s="658">
        <f>NSG_Deliveries!C5/1000</f>
        <v>101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4" thickBot="1">
      <c r="A7" s="666" t="s">
        <v>86</v>
      </c>
      <c r="B7" s="657"/>
      <c r="C7" s="763">
        <f>C5-C9-C11-C12</f>
        <v>86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3.25">
      <c r="A11" s="670" t="s">
        <v>503</v>
      </c>
      <c r="B11" s="671"/>
      <c r="C11" s="672">
        <f>B38</f>
        <v>15</v>
      </c>
      <c r="D11" s="673"/>
      <c r="E11" s="674"/>
      <c r="F11" s="673"/>
      <c r="G11" s="673" t="s">
        <v>11</v>
      </c>
      <c r="H11" s="675"/>
      <c r="I11" s="676"/>
    </row>
    <row r="12" spans="1:9" ht="23.25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4" thickBot="1">
      <c r="A19" s="703" t="s">
        <v>433</v>
      </c>
      <c r="B19" s="704"/>
      <c r="C19" s="705">
        <f>C7+C12</f>
        <v>86</v>
      </c>
      <c r="D19" s="706"/>
      <c r="E19" s="707"/>
      <c r="F19" s="706"/>
      <c r="G19" s="706" t="s">
        <v>11</v>
      </c>
      <c r="H19" s="704"/>
      <c r="I19" s="708"/>
    </row>
    <row r="20" spans="1:9" ht="20.25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25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25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25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9" t="s">
        <v>441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25">
      <c r="A25" s="709" t="s">
        <v>442</v>
      </c>
      <c r="B25" s="714"/>
      <c r="C25" s="711">
        <f>-NSG_Supplies!F7/1000</f>
        <v>-5.54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25">
      <c r="A26" s="709" t="s">
        <v>197</v>
      </c>
      <c r="B26" s="717"/>
      <c r="C26" s="711">
        <f>-NSG_Supplies!R7/1000</f>
        <v>-80.463999999999999</v>
      </c>
      <c r="D26" s="718"/>
      <c r="E26" s="711">
        <f>-NSG_Supplies!R7/1000</f>
        <v>-80.463999999999999</v>
      </c>
      <c r="F26" s="718"/>
      <c r="G26" s="711">
        <f>-NSG_Supplies!R7/1000</f>
        <v>-80.463999999999999</v>
      </c>
      <c r="H26" s="717"/>
      <c r="I26" s="776">
        <f>-NSG_Supplies!R7/1000</f>
        <v>-80.463999999999999</v>
      </c>
    </row>
    <row r="27" spans="1:9" ht="20.25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0.25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25">
      <c r="A31" s="784" t="s">
        <v>538</v>
      </c>
      <c r="B31" s="759">
        <f>NSG_Supplies!L7/1000+PGL_Requirements!V7/1000</f>
        <v>15</v>
      </c>
      <c r="C31" s="718"/>
      <c r="D31" s="736"/>
      <c r="E31" s="719"/>
      <c r="F31" s="643"/>
      <c r="G31" s="715"/>
      <c r="H31" s="715"/>
      <c r="I31" s="734"/>
    </row>
    <row r="32" spans="1:9" ht="20.25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25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25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25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25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" thickBot="1">
      <c r="A38" s="741" t="s">
        <v>510</v>
      </c>
      <c r="B38" s="762">
        <f>-B30+B31+B32-B33-B34-B35+B36+B37</f>
        <v>15</v>
      </c>
      <c r="C38" s="643"/>
      <c r="D38" s="742"/>
      <c r="E38" s="743"/>
      <c r="F38" s="643"/>
      <c r="G38" s="715"/>
      <c r="H38" s="715"/>
      <c r="I38" s="734"/>
    </row>
    <row r="39" spans="1:9" ht="2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25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25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25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25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25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25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25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25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25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36999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54</v>
      </c>
      <c r="C5" s="266">
        <f>Weather_Input!C5</f>
        <v>35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605</v>
      </c>
      <c r="C8" s="274">
        <f>NSG_Deliveries!C5/1000</f>
        <v>101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71.56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243.04400000000001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10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57.087999999999994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-382.69200000000001</v>
      </c>
      <c r="C18" s="289">
        <f>-I63</f>
        <v>-15</v>
      </c>
      <c r="D18" s="290" t="s">
        <v>11</v>
      </c>
      <c r="E18" s="289">
        <f>-I63</f>
        <v>-15</v>
      </c>
      <c r="F18" s="290" t="s">
        <v>11</v>
      </c>
      <c r="G18" s="289">
        <f>-I63</f>
        <v>-15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222.30799999999999</v>
      </c>
      <c r="C20" s="295">
        <f>C8+C18+C19</f>
        <v>86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2.25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224.55799999999999</v>
      </c>
      <c r="C23" s="301">
        <f>C20</f>
        <v>86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-81.846000000000004</v>
      </c>
      <c r="C32" s="315">
        <f>-NSG_Supplies!R7/1000</f>
        <v>-80.463999999999999</v>
      </c>
      <c r="D32" s="315">
        <f>B32</f>
        <v>-81.846000000000004</v>
      </c>
      <c r="E32" s="315">
        <f>C32</f>
        <v>-80.463999999999999</v>
      </c>
      <c r="F32" s="315">
        <f>B32</f>
        <v>-81.846000000000004</v>
      </c>
      <c r="G32" s="315">
        <f>C32</f>
        <v>-80.463999999999999</v>
      </c>
      <c r="H32" s="320">
        <f>B32</f>
        <v>-81.846000000000004</v>
      </c>
      <c r="I32" s="321">
        <f>C32</f>
        <v>-80.463999999999999</v>
      </c>
    </row>
    <row r="33" spans="1:9" ht="17.100000000000001" customHeight="1">
      <c r="A33" s="319" t="s">
        <v>394</v>
      </c>
      <c r="B33" s="315">
        <f>-PGL_Supplies!X7/1000</f>
        <v>-5</v>
      </c>
      <c r="C33" s="315">
        <f>-NSG_Supplies!S7/1000</f>
        <v>-29.503</v>
      </c>
      <c r="D33" s="315">
        <f>B33</f>
        <v>-5</v>
      </c>
      <c r="E33" s="315">
        <f>C33</f>
        <v>-29.503</v>
      </c>
      <c r="F33" s="315">
        <f>B33</f>
        <v>-5</v>
      </c>
      <c r="G33" s="315">
        <f>C33</f>
        <v>-29.503</v>
      </c>
      <c r="H33" s="320">
        <f>B33</f>
        <v>-5</v>
      </c>
      <c r="I33" s="321">
        <f>C33</f>
        <v>-29.503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-11.08</v>
      </c>
      <c r="C36" s="315">
        <f>-NSG_Supplies!F7/1000</f>
        <v>-5.54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2.25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2.25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243.04400000000001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243.04400000000001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71.56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15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71.56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15</v>
      </c>
    </row>
    <row r="64" spans="1:9" ht="17.100000000000001" customHeight="1" thickBot="1">
      <c r="A64" s="425" t="s">
        <v>394</v>
      </c>
      <c r="B64" s="324">
        <f>PGL_Supplies!Y7/1000</f>
        <v>207.08799999999999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150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57.087999999999994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WED</v>
      </c>
      <c r="H73" s="406">
        <f>Weather_Input!A5</f>
        <v>36999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75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75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5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5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41.16</v>
      </c>
      <c r="D97" s="602"/>
      <c r="E97" s="614">
        <f>+C97</f>
        <v>41.16</v>
      </c>
      <c r="F97" s="602"/>
      <c r="G97" s="614">
        <f>+C97</f>
        <v>41.16</v>
      </c>
      <c r="H97" s="602"/>
      <c r="I97" s="285">
        <f>+C97</f>
        <v>41.16</v>
      </c>
    </row>
    <row r="98" spans="1:9" ht="15">
      <c r="A98" s="493" t="s">
        <v>60</v>
      </c>
      <c r="B98" s="282" t="s">
        <v>11</v>
      </c>
      <c r="C98" s="623">
        <f>B149</f>
        <v>1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243.04400000000001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207.08799999999999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75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5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5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-5</v>
      </c>
      <c r="C123" s="315">
        <f>-NSG_Supplies!S7/1000</f>
        <v>-29.503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5" thickBot="1">
      <c r="A133" s="559" t="s">
        <v>448</v>
      </c>
      <c r="B133" s="566">
        <f>B126+B127+B130+B131+B132-B125-B128-B129</f>
        <v>41.16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5.75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75" thickBot="1">
      <c r="A140" s="425" t="s">
        <v>394</v>
      </c>
      <c r="B140" s="324">
        <f>PGL_Supplies!V7/1000</f>
        <v>243.04400000000001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5" thickBot="1">
      <c r="A141" s="559" t="s">
        <v>448</v>
      </c>
      <c r="B141" s="561">
        <f>-B135+B136+B137-B138+B139+B140</f>
        <v>243.04400000000001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5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150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75" thickBot="1">
      <c r="A146" s="425" t="s">
        <v>455</v>
      </c>
      <c r="B146" s="324">
        <f>PGL_Supplies!H7/1000</f>
        <v>1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2.25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5" thickBot="1">
      <c r="A149" s="518" t="s">
        <v>457</v>
      </c>
      <c r="B149" s="519">
        <f>B144+B146</f>
        <v>1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75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5" thickBot="1">
      <c r="A151" s="425" t="s">
        <v>216</v>
      </c>
      <c r="B151" s="522">
        <f>PGL_Deliveries!AG5</f>
        <v>16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5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75" thickBot="1">
      <c r="A160" s="425" t="s">
        <v>394</v>
      </c>
      <c r="B160" s="611">
        <f>PGL_Supplies!Y7/1000</f>
        <v>207.08799999999999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5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5" thickBot="1">
      <c r="A162" s="399" t="s">
        <v>457</v>
      </c>
      <c r="B162" s="612">
        <f>B154+B156+B158+B159+B160-B153-B155-B157-B161</f>
        <v>207.08799999999999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.75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37000.140875347221</v>
      </c>
      <c r="F22" s="164" t="s">
        <v>272</v>
      </c>
      <c r="G22" s="191">
        <f ca="1">NOW()</f>
        <v>37000.140875347221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37000.140875347221</v>
      </c>
      <c r="F22" s="164" t="s">
        <v>272</v>
      </c>
      <c r="G22" s="191">
        <f ca="1">NOW()</f>
        <v>37000.140875347221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36999</v>
      </c>
      <c r="C5" s="15"/>
      <c r="D5" s="22" t="s">
        <v>290</v>
      </c>
      <c r="E5" s="23">
        <f>Weather_Input!B5</f>
        <v>54</v>
      </c>
      <c r="F5" s="24" t="s">
        <v>291</v>
      </c>
      <c r="G5" s="25">
        <f>Weather_Input!H5</f>
        <v>24</v>
      </c>
      <c r="H5" s="26" t="s">
        <v>292</v>
      </c>
      <c r="I5" s="27">
        <f ca="1">G5-(VLOOKUP(B5,DD_Normal_Data,CELL("Col",B6),FALSE))</f>
        <v>8</v>
      </c>
    </row>
    <row r="6" spans="1:109" ht="15">
      <c r="A6" s="18"/>
      <c r="B6" s="21"/>
      <c r="C6" s="15"/>
      <c r="D6" s="22" t="s">
        <v>176</v>
      </c>
      <c r="E6" s="23">
        <f>Weather_Input!C5</f>
        <v>35</v>
      </c>
      <c r="F6" s="24" t="s">
        <v>293</v>
      </c>
      <c r="G6" s="25">
        <f>Weather_Input!F5</f>
        <v>292</v>
      </c>
      <c r="H6" s="26" t="s">
        <v>294</v>
      </c>
      <c r="I6" s="27">
        <f ca="1">G6-(VLOOKUP(B5,DD_Normal_Data,CELL("Col",C7),FALSE))</f>
        <v>-52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44.5</v>
      </c>
      <c r="F7" s="24" t="s">
        <v>296</v>
      </c>
      <c r="G7" s="25">
        <f>Weather_Input!G5</f>
        <v>6325</v>
      </c>
      <c r="H7" s="26" t="s">
        <v>296</v>
      </c>
      <c r="I7" s="123">
        <f ca="1">G7-(VLOOKUP(B5,DD_Normal_Data,CELL("Col",D4),FALSE))</f>
        <v>333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MOSTLY SUNNY AND MILD.  LOWER TEMPS ALONG LAKE MICHIGAN WITH LAKE 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BREEZES.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37000</v>
      </c>
      <c r="C10" s="15"/>
      <c r="D10" s="153" t="s">
        <v>290</v>
      </c>
      <c r="E10" s="23">
        <f>Weather_Input!B6</f>
        <v>67</v>
      </c>
      <c r="F10" s="24" t="s">
        <v>291</v>
      </c>
      <c r="G10" s="25">
        <f>IF(E12&lt;65,65-(Weather_Input!B6+Weather_Input!C6)/2,0)</f>
        <v>6.5</v>
      </c>
      <c r="H10" s="26" t="s">
        <v>292</v>
      </c>
      <c r="I10" s="27">
        <f ca="1">G10-(VLOOKUP(B10,DD_Normal_Data,CELL("Col",B11),FALSE))</f>
        <v>-8.5</v>
      </c>
    </row>
    <row r="11" spans="1:109" ht="15">
      <c r="A11" s="18"/>
      <c r="B11" s="21"/>
      <c r="C11" s="15"/>
      <c r="D11" s="22" t="s">
        <v>176</v>
      </c>
      <c r="E11" s="23">
        <f>Weather_Input!C6</f>
        <v>50</v>
      </c>
      <c r="F11" s="24" t="s">
        <v>293</v>
      </c>
      <c r="G11" s="25">
        <f>IF(DAY(B10)=1,G10,G6+G10)</f>
        <v>298.5</v>
      </c>
      <c r="H11" s="30" t="s">
        <v>294</v>
      </c>
      <c r="I11" s="27">
        <f ca="1">G11-(VLOOKUP(B10,DD_Normal_Data,CELL("Col",C12),FALSE))</f>
        <v>-60.5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58.5</v>
      </c>
      <c r="F12" s="24" t="s">
        <v>296</v>
      </c>
      <c r="G12" s="25">
        <f>IF(AND(DAY(B10)=1,MONTH(B10)=8),G10,G7+G10)</f>
        <v>6331.5</v>
      </c>
      <c r="H12" s="26" t="s">
        <v>296</v>
      </c>
      <c r="I12" s="27">
        <f ca="1">G12-(VLOOKUP(B10,DD_Normal_Data,CELL("Col",D9),FALSE))</f>
        <v>324.5</v>
      </c>
    </row>
    <row r="13" spans="1:109" ht="15">
      <c r="A13" s="18"/>
      <c r="B13" s="21"/>
      <c r="C13" s="15"/>
      <c r="D13" s="32" t="str">
        <f>IF(Weather_Input!I6=""," ",Weather_Input!I6)</f>
        <v>BECOMING MOSTLY CLOUDY WITH CHANCE OF SHOWERS AFTER DARK.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37001</v>
      </c>
      <c r="C15" s="15"/>
      <c r="D15" s="22" t="s">
        <v>290</v>
      </c>
      <c r="E15" s="23">
        <f>Weather_Input!B7</f>
        <v>76</v>
      </c>
      <c r="F15" s="24" t="s">
        <v>291</v>
      </c>
      <c r="G15" s="25">
        <f>IF(E17&lt;65,65-(Weather_Input!B7+Weather_Input!C7)/2,0)</f>
        <v>0</v>
      </c>
      <c r="H15" s="26" t="s">
        <v>292</v>
      </c>
      <c r="I15" s="27">
        <f ca="1">G15-(VLOOKUP(B15,DD_Normal_Data,CELL("Col",B16),FALSE))</f>
        <v>-15</v>
      </c>
    </row>
    <row r="16" spans="1:109" ht="15">
      <c r="A16" s="18"/>
      <c r="B16" s="20"/>
      <c r="C16" s="15"/>
      <c r="D16" s="22" t="s">
        <v>176</v>
      </c>
      <c r="E16" s="23">
        <f>Weather_Input!C7</f>
        <v>56</v>
      </c>
      <c r="F16" s="24" t="s">
        <v>293</v>
      </c>
      <c r="G16" s="25">
        <f>IF(DAY(B15)=1,G15,G11+G15)</f>
        <v>298.5</v>
      </c>
      <c r="H16" s="30" t="s">
        <v>294</v>
      </c>
      <c r="I16" s="27">
        <f ca="1">G16-(VLOOKUP(B15,DD_Normal_Data,CELL("Col",C17),FALSE))</f>
        <v>-75.5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66</v>
      </c>
      <c r="F17" s="24" t="s">
        <v>296</v>
      </c>
      <c r="G17" s="25">
        <f>IF(AND(DAY(B15)=1,MONTH(B15)=8),G15,G12+G15)</f>
        <v>6331.5</v>
      </c>
      <c r="H17" s="26" t="s">
        <v>296</v>
      </c>
      <c r="I17" s="27">
        <f ca="1">G17-(VLOOKUP(B15,DD_Normal_Data,CELL("Col",D14),FALSE))</f>
        <v>309.5</v>
      </c>
    </row>
    <row r="18" spans="1:109" ht="15">
      <c r="A18" s="18"/>
      <c r="B18" s="20"/>
      <c r="C18" s="15"/>
      <c r="D18" s="32" t="str">
        <f>IF(Weather_Input!I7=""," ",Weather_Input!I7)</f>
        <v>MOSTLY CLOUDY WITH A 50% CHANCE OF SHOWERS AND T-STORMS.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37002</v>
      </c>
      <c r="C20" s="15"/>
      <c r="D20" s="22" t="s">
        <v>290</v>
      </c>
      <c r="E20" s="23">
        <f>Weather_Input!B8</f>
        <v>80</v>
      </c>
      <c r="F20" s="24" t="s">
        <v>291</v>
      </c>
      <c r="G20" s="25">
        <f>IF(E22&lt;65,65-(Weather_Input!B8+Weather_Input!C8)/2,0)</f>
        <v>0</v>
      </c>
      <c r="H20" s="26" t="s">
        <v>292</v>
      </c>
      <c r="I20" s="27">
        <f ca="1">G20-(VLOOKUP(B20,DD_Normal_Data,CELL("Col",B21),FALSE))</f>
        <v>-14</v>
      </c>
    </row>
    <row r="21" spans="1:109" ht="15">
      <c r="A21" s="18"/>
      <c r="B21" s="21"/>
      <c r="C21" s="15"/>
      <c r="D21" s="22" t="s">
        <v>176</v>
      </c>
      <c r="E21" s="23">
        <f>Weather_Input!C8</f>
        <v>55</v>
      </c>
      <c r="F21" s="24" t="s">
        <v>293</v>
      </c>
      <c r="G21" s="25">
        <f>IF(DAY(B20)=1,G20,G16+G20)</f>
        <v>298.5</v>
      </c>
      <c r="H21" s="30" t="s">
        <v>294</v>
      </c>
      <c r="I21" s="27">
        <f ca="1">G21-(VLOOKUP(B20,DD_Normal_Data,CELL("Col",C22),FALSE))</f>
        <v>-89.5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67.5</v>
      </c>
      <c r="F22" s="24" t="s">
        <v>296</v>
      </c>
      <c r="G22" s="25">
        <f>IF(AND(DAY(B20)=1,MONTH(B20)=8),G20,G17+G20)</f>
        <v>6331.5</v>
      </c>
      <c r="H22" s="26" t="s">
        <v>296</v>
      </c>
      <c r="I22" s="27">
        <f ca="1">G22-(VLOOKUP(B20,DD_Normal_Data,CELL("Col",D19),FALSE))</f>
        <v>295.5</v>
      </c>
    </row>
    <row r="23" spans="1:109" ht="15">
      <c r="A23" s="18"/>
      <c r="B23" s="21"/>
      <c r="C23" s="15"/>
      <c r="D23" s="32" t="str">
        <f>IF(Weather_Input!I8=""," ",Weather_Input!I8)</f>
        <v xml:space="preserve">PARTLY CLOUDY WITH A CHANCE OF SHOWERS AND T-STORMS.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37003</v>
      </c>
      <c r="C25" s="15"/>
      <c r="D25" s="22" t="s">
        <v>290</v>
      </c>
      <c r="E25" s="23">
        <f>Weather_Input!B9</f>
        <v>70</v>
      </c>
      <c r="F25" s="24" t="s">
        <v>291</v>
      </c>
      <c r="G25" s="25">
        <f>IF(E27&lt;65,65-(Weather_Input!B9+Weather_Input!C9)/2,0)</f>
        <v>5.5</v>
      </c>
      <c r="H25" s="26" t="s">
        <v>292</v>
      </c>
      <c r="I25" s="27">
        <f ca="1">G25-(VLOOKUP(B25,DD_Normal_Data,CELL("Col",B26),FALSE))</f>
        <v>-8.5</v>
      </c>
    </row>
    <row r="26" spans="1:109" ht="15">
      <c r="A26" s="18"/>
      <c r="B26" s="21"/>
      <c r="C26" s="15"/>
      <c r="D26" s="22" t="s">
        <v>176</v>
      </c>
      <c r="E26" s="23">
        <f>Weather_Input!C9</f>
        <v>49</v>
      </c>
      <c r="F26" s="24" t="s">
        <v>293</v>
      </c>
      <c r="G26" s="25">
        <f>IF(DAY(B25)=1,G25,G21+G25)</f>
        <v>304</v>
      </c>
      <c r="H26" s="30" t="s">
        <v>294</v>
      </c>
      <c r="I26" s="27">
        <f ca="1">G26-(VLOOKUP(B25,DD_Normal_Data,CELL("Col",C27),FALSE))</f>
        <v>-98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59.5</v>
      </c>
      <c r="F27" s="24" t="s">
        <v>296</v>
      </c>
      <c r="G27" s="25">
        <f>IF(AND(DAY(B25)=1,MONTH(B25)=8),G25,G22+G25)</f>
        <v>6337</v>
      </c>
      <c r="H27" s="26" t="s">
        <v>296</v>
      </c>
      <c r="I27" s="27">
        <f ca="1">G27-(VLOOKUP(B25,DD_Normal_Data,CELL("Col",D24),FALSE))</f>
        <v>287</v>
      </c>
    </row>
    <row r="28" spans="1:109" ht="15">
      <c r="A28" s="18"/>
      <c r="B28" s="20"/>
      <c r="C28" s="15"/>
      <c r="D28" s="32" t="str">
        <f>IF(Weather_Input!I9=""," ",Weather_Input!I9)</f>
        <v>MOSTLY CLOUDY WITH A CHANCE OF SHOWERS AND T-STORMS.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37004</v>
      </c>
      <c r="C30" s="15"/>
      <c r="D30" s="22" t="s">
        <v>290</v>
      </c>
      <c r="E30" s="23">
        <f>Weather_Input!B10</f>
        <v>70</v>
      </c>
      <c r="F30" s="24" t="s">
        <v>291</v>
      </c>
      <c r="G30" s="25">
        <f>IF(E32&lt;65,65-(Weather_Input!B10+Weather_Input!C10)/2,0)</f>
        <v>5.5</v>
      </c>
      <c r="H30" s="26" t="s">
        <v>292</v>
      </c>
      <c r="I30" s="27">
        <f ca="1">G30-(VLOOKUP(B30,DD_Normal_Data,CELL("Col",B31),FALSE))</f>
        <v>-8.5</v>
      </c>
    </row>
    <row r="31" spans="1:109" ht="15">
      <c r="A31" s="15"/>
      <c r="B31" s="15"/>
      <c r="C31" s="15"/>
      <c r="D31" s="22" t="s">
        <v>176</v>
      </c>
      <c r="E31" s="23">
        <f>Weather_Input!C10</f>
        <v>49</v>
      </c>
      <c r="F31" s="24" t="s">
        <v>293</v>
      </c>
      <c r="G31" s="25">
        <f>IF(DAY(B30)=1,G30,G26+G30)</f>
        <v>309.5</v>
      </c>
      <c r="H31" s="30" t="s">
        <v>294</v>
      </c>
      <c r="I31" s="27">
        <f ca="1">G31-(VLOOKUP(B30,DD_Normal_Data,CELL("Col",C32),FALSE))</f>
        <v>-106.5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59.5</v>
      </c>
      <c r="F32" s="24" t="s">
        <v>296</v>
      </c>
      <c r="G32" s="25">
        <f>IF(AND(DAY(B30)=1,MONTH(B30)=8),G30,G27+G30)</f>
        <v>6342.5</v>
      </c>
      <c r="H32" s="26" t="s">
        <v>296</v>
      </c>
      <c r="I32" s="27">
        <f ca="1">G32-(VLOOKUP(B30,DD_Normal_Data,CELL("Col",D29),FALSE))</f>
        <v>278.5</v>
      </c>
    </row>
    <row r="33" spans="1:9" ht="15">
      <c r="A33" s="15"/>
      <c r="B33" s="34"/>
      <c r="C33" s="15"/>
      <c r="D33" s="32" t="str">
        <f>IF(Weather_Input!I10=""," ",Weather_Input!I10)</f>
        <v>MOSTLY CLOUDY WITH A CHANCE OF SHOWERS AND T-STORMS.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36999</v>
      </c>
      <c r="C36" s="91">
        <f>B10</f>
        <v>37000</v>
      </c>
      <c r="D36" s="91">
        <f>B15</f>
        <v>37001</v>
      </c>
      <c r="E36" s="91">
        <f xml:space="preserve">       B20</f>
        <v>37002</v>
      </c>
      <c r="F36" s="91">
        <f>B25</f>
        <v>37003</v>
      </c>
      <c r="G36" s="91">
        <f>B30</f>
        <v>37004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605</v>
      </c>
      <c r="C37" s="41">
        <f ca="1">(VLOOKUP(C36,PGL_Sendouts,(CELL("COL",PGL_Deliveries!C7))))/1000</f>
        <v>370</v>
      </c>
      <c r="D37" s="41">
        <f ca="1">(VLOOKUP(D36,PGL_Sendouts,(CELL("COL",PGL_Deliveries!C8))))/1000</f>
        <v>280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315</v>
      </c>
      <c r="G37" s="41">
        <f ca="1">(VLOOKUP(G36,PGL_Sendouts,(CELL("COL",PGL_Deliveries!C10))))/1000</f>
        <v>330</v>
      </c>
      <c r="H37" s="14"/>
      <c r="I37" s="15"/>
    </row>
    <row r="38" spans="1:9" ht="15">
      <c r="A38" s="15" t="s">
        <v>301</v>
      </c>
      <c r="B38" s="41">
        <f>PGL_6_Day_Report!D30</f>
        <v>757.89</v>
      </c>
      <c r="C38" s="41">
        <f>PGL_6_Day_Report!E30</f>
        <v>560.00149999999996</v>
      </c>
      <c r="D38" s="41">
        <f>PGL_6_Day_Report!F30</f>
        <v>468.41499999999996</v>
      </c>
      <c r="E38" s="41">
        <f>PGL_6_Day_Report!G30</f>
        <v>428.41499999999996</v>
      </c>
      <c r="F38" s="41">
        <f>PGL_6_Day_Report!H30</f>
        <v>503.41499999999996</v>
      </c>
      <c r="G38" s="41">
        <f>PGL_6_Day_Report!I30</f>
        <v>518.41499999999996</v>
      </c>
      <c r="H38" s="14"/>
      <c r="I38" s="15"/>
    </row>
    <row r="39" spans="1:9" ht="15">
      <c r="A39" s="42" t="s">
        <v>109</v>
      </c>
      <c r="B39" s="41">
        <f>SUM(PGL_Supplies!Z7:AE7)/1000</f>
        <v>489.52</v>
      </c>
      <c r="C39" s="41">
        <f>SUM(PGL_Supplies!Z8:AE8)/1000</f>
        <v>557.93399999999997</v>
      </c>
      <c r="D39" s="41">
        <f>SUM(PGL_Supplies!Z9:AE9)/1000</f>
        <v>557.93399999999997</v>
      </c>
      <c r="E39" s="41">
        <f>SUM(PGL_Supplies!Z10:AE10)/1000</f>
        <v>557.93399999999997</v>
      </c>
      <c r="F39" s="41">
        <f>SUM(PGL_Supplies!Z11:AE11)/1000</f>
        <v>557.93399999999997</v>
      </c>
      <c r="G39" s="41">
        <f>SUM(PGL_Supplies!Z12:AE12)/1000</f>
        <v>557.93399999999997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0.64</v>
      </c>
      <c r="C41" s="41">
        <f>SUM(PGL_Requirements!R7:U7)/1000</f>
        <v>0.64</v>
      </c>
      <c r="D41" s="41">
        <f>SUM(PGL_Requirements!R7:U7)/1000</f>
        <v>0.64</v>
      </c>
      <c r="E41" s="41">
        <f>SUM(PGL_Requirements!R7:U7)/1000</f>
        <v>0.64</v>
      </c>
      <c r="F41" s="41">
        <f>SUM(PGL_Requirements!R7:U7)/1000</f>
        <v>0.64</v>
      </c>
      <c r="G41" s="41">
        <f>SUM(PGL_Requirements!R7:U7)/1000</f>
        <v>0.64</v>
      </c>
      <c r="H41" s="14"/>
      <c r="I41" s="15"/>
    </row>
    <row r="42" spans="1:9" ht="15">
      <c r="A42" s="15" t="s">
        <v>132</v>
      </c>
      <c r="B42" s="41">
        <f>PGL_Supplies!V7/1000</f>
        <v>243.04400000000001</v>
      </c>
      <c r="C42" s="41">
        <f>PGL_Supplies!V8/1000</f>
        <v>243.04400000000001</v>
      </c>
      <c r="D42" s="41">
        <f>PGL_Supplies!V9/1000</f>
        <v>243.04400000000001</v>
      </c>
      <c r="E42" s="41">
        <f>PGL_Supplies!V10/1000</f>
        <v>243.04400000000001</v>
      </c>
      <c r="F42" s="41">
        <f>PGL_Supplies!V11/1000</f>
        <v>243.04400000000001</v>
      </c>
      <c r="G42" s="41">
        <f>PGL_Supplies!V12/1000</f>
        <v>243.04400000000001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36999</v>
      </c>
      <c r="C44" s="91">
        <f t="shared" si="0"/>
        <v>37000</v>
      </c>
      <c r="D44" s="91">
        <f t="shared" si="0"/>
        <v>37001</v>
      </c>
      <c r="E44" s="91">
        <f t="shared" si="0"/>
        <v>37002</v>
      </c>
      <c r="F44" s="91">
        <f t="shared" si="0"/>
        <v>37003</v>
      </c>
      <c r="G44" s="91">
        <f t="shared" si="0"/>
        <v>37004</v>
      </c>
      <c r="H44" s="14"/>
      <c r="I44" s="15"/>
    </row>
    <row r="45" spans="1:9" ht="15">
      <c r="A45" s="15" t="s">
        <v>56</v>
      </c>
      <c r="B45" s="41">
        <f ca="1">NSG_6_Day_Report!D6</f>
        <v>101</v>
      </c>
      <c r="C45" s="41">
        <f ca="1">NSG_6_Day_Report!E6</f>
        <v>52</v>
      </c>
      <c r="D45" s="41">
        <f ca="1">NSG_6_Day_Report!F6</f>
        <v>45</v>
      </c>
      <c r="E45" s="41">
        <f ca="1">NSG_6_Day_Report!G6</f>
        <v>39</v>
      </c>
      <c r="F45" s="41">
        <f ca="1">NSG_6_Day_Report!H6</f>
        <v>51</v>
      </c>
      <c r="G45" s="41">
        <f ca="1">NSG_6_Day_Report!I6</f>
        <v>53</v>
      </c>
      <c r="H45" s="14"/>
      <c r="I45" s="15"/>
    </row>
    <row r="46" spans="1:9" ht="15">
      <c r="A46" s="42" t="s">
        <v>301</v>
      </c>
      <c r="B46" s="41">
        <f ca="1">NSG_6_Day_Report!D19</f>
        <v>121</v>
      </c>
      <c r="C46" s="41">
        <f ca="1">NSG_6_Day_Report!E19</f>
        <v>52</v>
      </c>
      <c r="D46" s="41">
        <f ca="1">NSG_6_Day_Report!F19</f>
        <v>45</v>
      </c>
      <c r="E46" s="41">
        <f ca="1">NSG_6_Day_Report!G19</f>
        <v>39</v>
      </c>
      <c r="F46" s="41">
        <f ca="1">NSG_6_Day_Report!H19</f>
        <v>51</v>
      </c>
      <c r="G46" s="41">
        <f ca="1">NSG_6_Day_Report!I19</f>
        <v>53</v>
      </c>
      <c r="H46" s="14"/>
      <c r="I46" s="15"/>
    </row>
    <row r="47" spans="1:9" ht="15">
      <c r="A47" s="42" t="s">
        <v>109</v>
      </c>
      <c r="B47" s="41">
        <f>SUM(NSG_Supplies!P7:R7)/1000</f>
        <v>100.464</v>
      </c>
      <c r="C47" s="41">
        <f>SUM(NSG_Supplies!P8:R8)/1000</f>
        <v>81.203000000000003</v>
      </c>
      <c r="D47" s="41">
        <f>SUM(NSG_Supplies!P9:R9)/1000</f>
        <v>81.117999999999995</v>
      </c>
      <c r="E47" s="41">
        <f>SUM(NSG_Supplies!P10:R10)/1000</f>
        <v>81.117999999999995</v>
      </c>
      <c r="F47" s="41">
        <f>SUM(NSG_Supplies!P11:R11)/1000</f>
        <v>81.117999999999995</v>
      </c>
      <c r="G47" s="41">
        <f>SUM(NSG_Supplies!P12:R12)/1000</f>
        <v>81.117999999999995</v>
      </c>
      <c r="H47" s="14"/>
      <c r="I47" s="15"/>
    </row>
    <row r="48" spans="1:9" ht="15">
      <c r="A48" s="42" t="s">
        <v>302</v>
      </c>
      <c r="B48" s="41">
        <f>SUM(NSG_Supplies!I7:M7)/1000</f>
        <v>15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29.503</v>
      </c>
      <c r="C50" s="41">
        <f>NSG_Supplies!S8/1000</f>
        <v>29.503</v>
      </c>
      <c r="D50" s="41">
        <f>NSG_Supplies!S9/1000</f>
        <v>29.503</v>
      </c>
      <c r="E50" s="41">
        <f>NSG_Supplies!S10/1000</f>
        <v>29.503</v>
      </c>
      <c r="F50" s="41">
        <f>NSG_Supplies!S11/1000</f>
        <v>29.503</v>
      </c>
      <c r="G50" s="41">
        <f>NSG_Supplies!S12/1000</f>
        <v>29.503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36999</v>
      </c>
      <c r="C52" s="91">
        <f t="shared" si="1"/>
        <v>37000</v>
      </c>
      <c r="D52" s="91">
        <f t="shared" si="1"/>
        <v>37001</v>
      </c>
      <c r="E52" s="91">
        <f t="shared" si="1"/>
        <v>37002</v>
      </c>
      <c r="F52" s="91">
        <f t="shared" si="1"/>
        <v>37003</v>
      </c>
      <c r="G52" s="91">
        <f t="shared" si="1"/>
        <v>37004</v>
      </c>
      <c r="H52" s="14"/>
      <c r="I52" s="15"/>
    </row>
    <row r="53" spans="1:9" ht="15">
      <c r="A53" s="94" t="s">
        <v>305</v>
      </c>
      <c r="B53" s="41">
        <f>PGL_Requirements!P7/1000</f>
        <v>150</v>
      </c>
      <c r="C53" s="41">
        <f>PGL_Requirements!P8/1000</f>
        <v>185</v>
      </c>
      <c r="D53" s="41">
        <f>PGL_Requirements!P9/1000</f>
        <v>185</v>
      </c>
      <c r="E53" s="41">
        <f>PGL_Requirements!P10/1000</f>
        <v>185</v>
      </c>
      <c r="F53" s="41">
        <f>PGL_Requirements!P11/1000</f>
        <v>185</v>
      </c>
      <c r="G53" s="41">
        <f>PGL_Requirements!P12/1000</f>
        <v>185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0"/>
    </row>
    <row r="3" spans="1:8" ht="15.75" thickBot="1">
      <c r="A3" s="98" t="s">
        <v>311</v>
      </c>
    </row>
    <row r="4" spans="1:8">
      <c r="A4" s="99"/>
      <c r="B4" s="1141" t="str">
        <f>Six_Day_Summary!A10</f>
        <v>Thursday</v>
      </c>
      <c r="C4" s="1142" t="str">
        <f>Six_Day_Summary!A15</f>
        <v>Friday</v>
      </c>
      <c r="D4" s="1142" t="str">
        <f>Six_Day_Summary!A20</f>
        <v>Saturday</v>
      </c>
      <c r="E4" s="1142" t="str">
        <f>Six_Day_Summary!A25</f>
        <v>Sunday</v>
      </c>
      <c r="F4" s="1143" t="str">
        <f>Six_Day_Summary!A30</f>
        <v>Monday</v>
      </c>
      <c r="G4" s="100"/>
    </row>
    <row r="5" spans="1:8">
      <c r="A5" s="103" t="s">
        <v>312</v>
      </c>
      <c r="B5" s="1144">
        <f>Weather_Input!A6</f>
        <v>37000</v>
      </c>
      <c r="C5" s="1145">
        <f>Weather_Input!A7</f>
        <v>37001</v>
      </c>
      <c r="D5" s="1145">
        <f>Weather_Input!A8</f>
        <v>37002</v>
      </c>
      <c r="E5" s="1145">
        <f>Weather_Input!A9</f>
        <v>37003</v>
      </c>
      <c r="F5" s="1146">
        <f>Weather_Input!A10</f>
        <v>37004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179.55699999999999</v>
      </c>
      <c r="C6" s="1147">
        <f>PGL_Supplies!AC9/1000+PGL_Supplies!L9/1000-PGL_Requirements!O9/1000+C15-PGL_Requirements!T9/1000</f>
        <v>179.55699999999999</v>
      </c>
      <c r="D6" s="1147">
        <f>PGL_Supplies!AC10/1000+PGL_Supplies!L10/1000-PGL_Requirements!O10/1000+D15-PGL_Requirements!T10/1000</f>
        <v>179.55699999999999</v>
      </c>
      <c r="E6" s="1147">
        <f>PGL_Supplies!AC11/1000+PGL_Supplies!L11/1000-PGL_Requirements!O11/1000+E15-PGL_Requirements!T11/1000</f>
        <v>179.55699999999999</v>
      </c>
      <c r="F6" s="1148">
        <f>PGL_Supplies!AC12/1000+PGL_Supplies!L12/1000-PGL_Requirements!O12/1000+F15-PGL_Requirements!T12/1000</f>
        <v>179.55699999999999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90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75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Thursday</v>
      </c>
      <c r="C21" s="1157" t="str">
        <f t="shared" si="0"/>
        <v>Friday</v>
      </c>
      <c r="D21" s="1157" t="str">
        <f t="shared" si="0"/>
        <v>Saturday</v>
      </c>
      <c r="E21" s="1157" t="str">
        <f t="shared" si="0"/>
        <v>Sunday</v>
      </c>
      <c r="F21" s="1158" t="str">
        <f t="shared" si="0"/>
        <v>Monday</v>
      </c>
      <c r="G21" s="100"/>
    </row>
    <row r="22" spans="1:7">
      <c r="A22" s="107" t="s">
        <v>312</v>
      </c>
      <c r="B22" s="1159">
        <f t="shared" si="0"/>
        <v>37000</v>
      </c>
      <c r="C22" s="1159">
        <f t="shared" si="0"/>
        <v>37001</v>
      </c>
      <c r="D22" s="1159">
        <f t="shared" si="0"/>
        <v>37002</v>
      </c>
      <c r="E22" s="1159">
        <f t="shared" si="0"/>
        <v>37003</v>
      </c>
      <c r="F22" s="1160">
        <f t="shared" si="0"/>
        <v>37004</v>
      </c>
      <c r="G22" s="100"/>
    </row>
    <row r="23" spans="1:7">
      <c r="A23" s="100" t="s">
        <v>313</v>
      </c>
      <c r="B23" s="1153">
        <f>NSG_Supplies!R8/1000+NSG_Supplies!F8/1000-NSG_Requirements!H8/1000</f>
        <v>61.203000000000003</v>
      </c>
      <c r="C23" s="1153">
        <f>NSG_Supplies!R9/1000+NSG_Supplies!F9/1000-NSG_Requirements!H9/1000</f>
        <v>61.118000000000002</v>
      </c>
      <c r="D23" s="1153">
        <f>NSG_Supplies!R10/1000+NSG_Supplies!F10/1000-NSG_Requirements!H10/1000</f>
        <v>61.118000000000002</v>
      </c>
      <c r="E23" s="1153">
        <f>NSG_Supplies!R12/1000+NSG_Supplies!F11/1000-NSG_Requirements!H11/1000</f>
        <v>61.118000000000002</v>
      </c>
      <c r="F23" s="1148">
        <f>NSG_Supplies!R12/1000+NSG_Supplies!F12/1000-NSG_Requirements!H12/1000</f>
        <v>61.118000000000002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75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0" t="s">
        <v>382</v>
      </c>
      <c r="C1" s="909">
        <f>Weather_Input!A6</f>
        <v>37000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0</v>
      </c>
      <c r="E4" s="802"/>
      <c r="F4" s="172" t="s">
        <v>552</v>
      </c>
      <c r="G4" s="60"/>
      <c r="H4" s="154">
        <f>PGL_Requirements!P8/1000</f>
        <v>185</v>
      </c>
      <c r="I4" s="176">
        <f>AVERAGE(H4/1.025)</f>
        <v>180.48780487804879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7.708333333333333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337.21699999999998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144.90899999999999</v>
      </c>
      <c r="D11" s="789"/>
      <c r="E11" s="1130"/>
      <c r="F11" s="435" t="s">
        <v>379</v>
      </c>
      <c r="G11" s="447">
        <f>G8+G10</f>
        <v>337.21699999999998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144.90899999999999</v>
      </c>
      <c r="D14" s="438"/>
      <c r="E14" s="440">
        <f>AVERAGE(C14/24)</f>
        <v>6.0378749999999997</v>
      </c>
      <c r="F14" s="782" t="s">
        <v>555</v>
      </c>
      <c r="G14" s="448">
        <v>140</v>
      </c>
      <c r="H14" s="438"/>
      <c r="I14" s="440">
        <f>AVERAGE(G14/24)</f>
        <v>5.833333333333333</v>
      </c>
    </row>
    <row r="15" spans="1:11" ht="15.75" customHeight="1" thickTop="1" thickBot="1">
      <c r="B15" s="172" t="s">
        <v>765</v>
      </c>
      <c r="C15" s="154">
        <f>PGL_Supplies!Z8/1000</f>
        <v>41.16</v>
      </c>
      <c r="D15" s="60"/>
      <c r="E15" s="161"/>
      <c r="F15" s="782" t="s">
        <v>564</v>
      </c>
      <c r="G15" s="447">
        <f>SUM(G11)-G14</f>
        <v>197.21699999999998</v>
      </c>
      <c r="H15" s="438" t="s">
        <v>11</v>
      </c>
      <c r="I15" s="440">
        <f>AVERAGE(G15/24)</f>
        <v>8.2173749999999988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0</v>
      </c>
      <c r="E16" s="161"/>
      <c r="F16" s="782" t="s">
        <v>575</v>
      </c>
      <c r="G16" s="448">
        <f>PGL_Requirements!H8/1000</f>
        <v>3.173</v>
      </c>
      <c r="H16" s="448" t="s">
        <v>11</v>
      </c>
      <c r="I16" s="440">
        <f>AVERAGE(G16/24)</f>
        <v>0.13220833333333334</v>
      </c>
    </row>
    <row r="17" spans="1:9" ht="15.75" customHeight="1" thickTop="1" thickBot="1">
      <c r="B17" s="435" t="s">
        <v>379</v>
      </c>
      <c r="C17" s="447">
        <f>SUM(C15:C16)-SUM(D15:D16)</f>
        <v>41.16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30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71.16</v>
      </c>
      <c r="D20" s="441" t="s">
        <v>11</v>
      </c>
      <c r="E20" s="440">
        <f>AVERAGE(C20/24)</f>
        <v>2.9649999999999999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0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17" workbookViewId="0">
      <selection activeCell="C39" sqref="C39"/>
    </sheetView>
  </sheetViews>
  <sheetFormatPr defaultRowHeight="11.25"/>
  <cols>
    <col min="1" max="1" width="8.6640625" style="1045" customWidth="1"/>
    <col min="2" max="2" width="8.109375" style="1045" customWidth="1"/>
    <col min="3" max="3" width="7.88671875" style="1045" customWidth="1"/>
    <col min="4" max="4" width="5.88671875" style="1045" customWidth="1"/>
    <col min="5" max="5" width="4.44140625" style="1045" customWidth="1"/>
    <col min="6" max="6" width="5.21875" style="1045" customWidth="1"/>
    <col min="7" max="7" width="9" style="1045" customWidth="1"/>
    <col min="8" max="11" width="8.88671875" style="1045"/>
    <col min="12" max="12" width="14.88671875" style="1045" customWidth="1"/>
    <col min="13" max="13" width="5.6640625" style="1045" customWidth="1"/>
    <col min="14" max="16384" width="8.88671875" style="1045"/>
  </cols>
  <sheetData>
    <row r="1" spans="1:22" ht="22.5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37000</v>
      </c>
      <c r="I1" s="932"/>
      <c r="J1" s="934"/>
      <c r="K1" s="934"/>
    </row>
    <row r="2" spans="1:22" ht="16.5" customHeight="1">
      <c r="A2" s="952" t="s">
        <v>687</v>
      </c>
      <c r="C2" s="1046">
        <v>274</v>
      </c>
      <c r="F2" s="1047">
        <v>278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20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140</v>
      </c>
      <c r="G7" s="935"/>
      <c r="H7" s="933"/>
      <c r="U7" s="934"/>
      <c r="V7" s="933"/>
    </row>
    <row r="8" spans="1:22" ht="14.45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5" customHeight="1">
      <c r="A9" s="954">
        <f>PGL_Supplies!I8/1000</f>
        <v>10</v>
      </c>
      <c r="H9" s="954">
        <v>0</v>
      </c>
      <c r="I9" s="1051"/>
      <c r="K9" s="932" t="s">
        <v>691</v>
      </c>
      <c r="L9" s="954">
        <f>NSG_Deliveries!C6/1000</f>
        <v>52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5" customHeight="1">
      <c r="A11" s="954">
        <f>Billy_Sheet!C20</f>
        <v>71.16</v>
      </c>
      <c r="B11" s="1051"/>
      <c r="H11" s="954">
        <f>NSG_Supplies!U8/1000</f>
        <v>0</v>
      </c>
      <c r="K11" s="935" t="s">
        <v>692</v>
      </c>
      <c r="L11" s="960">
        <f>SUM(K4+K17+K19+H11+H9-L9)</f>
        <v>29.203000000000003</v>
      </c>
      <c r="N11" s="935"/>
      <c r="O11" s="960"/>
      <c r="U11" s="934"/>
      <c r="V11" s="948"/>
    </row>
    <row r="12" spans="1:22" ht="14.45" customHeight="1">
      <c r="A12" s="932" t="s">
        <v>753</v>
      </c>
      <c r="H12" s="954"/>
      <c r="U12" s="934"/>
      <c r="V12" s="954"/>
    </row>
    <row r="13" spans="1:22" ht="14.45" customHeight="1">
      <c r="A13" s="1049">
        <f>PGL_Supplies!Y8/1000</f>
        <v>144.90899999999999</v>
      </c>
      <c r="H13" s="954"/>
      <c r="U13" s="934"/>
      <c r="V13" s="954"/>
    </row>
    <row r="14" spans="1:22" ht="14.45" customHeight="1">
      <c r="H14" s="954"/>
      <c r="U14" s="934"/>
      <c r="V14" s="954"/>
    </row>
    <row r="15" spans="1:22" ht="15.6" customHeight="1">
      <c r="B15" s="1045" t="s">
        <v>11</v>
      </c>
      <c r="C15" s="1052">
        <v>293</v>
      </c>
      <c r="F15" s="1052">
        <v>293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334</v>
      </c>
      <c r="D18" s="1054"/>
      <c r="E18" s="1054"/>
      <c r="F18" s="1047">
        <v>801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61.203000000000003</v>
      </c>
      <c r="N19" s="1057"/>
    </row>
    <row r="20" spans="1:17" ht="17.25" customHeight="1">
      <c r="A20" s="954">
        <f>Billy_Sheet!G15</f>
        <v>197.21699999999998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</v>
      </c>
      <c r="H26" s="935"/>
      <c r="I26" s="935"/>
      <c r="J26" s="935" t="s">
        <v>580</v>
      </c>
      <c r="K26" s="1059">
        <f>PGL_Deliveries!C6/1000</f>
        <v>370</v>
      </c>
      <c r="L26" s="932" t="s">
        <v>691</v>
      </c>
      <c r="M26" s="954">
        <f>NSG_Deliveries!C6/1000</f>
        <v>52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376.11299999999994</v>
      </c>
      <c r="L28" s="935" t="s">
        <v>745</v>
      </c>
      <c r="M28" s="960">
        <f>SUM(J2+K17+K19+H11+H9-M26)</f>
        <v>29.203000000000003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36999</v>
      </c>
      <c r="G29" s="954">
        <f>PGL_Requirements!H7/1000</f>
        <v>0</v>
      </c>
      <c r="H29" s="933"/>
      <c r="J29" s="935" t="s">
        <v>695</v>
      </c>
      <c r="K29" s="954">
        <f>PGL_Supplies!AC8/1000+PGL_Supplies!L8/1000-PGL_Requirements!O8/1000</f>
        <v>179.55699999999999</v>
      </c>
    </row>
    <row r="30" spans="1:17" ht="10.5" customHeight="1">
      <c r="A30" s="937"/>
      <c r="B30" s="954"/>
      <c r="C30" s="935"/>
      <c r="D30" s="954"/>
      <c r="F30" s="1112">
        <f>PGL_Requirements!A8</f>
        <v>37000</v>
      </c>
      <c r="G30" s="954">
        <f>PGL_Requirements!H8/1000</f>
        <v>3.173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185.66999999999996</v>
      </c>
    </row>
    <row r="32" spans="1:17">
      <c r="A32" s="954">
        <f>PGL_Supplies!H8/1000</f>
        <v>1</v>
      </c>
      <c r="G32" s="954">
        <f>PGL_Requirements!P8/1000</f>
        <v>185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338</v>
      </c>
      <c r="F38" s="1052">
        <v>752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564.28599999999994</v>
      </c>
      <c r="B40" s="948"/>
      <c r="C40" s="947"/>
      <c r="D40" s="948"/>
      <c r="E40" s="948"/>
      <c r="F40" s="1062"/>
      <c r="G40" s="1062">
        <f>SUM(G30:G35)</f>
        <v>188.173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376.11299999999994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285.5</v>
      </c>
      <c r="E45" s="1067"/>
      <c r="F45" s="1068">
        <v>6.7000000000000004E-2</v>
      </c>
      <c r="G45" s="1069">
        <f>(C45-D45)*F45</f>
        <v>8.3414999999999999</v>
      </c>
      <c r="H45" s="1069">
        <f>(D45-B45)*F45</f>
        <v>2.3785000000000003</v>
      </c>
      <c r="I45" s="954"/>
      <c r="J45" s="1070"/>
    </row>
    <row r="46" spans="1:11">
      <c r="A46" s="934" t="s">
        <v>672</v>
      </c>
      <c r="B46" s="1071">
        <v>781</v>
      </c>
      <c r="C46" s="1065">
        <v>781</v>
      </c>
      <c r="D46" s="1066">
        <f>SUM(F18+F38)/2</f>
        <v>776.5</v>
      </c>
      <c r="E46" s="1067"/>
      <c r="F46" s="1068">
        <v>0.13900000000000001</v>
      </c>
      <c r="G46" s="1069">
        <f>(C46-D46)*F46</f>
        <v>0.62550000000000006</v>
      </c>
      <c r="H46" s="1069">
        <f>(D46-B46)*F46</f>
        <v>-0.62550000000000006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283.5</v>
      </c>
      <c r="E47" s="1067"/>
      <c r="F47" s="1068">
        <v>0.14099999999999999</v>
      </c>
      <c r="G47" s="1069">
        <f>(C47-D47)*F47</f>
        <v>17.836499999999997</v>
      </c>
      <c r="H47" s="1069">
        <f>(D47-B47)*F47</f>
        <v>4.7234999999999996</v>
      </c>
      <c r="I47" s="954"/>
    </row>
    <row r="48" spans="1:11">
      <c r="A48" s="934" t="s">
        <v>674</v>
      </c>
      <c r="B48" s="1071">
        <v>290</v>
      </c>
      <c r="C48" s="1065">
        <v>750</v>
      </c>
      <c r="D48" s="1066">
        <f>SUM(C18+C38)/2</f>
        <v>336</v>
      </c>
      <c r="E48" s="1067"/>
      <c r="F48" s="1068">
        <v>0.161</v>
      </c>
      <c r="G48" s="1069">
        <f>(C48-D48)*F48</f>
        <v>66.653999999999996</v>
      </c>
      <c r="H48" s="1069">
        <f>(D48-B48)*F48</f>
        <v>7.4060000000000006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93.457499999999996</v>
      </c>
      <c r="H49" s="1069">
        <f>SUM(H45:H48)</f>
        <v>13.8825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36999</v>
      </c>
      <c r="B5" s="11">
        <v>54</v>
      </c>
      <c r="C5" s="49">
        <v>35</v>
      </c>
      <c r="D5" s="49">
        <v>6</v>
      </c>
      <c r="E5" s="11" t="s">
        <v>793</v>
      </c>
      <c r="F5" s="11">
        <v>292</v>
      </c>
      <c r="G5" s="11">
        <v>6325</v>
      </c>
      <c r="H5" s="11">
        <v>24</v>
      </c>
      <c r="I5" s="911" t="s">
        <v>794</v>
      </c>
      <c r="J5" s="911" t="s">
        <v>795</v>
      </c>
      <c r="K5" s="11">
        <v>4</v>
      </c>
      <c r="L5" s="11">
        <v>1</v>
      </c>
      <c r="N5" s="15" t="str">
        <f>I5&amp;" "&amp;I5</f>
        <v xml:space="preserve">MOSTLY SUNNY AND MILD.  LOWER TEMPS ALONG LAKE MICHIGAN WITH LAKE   MOSTLY SUNNY AND MILD.  LOWER TEMPS ALONG LAKE MICHIGAN WITH LAKE  </v>
      </c>
      <c r="AE5" s="15">
        <v>1</v>
      </c>
      <c r="AH5" s="15" t="s">
        <v>34</v>
      </c>
    </row>
    <row r="6" spans="1:34" ht="16.5" customHeight="1">
      <c r="A6" s="88">
        <f>A5+1</f>
        <v>37000</v>
      </c>
      <c r="B6" s="11">
        <v>67</v>
      </c>
      <c r="C6" s="49">
        <v>50</v>
      </c>
      <c r="D6" s="49">
        <v>14</v>
      </c>
      <c r="E6" s="11" t="s">
        <v>11</v>
      </c>
      <c r="F6" s="11" t="s">
        <v>11</v>
      </c>
      <c r="G6" s="11"/>
      <c r="H6" s="11" t="s">
        <v>11</v>
      </c>
      <c r="I6" s="911" t="s">
        <v>796</v>
      </c>
      <c r="J6" s="911" t="s">
        <v>11</v>
      </c>
      <c r="K6" s="11">
        <v>1</v>
      </c>
      <c r="L6" s="11" t="s">
        <v>633</v>
      </c>
      <c r="N6" s="15" t="str">
        <f>I6&amp;" "&amp;J6</f>
        <v xml:space="preserve">BECOMING MOSTLY CLOUDY WITH CHANCE OF SHOWERS AFTER DARK.  </v>
      </c>
      <c r="AE6" s="15">
        <v>1</v>
      </c>
      <c r="AH6" s="15" t="s">
        <v>35</v>
      </c>
    </row>
    <row r="7" spans="1:34" ht="16.5" customHeight="1">
      <c r="A7" s="88">
        <f>A6+1</f>
        <v>37001</v>
      </c>
      <c r="B7" s="11">
        <v>76</v>
      </c>
      <c r="C7" s="49">
        <v>56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911" t="s">
        <v>797</v>
      </c>
      <c r="J7" s="911" t="s">
        <v>11</v>
      </c>
      <c r="K7" s="11">
        <v>2</v>
      </c>
      <c r="L7" s="11" t="s">
        <v>22</v>
      </c>
      <c r="N7" s="15" t="str">
        <f>I7&amp;" "&amp;J7</f>
        <v xml:space="preserve">MOSTLY CLOUDY WITH A 50% CHANCE OF SHOWERS AND T-STORMS.  </v>
      </c>
    </row>
    <row r="8" spans="1:34" ht="16.5" customHeight="1">
      <c r="A8" s="88">
        <f>A7+1</f>
        <v>37002</v>
      </c>
      <c r="B8" s="11">
        <v>80</v>
      </c>
      <c r="C8" s="49">
        <v>55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1" t="s">
        <v>798</v>
      </c>
      <c r="J8" s="911" t="s">
        <v>11</v>
      </c>
      <c r="K8" s="11">
        <v>5</v>
      </c>
      <c r="L8" s="11"/>
      <c r="N8" s="15" t="str">
        <f>I8&amp;" "&amp;J8</f>
        <v xml:space="preserve">PARTLY CLOUDY WITH A CHANCE OF SHOWERS AND T-STORMS.   </v>
      </c>
    </row>
    <row r="9" spans="1:34" ht="16.5" customHeight="1">
      <c r="A9" s="88">
        <f>A8+1</f>
        <v>37003</v>
      </c>
      <c r="B9" s="11">
        <v>70</v>
      </c>
      <c r="C9" s="49">
        <v>49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11" t="s">
        <v>799</v>
      </c>
      <c r="J9" s="911" t="s">
        <v>11</v>
      </c>
      <c r="K9" s="11">
        <v>3</v>
      </c>
      <c r="L9" s="11">
        <v>0</v>
      </c>
      <c r="M9" s="89"/>
      <c r="N9" s="15" t="str">
        <f>I10&amp;" "&amp;J9</f>
        <v xml:space="preserve">MOSTLY CLOUDY WITH A CHANCE OF SHOWERS AND T-STORMS.  </v>
      </c>
    </row>
    <row r="10" spans="1:34" ht="16.5" customHeight="1">
      <c r="A10" s="88">
        <f>A9+1</f>
        <v>37004</v>
      </c>
      <c r="B10" s="11">
        <v>70</v>
      </c>
      <c r="C10" s="49">
        <v>49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11" t="s">
        <v>799</v>
      </c>
      <c r="J10" s="911" t="s">
        <v>11</v>
      </c>
      <c r="K10" s="11">
        <v>2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4.149</v>
      </c>
      <c r="C2" s="60"/>
      <c r="D2" s="121" t="s">
        <v>325</v>
      </c>
      <c r="E2" s="426">
        <f>Weather_Input!A5</f>
        <v>36999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0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223.28700000000001</v>
      </c>
      <c r="C8" s="631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1.145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4.149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9.4120000000000008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307.74700000000001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-256.875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5.8940000000000001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5">
        <f>SUM(B8:B17)-C16</f>
        <v>278.822</v>
      </c>
      <c r="C18" s="169"/>
      <c r="D18" s="179" t="s">
        <v>592</v>
      </c>
      <c r="E18" s="178">
        <f>SUM(E5:E17)</f>
        <v>4.149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207.08799999999999</v>
      </c>
      <c r="C19" s="631"/>
      <c r="D19" s="117" t="s">
        <v>320</v>
      </c>
      <c r="E19" s="154">
        <f>PGL_Deliveries!AI5/1000</f>
        <v>1.2999999999999999E-2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5</v>
      </c>
      <c r="C20" s="64"/>
      <c r="D20" s="117" t="s">
        <v>189</v>
      </c>
      <c r="E20" s="154">
        <f>PGL_Deliveries!AW5/1000+B41-0.001</f>
        <v>3.8737500000000002</v>
      </c>
      <c r="F20" s="171"/>
      <c r="H20"/>
      <c r="I20"/>
      <c r="J20"/>
      <c r="K20"/>
      <c r="L20"/>
      <c r="M20"/>
    </row>
    <row r="21" spans="1:13" ht="16.5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8.0357500000000002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212.08799999999999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0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81.846000000000004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150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1.0449999999999999</v>
      </c>
      <c r="C40" s="64"/>
      <c r="D40" s="212" t="s">
        <v>224</v>
      </c>
      <c r="E40" s="211">
        <f>SUM(E22:E37)-SUM(F23:F39)-E33</f>
        <v>81.846000000000004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1.6E-2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8">
        <f>PGL_Supplies!AB7/1000</f>
        <v>366.51400000000001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3.8587500000000001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750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54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35</v>
      </c>
      <c r="C46" s="162"/>
      <c r="D46" s="60" t="s">
        <v>630</v>
      </c>
      <c r="E46" s="808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79" t="s">
        <v>629</v>
      </c>
      <c r="E47" s="68"/>
      <c r="F47" s="809">
        <f>PGL_Deliveries!BE5/1000</f>
        <v>0</v>
      </c>
    </row>
    <row r="48" spans="1:13" ht="15">
      <c r="A48" s="172" t="s">
        <v>623</v>
      </c>
      <c r="B48" s="227">
        <f>Weather_Input!D5</f>
        <v>6</v>
      </c>
      <c r="C48" s="162"/>
      <c r="D48" s="251" t="s">
        <v>245</v>
      </c>
      <c r="E48" s="154">
        <f>PGL_Deliveries!AI5/1000</f>
        <v>1.2999999999999999E-2</v>
      </c>
      <c r="F48" s="161"/>
    </row>
    <row r="49" spans="1:6" ht="15">
      <c r="A49" s="172" t="s">
        <v>624</v>
      </c>
      <c r="B49" s="154">
        <f>PGL_Deliveries!AM5/1000</f>
        <v>1.0309999999999999</v>
      </c>
      <c r="C49" s="162"/>
      <c r="D49" s="60" t="s">
        <v>791</v>
      </c>
      <c r="E49" s="154">
        <f>PGL_Deliveries!AJ5/1000</f>
        <v>9.4120000000000008</v>
      </c>
      <c r="F49" s="161"/>
    </row>
    <row r="50" spans="1:6" ht="15.75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0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5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36999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14.090999999999999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80.463999999999999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0.82199999999999995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15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81.286000000000001</v>
      </c>
      <c r="C27" s="148"/>
      <c r="D27" s="241" t="s">
        <v>355</v>
      </c>
      <c r="E27" s="221">
        <f>SUM(E18:E26)-SUM(F18:F26)</f>
        <v>15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0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36999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36998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229414</v>
      </c>
      <c r="O6" s="204">
        <v>0</v>
      </c>
      <c r="P6" s="204">
        <v>43307725</v>
      </c>
      <c r="Q6" s="204">
        <v>15045098</v>
      </c>
      <c r="R6" s="204">
        <v>28262627</v>
      </c>
      <c r="S6" s="204">
        <v>0</v>
      </c>
    </row>
    <row r="7" spans="1:19">
      <c r="A7" s="4">
        <f>B1</f>
        <v>36999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207088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43514813</v>
      </c>
      <c r="Q7">
        <f>IF(O7&gt;0,Q6+O7,Q6)</f>
        <v>15045098</v>
      </c>
      <c r="R7">
        <f>IF(P7&gt;Q7,P7-Q7,0)</f>
        <v>28469715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36999</v>
      </c>
      <c r="B5" s="1">
        <f>(Weather_Input!B5+Weather_Input!C5)/2</f>
        <v>44.5</v>
      </c>
      <c r="C5" s="912">
        <v>605000</v>
      </c>
      <c r="D5" s="913">
        <v>0</v>
      </c>
      <c r="E5" s="913">
        <v>0</v>
      </c>
      <c r="F5" s="913">
        <v>0</v>
      </c>
      <c r="G5" s="913">
        <v>0</v>
      </c>
      <c r="H5" s="913">
        <v>0</v>
      </c>
      <c r="I5" s="913">
        <v>0</v>
      </c>
      <c r="J5" s="913">
        <v>0</v>
      </c>
      <c r="K5" s="913">
        <v>0</v>
      </c>
      <c r="L5" s="913">
        <v>0</v>
      </c>
      <c r="M5" s="913">
        <v>0</v>
      </c>
      <c r="N5" s="913">
        <v>0</v>
      </c>
      <c r="O5" s="913">
        <v>0</v>
      </c>
      <c r="P5" s="913">
        <v>0</v>
      </c>
      <c r="Q5" s="913">
        <v>0</v>
      </c>
      <c r="R5" s="913">
        <v>0</v>
      </c>
      <c r="S5" s="918">
        <v>4149</v>
      </c>
      <c r="T5" s="1161">
        <v>0</v>
      </c>
      <c r="U5" s="912">
        <f>SUM(D5:S5)-T5</f>
        <v>4149</v>
      </c>
      <c r="V5" s="912">
        <v>223287</v>
      </c>
      <c r="W5" s="11">
        <v>1145</v>
      </c>
      <c r="X5" s="11">
        <v>0</v>
      </c>
      <c r="Y5" s="11">
        <v>0</v>
      </c>
      <c r="Z5" s="11">
        <v>307747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16</v>
      </c>
      <c r="AH5" s="11">
        <v>0</v>
      </c>
      <c r="AI5" s="11">
        <v>13</v>
      </c>
      <c r="AJ5" s="11">
        <v>9412</v>
      </c>
      <c r="AK5" s="11">
        <v>0</v>
      </c>
      <c r="AL5" s="11">
        <v>0</v>
      </c>
      <c r="AM5" s="1">
        <v>1031</v>
      </c>
      <c r="AN5" s="1"/>
      <c r="AO5" s="1">
        <v>5894</v>
      </c>
      <c r="AP5" s="1">
        <v>0</v>
      </c>
      <c r="AQ5" s="1">
        <v>11242</v>
      </c>
      <c r="AR5" s="1">
        <v>0</v>
      </c>
      <c r="AS5" s="1">
        <v>0</v>
      </c>
      <c r="AT5" s="1">
        <v>1045</v>
      </c>
      <c r="AU5" s="1">
        <v>257250</v>
      </c>
      <c r="AV5" s="1">
        <v>670</v>
      </c>
      <c r="AW5" s="627">
        <f>AU5*0.015</f>
        <v>3858.75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37000</v>
      </c>
      <c r="B6" s="931">
        <f>(Weather_Input!B6+Weather_Input!C6)/2</f>
        <v>58.5</v>
      </c>
      <c r="C6" s="912">
        <v>370000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37001</v>
      </c>
      <c r="B7" s="931">
        <f>(Weather_Input!B7+Weather_Input!C7)/2</f>
        <v>66</v>
      </c>
      <c r="C7" s="912">
        <v>280000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37002</v>
      </c>
      <c r="B8" s="931">
        <f>(Weather_Input!B8+Weather_Input!C8)/2</f>
        <v>67.5</v>
      </c>
      <c r="C8" s="912">
        <v>240000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37003</v>
      </c>
      <c r="B9" s="931">
        <f>(Weather_Input!B9+Weather_Input!C9)/2</f>
        <v>59.5</v>
      </c>
      <c r="C9" s="912">
        <v>315000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37004</v>
      </c>
      <c r="B10" s="931">
        <f>(Weather_Input!B10+Weather_Input!C10)/2</f>
        <v>59.5</v>
      </c>
      <c r="C10" s="912">
        <v>330000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36999</v>
      </c>
      <c r="B5" s="1">
        <f>(Weather_Input!B5+Weather_Input!C5)/2</f>
        <v>44.5</v>
      </c>
      <c r="C5" s="912">
        <v>101000</v>
      </c>
      <c r="D5" s="912">
        <v>0</v>
      </c>
      <c r="E5" s="912">
        <v>0</v>
      </c>
      <c r="F5" s="912">
        <v>0</v>
      </c>
      <c r="G5" s="912">
        <v>0</v>
      </c>
      <c r="H5" s="920">
        <f>SUM(D5:G5)</f>
        <v>0</v>
      </c>
      <c r="I5" s="1">
        <v>1010</v>
      </c>
      <c r="J5" s="1" t="s">
        <v>11</v>
      </c>
      <c r="K5" s="1">
        <v>0</v>
      </c>
      <c r="L5" s="1">
        <v>822</v>
      </c>
      <c r="M5" s="1">
        <v>14091</v>
      </c>
      <c r="N5" s="1">
        <v>0</v>
      </c>
    </row>
    <row r="6" spans="1:14">
      <c r="A6" s="12">
        <f>A5+1</f>
        <v>37000</v>
      </c>
      <c r="B6" s="931">
        <f>(Weather_Input!B6+Weather_Input!C6)/2</f>
        <v>58.5</v>
      </c>
      <c r="C6" s="912">
        <v>52000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37001</v>
      </c>
      <c r="B7" s="931">
        <f>(Weather_Input!B7+Weather_Input!C7)/2</f>
        <v>66</v>
      </c>
      <c r="C7" s="912">
        <v>45000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37002</v>
      </c>
      <c r="B8" s="931">
        <f>(Weather_Input!B8+Weather_Input!C8)/2</f>
        <v>67.5</v>
      </c>
      <c r="C8" s="912">
        <v>39000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37003</v>
      </c>
      <c r="B9" s="931">
        <f>(Weather_Input!B9+Weather_Input!C9)/2</f>
        <v>59.5</v>
      </c>
      <c r="C9" s="912">
        <v>51000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37004</v>
      </c>
      <c r="B10" s="931">
        <f>(Weather_Input!B10+Weather_Input!C10)/2</f>
        <v>59.5</v>
      </c>
      <c r="C10" s="912">
        <v>53000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2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1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3">
        <f>Weather_Input!A5</f>
        <v>36999</v>
      </c>
      <c r="B7" s="921">
        <v>0</v>
      </c>
      <c r="C7" s="922">
        <v>0</v>
      </c>
      <c r="D7" s="625">
        <v>0</v>
      </c>
      <c r="E7" s="625">
        <v>0</v>
      </c>
      <c r="F7" s="921">
        <v>0</v>
      </c>
      <c r="G7" s="921">
        <v>0</v>
      </c>
      <c r="H7" s="923">
        <v>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0</v>
      </c>
      <c r="P7" s="625">
        <v>150000</v>
      </c>
      <c r="Q7" s="627">
        <f t="shared" ref="Q7:Q12" si="0">P7*0.015</f>
        <v>2250</v>
      </c>
      <c r="R7" s="625">
        <v>640</v>
      </c>
      <c r="S7" s="625">
        <v>0</v>
      </c>
      <c r="T7" s="625">
        <v>0</v>
      </c>
      <c r="U7" s="624">
        <v>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36999</v>
      </c>
    </row>
    <row r="8" spans="1:89" s="1" customFormat="1" ht="12.75">
      <c r="A8" s="833">
        <f>A7+1</f>
        <v>37000</v>
      </c>
      <c r="B8" s="921">
        <v>0</v>
      </c>
      <c r="C8" s="922">
        <v>0</v>
      </c>
      <c r="D8" s="625">
        <v>0</v>
      </c>
      <c r="E8" s="625">
        <v>0</v>
      </c>
      <c r="F8" s="921">
        <v>0</v>
      </c>
      <c r="G8" s="921">
        <v>0</v>
      </c>
      <c r="H8" s="923">
        <v>3173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0</v>
      </c>
      <c r="P8" s="625">
        <v>185000</v>
      </c>
      <c r="Q8" s="627">
        <f t="shared" si="0"/>
        <v>2775</v>
      </c>
      <c r="R8" s="625">
        <v>640</v>
      </c>
      <c r="S8" s="625">
        <v>0</v>
      </c>
      <c r="T8" s="625">
        <v>0</v>
      </c>
      <c r="U8" s="624">
        <v>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37000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2.75">
      <c r="A9" s="833">
        <f>A8+1</f>
        <v>37001</v>
      </c>
      <c r="B9" s="921">
        <v>0</v>
      </c>
      <c r="C9" s="922">
        <v>0</v>
      </c>
      <c r="D9" s="625">
        <v>0</v>
      </c>
      <c r="E9" s="625">
        <v>0</v>
      </c>
      <c r="F9" s="921">
        <v>0</v>
      </c>
      <c r="G9" s="921">
        <v>0</v>
      </c>
      <c r="H9" s="923">
        <v>0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185000</v>
      </c>
      <c r="Q9" s="627">
        <f t="shared" si="0"/>
        <v>2775</v>
      </c>
      <c r="R9" s="625">
        <v>640</v>
      </c>
      <c r="S9" s="625">
        <v>0</v>
      </c>
      <c r="T9" s="625">
        <v>0</v>
      </c>
      <c r="U9" s="624">
        <v>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37001</v>
      </c>
      <c r="AN9" s="624"/>
    </row>
    <row r="10" spans="1:89" s="1" customFormat="1" ht="12.75">
      <c r="A10" s="833">
        <f>A9+1</f>
        <v>37002</v>
      </c>
      <c r="B10" s="921">
        <v>0</v>
      </c>
      <c r="C10" s="922">
        <v>0</v>
      </c>
      <c r="D10" s="625">
        <v>0</v>
      </c>
      <c r="E10" s="625">
        <v>0</v>
      </c>
      <c r="F10" s="921">
        <v>0</v>
      </c>
      <c r="G10" s="921">
        <v>0</v>
      </c>
      <c r="H10" s="923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185000</v>
      </c>
      <c r="Q10" s="627">
        <f t="shared" si="0"/>
        <v>2775</v>
      </c>
      <c r="R10" s="625">
        <v>640</v>
      </c>
      <c r="S10" s="625">
        <v>0</v>
      </c>
      <c r="T10" s="625">
        <v>0</v>
      </c>
      <c r="U10" s="624">
        <v>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37002</v>
      </c>
    </row>
    <row r="11" spans="1:89" s="1" customFormat="1" ht="12.75">
      <c r="A11" s="833">
        <f>A10+1</f>
        <v>37003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185000</v>
      </c>
      <c r="Q11" s="627">
        <f t="shared" si="0"/>
        <v>2775</v>
      </c>
      <c r="R11" s="625">
        <v>640</v>
      </c>
      <c r="S11" s="625">
        <v>0</v>
      </c>
      <c r="T11" s="625">
        <v>0</v>
      </c>
      <c r="U11" s="624">
        <v>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37003</v>
      </c>
    </row>
    <row r="12" spans="1:89" s="1" customFormat="1" ht="12.75">
      <c r="A12" s="833">
        <f>A11+1</f>
        <v>37004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185000</v>
      </c>
      <c r="Q12" s="627">
        <f t="shared" si="0"/>
        <v>2775</v>
      </c>
      <c r="R12" s="625">
        <v>640</v>
      </c>
      <c r="S12" s="625">
        <v>0</v>
      </c>
      <c r="T12" s="625">
        <v>0</v>
      </c>
      <c r="U12" s="624">
        <v>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37004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36999</v>
      </c>
      <c r="B7" s="627">
        <v>0</v>
      </c>
      <c r="C7" s="628">
        <v>30400</v>
      </c>
      <c r="D7" s="627">
        <v>0</v>
      </c>
      <c r="E7" s="627">
        <v>3800</v>
      </c>
      <c r="F7" s="627">
        <v>0</v>
      </c>
      <c r="G7" s="921">
        <v>0</v>
      </c>
      <c r="H7" s="625">
        <v>1000</v>
      </c>
      <c r="I7" s="625">
        <v>10000</v>
      </c>
      <c r="J7" s="625">
        <v>0</v>
      </c>
      <c r="K7" s="924">
        <v>0</v>
      </c>
      <c r="L7" s="626">
        <v>11080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243044</v>
      </c>
      <c r="W7" s="626">
        <v>0</v>
      </c>
      <c r="X7" s="624">
        <v>5000</v>
      </c>
      <c r="Y7" s="924">
        <v>207088</v>
      </c>
      <c r="Z7" s="626">
        <v>41160</v>
      </c>
      <c r="AA7" s="1">
        <v>0</v>
      </c>
      <c r="AB7" s="624">
        <v>366514</v>
      </c>
      <c r="AC7" s="624">
        <v>81846</v>
      </c>
      <c r="AD7" s="624">
        <v>0</v>
      </c>
      <c r="AE7" s="924">
        <v>0</v>
      </c>
      <c r="AF7" s="51">
        <f>Weather_Input!A5</f>
        <v>36999</v>
      </c>
      <c r="AI7" s="624"/>
      <c r="AJ7" s="624"/>
      <c r="AK7" s="624"/>
    </row>
    <row r="8" spans="1:37">
      <c r="A8" s="833">
        <f>A7+1</f>
        <v>37000</v>
      </c>
      <c r="B8" s="627">
        <v>0</v>
      </c>
      <c r="C8" s="628">
        <v>30000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243044</v>
      </c>
      <c r="W8" s="626">
        <v>0</v>
      </c>
      <c r="X8" s="624">
        <v>0</v>
      </c>
      <c r="Y8" s="924">
        <v>144909</v>
      </c>
      <c r="Z8" s="626">
        <v>41160</v>
      </c>
      <c r="AA8" s="1">
        <v>0</v>
      </c>
      <c r="AB8" s="624">
        <v>337217</v>
      </c>
      <c r="AC8" s="624">
        <v>179557</v>
      </c>
      <c r="AD8" s="624">
        <v>0</v>
      </c>
      <c r="AE8" s="924">
        <v>0</v>
      </c>
      <c r="AF8" s="833">
        <f>AF7+1</f>
        <v>37000</v>
      </c>
      <c r="AI8" s="624"/>
      <c r="AJ8" s="624"/>
      <c r="AK8" s="624"/>
    </row>
    <row r="9" spans="1:37" s="624" customFormat="1">
      <c r="A9" s="833">
        <f>A8+1</f>
        <v>37001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243044</v>
      </c>
      <c r="W9" s="626">
        <v>0</v>
      </c>
      <c r="X9" s="624">
        <v>0</v>
      </c>
      <c r="Y9" s="924">
        <v>131973</v>
      </c>
      <c r="Z9" s="626">
        <v>41160</v>
      </c>
      <c r="AA9" s="1">
        <v>0</v>
      </c>
      <c r="AB9" s="624">
        <v>337217</v>
      </c>
      <c r="AC9" s="624">
        <v>179557</v>
      </c>
      <c r="AD9" s="624">
        <v>0</v>
      </c>
      <c r="AE9" s="924">
        <v>0</v>
      </c>
      <c r="AF9" s="833">
        <f>AF8+1</f>
        <v>37001</v>
      </c>
    </row>
    <row r="10" spans="1:37">
      <c r="A10" s="833">
        <f>A9+1</f>
        <v>37002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243044</v>
      </c>
      <c r="W10" s="626">
        <v>0</v>
      </c>
      <c r="X10" s="624">
        <v>0</v>
      </c>
      <c r="Y10" s="924">
        <v>121063</v>
      </c>
      <c r="Z10" s="626">
        <v>41160</v>
      </c>
      <c r="AA10" s="1">
        <v>0</v>
      </c>
      <c r="AB10" s="624">
        <v>337217</v>
      </c>
      <c r="AC10" s="624">
        <v>179557</v>
      </c>
      <c r="AD10" s="624">
        <v>0</v>
      </c>
      <c r="AE10" s="924">
        <v>0</v>
      </c>
      <c r="AF10" s="833">
        <f>AF9+1</f>
        <v>37002</v>
      </c>
      <c r="AI10" s="624"/>
      <c r="AJ10" s="624"/>
      <c r="AK10" s="624"/>
    </row>
    <row r="11" spans="1:37">
      <c r="A11" s="833">
        <f>A10+1</f>
        <v>37003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243044</v>
      </c>
      <c r="W11" s="626">
        <v>0</v>
      </c>
      <c r="X11" s="624">
        <v>0</v>
      </c>
      <c r="Y11" s="924">
        <v>121063</v>
      </c>
      <c r="Z11" s="626">
        <v>41160</v>
      </c>
      <c r="AA11" s="1">
        <v>0</v>
      </c>
      <c r="AB11" s="624">
        <v>337217</v>
      </c>
      <c r="AC11" s="624">
        <v>179557</v>
      </c>
      <c r="AD11" s="624">
        <v>0</v>
      </c>
      <c r="AE11" s="924">
        <v>0</v>
      </c>
      <c r="AF11" s="833">
        <f>AF10+1</f>
        <v>37003</v>
      </c>
    </row>
    <row r="12" spans="1:37">
      <c r="A12" s="833">
        <f>A11+1</f>
        <v>37004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243044</v>
      </c>
      <c r="W12" s="626">
        <v>0</v>
      </c>
      <c r="X12" s="624">
        <v>0</v>
      </c>
      <c r="Y12" s="924">
        <v>121063</v>
      </c>
      <c r="Z12" s="626">
        <v>41160</v>
      </c>
      <c r="AA12" s="1">
        <v>0</v>
      </c>
      <c r="AB12" s="624">
        <v>337217</v>
      </c>
      <c r="AC12" s="624">
        <v>179557</v>
      </c>
      <c r="AD12" s="624">
        <v>0</v>
      </c>
      <c r="AE12" s="924">
        <v>0</v>
      </c>
      <c r="AF12" s="833">
        <f>AF11+1</f>
        <v>37004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4">
        <f>Weather_Input!A5</f>
        <v>36999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36999</v>
      </c>
      <c r="AG7" s="624"/>
      <c r="AH7" s="624"/>
      <c r="AI7" s="624"/>
      <c r="AJ7" s="624"/>
      <c r="AK7" s="624"/>
    </row>
    <row r="8" spans="1:128" s="1" customFormat="1" ht="12.75">
      <c r="A8" s="834">
        <f>Weather_Input!A6</f>
        <v>37000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37000</v>
      </c>
      <c r="AG8" s="624"/>
      <c r="AH8" s="624"/>
      <c r="AI8" s="624"/>
      <c r="AJ8" s="624"/>
      <c r="AK8" s="624"/>
    </row>
    <row r="9" spans="1:128" s="1" customFormat="1" ht="12.75">
      <c r="A9" s="833">
        <f>A8+1</f>
        <v>37001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37001</v>
      </c>
      <c r="AG9" s="624"/>
      <c r="AH9" s="624"/>
      <c r="AI9" s="624"/>
      <c r="AJ9" s="624"/>
      <c r="AK9" s="624"/>
    </row>
    <row r="10" spans="1:128" s="1" customFormat="1" ht="12.75">
      <c r="A10" s="833">
        <f>A9+1</f>
        <v>37002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37002</v>
      </c>
      <c r="AG10" s="624"/>
      <c r="AH10" s="624"/>
      <c r="AI10" s="624"/>
      <c r="AJ10" s="624"/>
      <c r="AK10" s="624"/>
    </row>
    <row r="11" spans="1:128" s="1" customFormat="1" ht="12.75">
      <c r="A11" s="833">
        <f>A10+1</f>
        <v>37003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37003</v>
      </c>
      <c r="AG11" s="624"/>
      <c r="AH11" s="624"/>
      <c r="AI11" s="624"/>
      <c r="AJ11" s="624"/>
      <c r="AK11" s="624"/>
    </row>
    <row r="12" spans="1:128" s="1" customFormat="1" ht="12.75">
      <c r="A12" s="833">
        <f>A11+1</f>
        <v>37004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37004</v>
      </c>
      <c r="AG12" s="624"/>
      <c r="AH12" s="624"/>
      <c r="AI12" s="624"/>
      <c r="AJ12" s="624"/>
      <c r="AK12" s="624"/>
    </row>
    <row r="13" spans="1:128" s="1" customFormat="1" ht="12.75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2.75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36999</v>
      </c>
      <c r="B7" s="627">
        <v>0</v>
      </c>
      <c r="C7" s="628">
        <v>0</v>
      </c>
      <c r="D7" s="627">
        <v>0</v>
      </c>
      <c r="E7" s="627">
        <v>0</v>
      </c>
      <c r="F7" s="627">
        <v>5540</v>
      </c>
      <c r="G7" s="627">
        <f>(R7+S7+C7+PGL_Requirements!Y7+PGL_Requirements!Z7-NSG_Requirements!C7)*0.05</f>
        <v>5498.35</v>
      </c>
      <c r="H7" s="628">
        <v>0</v>
      </c>
      <c r="I7" s="627">
        <v>0</v>
      </c>
      <c r="J7" s="627">
        <v>0</v>
      </c>
      <c r="K7" s="627">
        <v>0</v>
      </c>
      <c r="L7" s="627">
        <v>15000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80464</v>
      </c>
      <c r="S7" s="627">
        <v>29503</v>
      </c>
      <c r="T7" s="627">
        <v>0</v>
      </c>
      <c r="U7" s="627">
        <v>0</v>
      </c>
      <c r="V7" s="833">
        <f>Weather_Input!A5</f>
        <v>36999</v>
      </c>
      <c r="W7" s="624"/>
      <c r="X7" s="624"/>
    </row>
    <row r="8" spans="1:24">
      <c r="A8" s="833">
        <f>A7+1</f>
        <v>37000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627">
        <f>(R8+S8+C8+PGL_Requirements!Y8+PGL_Requirements!Z8-NSG_Requirements!C8)*0.05</f>
        <v>4535.3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61203</v>
      </c>
      <c r="S8" s="627">
        <v>29503</v>
      </c>
      <c r="T8" s="627">
        <v>0</v>
      </c>
      <c r="U8" s="627">
        <v>0</v>
      </c>
      <c r="V8" s="833">
        <f>V7+1</f>
        <v>37000</v>
      </c>
      <c r="W8" s="624"/>
      <c r="X8" s="624"/>
    </row>
    <row r="9" spans="1:24">
      <c r="A9" s="833">
        <f>A8+1</f>
        <v>37001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4531.05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61118</v>
      </c>
      <c r="S9" s="627">
        <v>29503</v>
      </c>
      <c r="T9" s="627">
        <v>0</v>
      </c>
      <c r="U9" s="627">
        <v>0</v>
      </c>
      <c r="V9" s="833">
        <f>V8+1</f>
        <v>37001</v>
      </c>
      <c r="W9" s="624"/>
      <c r="X9" s="624"/>
    </row>
    <row r="10" spans="1:24">
      <c r="A10" s="833">
        <f>A9+1</f>
        <v>37002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4531.05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61118</v>
      </c>
      <c r="S10" s="627">
        <v>29503</v>
      </c>
      <c r="T10" s="627">
        <v>0</v>
      </c>
      <c r="U10" s="627">
        <v>0</v>
      </c>
      <c r="V10" s="833">
        <f>V9+1</f>
        <v>37002</v>
      </c>
      <c r="W10" s="624"/>
      <c r="X10" s="624"/>
    </row>
    <row r="11" spans="1:24">
      <c r="A11" s="833">
        <f>A10+1</f>
        <v>37003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4531.05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61118</v>
      </c>
      <c r="S11" s="627">
        <v>29503</v>
      </c>
      <c r="T11" s="627">
        <v>0</v>
      </c>
      <c r="U11" s="627">
        <v>0</v>
      </c>
      <c r="V11" s="833">
        <f>V10+1</f>
        <v>37003</v>
      </c>
      <c r="W11" s="624"/>
      <c r="X11" s="624"/>
    </row>
    <row r="12" spans="1:24">
      <c r="A12" s="833">
        <f>A11+1</f>
        <v>37004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4531.05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61118</v>
      </c>
      <c r="S12" s="627">
        <v>29503</v>
      </c>
      <c r="T12" s="627">
        <v>0</v>
      </c>
      <c r="U12" s="627">
        <v>0</v>
      </c>
      <c r="V12" s="833">
        <f>V11+1</f>
        <v>37004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topLeftCell="A55" zoomScale="75" workbookViewId="0">
      <selection activeCell="A55" sqref="A55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WED</v>
      </c>
      <c r="I1" s="838">
        <f>D4</f>
        <v>36999</v>
      </c>
    </row>
    <row r="2" spans="1:256" ht="15.75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5" thickBot="1">
      <c r="A3" s="842"/>
      <c r="B3" s="840"/>
      <c r="C3" s="840"/>
      <c r="D3" s="843" t="str">
        <f t="shared" ref="D3:I3" si="0">CHOOSE(WEEKDAY(D4),"SUN","MON","TUE","WED","THU","FRI","SAT")</f>
        <v>WED</v>
      </c>
      <c r="E3" s="843" t="str">
        <f t="shared" si="0"/>
        <v>THU</v>
      </c>
      <c r="F3" s="843" t="str">
        <f t="shared" si="0"/>
        <v>FRI</v>
      </c>
      <c r="G3" s="843" t="str">
        <f t="shared" si="0"/>
        <v>SAT</v>
      </c>
      <c r="H3" s="843" t="str">
        <f t="shared" si="0"/>
        <v>SUN</v>
      </c>
      <c r="I3" s="844" t="str">
        <f t="shared" si="0"/>
        <v>MON</v>
      </c>
    </row>
    <row r="4" spans="1:256" ht="15.75" thickBot="1">
      <c r="A4" s="845"/>
      <c r="B4" s="846"/>
      <c r="C4" s="846"/>
      <c r="D4" s="466">
        <f>Weather_Input!A5</f>
        <v>36999</v>
      </c>
      <c r="E4" s="466">
        <f>Weather_Input!A6</f>
        <v>37000</v>
      </c>
      <c r="F4" s="466">
        <f>Weather_Input!A7</f>
        <v>37001</v>
      </c>
      <c r="G4" s="466">
        <f>Weather_Input!A8</f>
        <v>37002</v>
      </c>
      <c r="H4" s="466">
        <f>Weather_Input!A9</f>
        <v>37003</v>
      </c>
      <c r="I4" s="467">
        <f>Weather_Input!A10</f>
        <v>37004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54/35/45</v>
      </c>
      <c r="E5" s="468" t="str">
        <f>TEXT(Weather_Input!B6,"0")&amp;"/"&amp;TEXT(Weather_Input!C6,"0") &amp; "/" &amp; TEXT((Weather_Input!B6+Weather_Input!C6)/2,"0")</f>
        <v>67/50/59</v>
      </c>
      <c r="F5" s="468" t="str">
        <f>TEXT(Weather_Input!B7,"0")&amp;"/"&amp;TEXT(Weather_Input!C7,"0") &amp; "/" &amp; TEXT((Weather_Input!B7+Weather_Input!C7)/2,"0")</f>
        <v>76/56/66</v>
      </c>
      <c r="G5" s="468" t="str">
        <f>TEXT(Weather_Input!B8,"0")&amp;"/"&amp;TEXT(Weather_Input!C8,"0") &amp; "/" &amp; TEXT((Weather_Input!B8+Weather_Input!C8)/2,"0")</f>
        <v>80/55/68</v>
      </c>
      <c r="H5" s="468" t="str">
        <f>TEXT(Weather_Input!B9,"0")&amp;"/"&amp;TEXT(Weather_Input!C9,"0") &amp; "/" &amp; TEXT((Weather_Input!B9+Weather_Input!C9)/2,"0")</f>
        <v>70/49/60</v>
      </c>
      <c r="I5" s="469" t="str">
        <f>TEXT(Weather_Input!B10,"0")&amp;"/"&amp;TEXT(Weather_Input!C10,"0") &amp; "/" &amp; TEXT((Weather_Input!B10+Weather_Input!C10)/2,"0")</f>
        <v>70/49/60</v>
      </c>
    </row>
    <row r="6" spans="1:256" ht="15.75">
      <c r="A6" s="852" t="s">
        <v>139</v>
      </c>
      <c r="B6" s="840"/>
      <c r="C6" s="840"/>
      <c r="D6" s="468">
        <f>PGL_Deliveries!C5/1000</f>
        <v>605</v>
      </c>
      <c r="E6" s="468">
        <f>PGL_Deliveries!C6/1000</f>
        <v>370</v>
      </c>
      <c r="F6" s="468">
        <f>PGL_Deliveries!C7/1000</f>
        <v>280</v>
      </c>
      <c r="G6" s="468">
        <f>PGL_Deliveries!C8/1000</f>
        <v>240</v>
      </c>
      <c r="H6" s="468">
        <f>PGL_Deliveries!C9/1000</f>
        <v>315</v>
      </c>
      <c r="I6" s="469">
        <f>PGL_Deliveries!C10/1000</f>
        <v>330</v>
      </c>
    </row>
    <row r="7" spans="1:256" ht="15.75">
      <c r="A7" s="852" t="s">
        <v>574</v>
      </c>
      <c r="B7" s="840" t="s">
        <v>421</v>
      </c>
      <c r="C7" s="840"/>
      <c r="D7" s="468">
        <f>PGL_Requirements!H7/1000*0.5</f>
        <v>0</v>
      </c>
      <c r="E7" s="468">
        <f>PGL_Requirements!H8/1000*0.5</f>
        <v>1.5865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49" t="s">
        <v>144</v>
      </c>
      <c r="B13" s="840" t="s">
        <v>145</v>
      </c>
      <c r="C13" s="840" t="s">
        <v>60</v>
      </c>
      <c r="D13" s="468">
        <f>PGL_Requirements!P7/1000</f>
        <v>150</v>
      </c>
      <c r="E13" s="468">
        <f>PGL_Requirements!P8/1000</f>
        <v>185</v>
      </c>
      <c r="F13" s="468">
        <f>PGL_Requirements!P9/1000</f>
        <v>185</v>
      </c>
      <c r="G13" s="468">
        <f>PGL_Requirements!P10/1000</f>
        <v>185</v>
      </c>
      <c r="H13" s="468">
        <f>PGL_Requirements!P11/1000</f>
        <v>185</v>
      </c>
      <c r="I13" s="469">
        <f>PGL_Requirements!P12/1000</f>
        <v>185</v>
      </c>
    </row>
    <row r="14" spans="1:256" ht="15.75">
      <c r="A14" s="849"/>
      <c r="B14" s="840"/>
      <c r="C14" s="840" t="s">
        <v>101</v>
      </c>
      <c r="D14" s="468">
        <f>PGL_Requirements!Q7/1000</f>
        <v>2.25</v>
      </c>
      <c r="E14" s="468">
        <f>PGL_Requirements!Q8/1000</f>
        <v>2.7749999999999999</v>
      </c>
      <c r="F14" s="468">
        <f>PGL_Requirements!Q9/1000</f>
        <v>2.7749999999999999</v>
      </c>
      <c r="G14" s="468">
        <f>PGL_Requirements!Q10/1000</f>
        <v>2.7749999999999999</v>
      </c>
      <c r="H14" s="468">
        <f>PGL_Requirements!Q11/1000</f>
        <v>2.7749999999999999</v>
      </c>
      <c r="I14" s="469">
        <f>PGL_Requirements!Q12/1000</f>
        <v>2.7749999999999999</v>
      </c>
    </row>
    <row r="15" spans="1:256" ht="15.75">
      <c r="A15" s="849"/>
      <c r="C15" s="840" t="s">
        <v>746</v>
      </c>
      <c r="D15" s="468">
        <f>PGL_Requirements!R7/1000</f>
        <v>0.64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 ht="15.75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49"/>
      <c r="B18" s="840" t="s">
        <v>143</v>
      </c>
      <c r="C18" s="840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49"/>
      <c r="B19" s="840" t="s">
        <v>141</v>
      </c>
      <c r="C19" s="840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 ht="15.75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 ht="15.75">
      <c r="A24" s="852" t="s">
        <v>149</v>
      </c>
      <c r="B24" s="840"/>
      <c r="C24" s="840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49"/>
      <c r="B26" s="840" t="s">
        <v>68</v>
      </c>
      <c r="C26" s="840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7" t="s">
        <v>151</v>
      </c>
      <c r="B30" s="858"/>
      <c r="C30" s="858"/>
      <c r="D30" s="472">
        <f t="shared" ref="D30:I30" si="1">SUM(D6:D29)</f>
        <v>757.89</v>
      </c>
      <c r="E30" s="472">
        <f t="shared" si="1"/>
        <v>560.00149999999996</v>
      </c>
      <c r="F30" s="472">
        <f t="shared" si="1"/>
        <v>468.41499999999996</v>
      </c>
      <c r="G30" s="472">
        <f t="shared" si="1"/>
        <v>428.41499999999996</v>
      </c>
      <c r="H30" s="472">
        <f t="shared" si="1"/>
        <v>503.41499999999996</v>
      </c>
      <c r="I30" s="1175">
        <f t="shared" si="1"/>
        <v>518.41499999999996</v>
      </c>
    </row>
    <row r="31" spans="1:10" ht="17.25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5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6.5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49"/>
      <c r="B34" s="840"/>
      <c r="C34" s="840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49"/>
      <c r="B37" s="840" t="s">
        <v>141</v>
      </c>
      <c r="C37" s="840" t="s">
        <v>90</v>
      </c>
      <c r="D37" s="468">
        <f>PGL_Supplies!L7/1000</f>
        <v>11.08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2" t="s">
        <v>628</v>
      </c>
      <c r="B43" s="840" t="s">
        <v>421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6" t="s">
        <v>774</v>
      </c>
      <c r="B47" s="840" t="s">
        <v>752</v>
      </c>
      <c r="C47" s="840"/>
      <c r="D47" s="468">
        <f>PGL_Supplies!Y7/1000</f>
        <v>207.08799999999999</v>
      </c>
      <c r="E47" s="468">
        <f>PGL_Supplies!Y8/1000</f>
        <v>144.90899999999999</v>
      </c>
      <c r="F47" s="468">
        <f>PGL_Supplies!Y9/1000</f>
        <v>131.97300000000001</v>
      </c>
      <c r="G47" s="468">
        <f>PGL_Supplies!Y10/1000</f>
        <v>121.063</v>
      </c>
      <c r="H47" s="468">
        <f>PGL_Supplies!Y11/1000</f>
        <v>121.063</v>
      </c>
      <c r="I47" s="469">
        <f>PGL_Supplies!Y12/1000</f>
        <v>121.063</v>
      </c>
    </row>
    <row r="48" spans="1:9" ht="15.75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41.16</v>
      </c>
      <c r="F48" s="468">
        <f>PGL_Supplies!Z9/1000</f>
        <v>41.16</v>
      </c>
      <c r="G48" s="468">
        <f>PGL_Supplies!Z10/1000</f>
        <v>41.16</v>
      </c>
      <c r="H48" s="468">
        <f>PGL_Supplies!Z11/1000</f>
        <v>41.16</v>
      </c>
      <c r="I48" s="469">
        <f>PGL_Supplies!Z12/1000</f>
        <v>41.16</v>
      </c>
    </row>
    <row r="49" spans="1:10" ht="15.75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0</v>
      </c>
      <c r="F49" s="468">
        <f>PGL_Supplies!AA9/1000</f>
        <v>0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 ht="15.75">
      <c r="A50" s="852"/>
      <c r="B50" s="840" t="s">
        <v>421</v>
      </c>
      <c r="C50" s="853"/>
      <c r="D50" s="468">
        <f>PGL_Supplies!AB7/1000</f>
        <v>366.51400000000001</v>
      </c>
      <c r="E50" s="468">
        <f>PGL_Supplies!AB8/1000</f>
        <v>337.21699999999998</v>
      </c>
      <c r="F50" s="468">
        <f>PGL_Supplies!AB9/1000</f>
        <v>337.21699999999998</v>
      </c>
      <c r="G50" s="468">
        <f>PGL_Supplies!AB10/1000</f>
        <v>337.21699999999998</v>
      </c>
      <c r="H50" s="468">
        <f>PGL_Supplies!AB11/1000</f>
        <v>337.21699999999998</v>
      </c>
      <c r="I50" s="469">
        <f>PGL_Supplies!AB12/1000</f>
        <v>337.21699999999998</v>
      </c>
    </row>
    <row r="51" spans="1:10" ht="15.75">
      <c r="A51" s="852"/>
      <c r="B51" s="840" t="s">
        <v>141</v>
      </c>
      <c r="C51" s="840"/>
      <c r="D51" s="468">
        <f>PGL_Supplies!AC7/1000</f>
        <v>81.846000000000004</v>
      </c>
      <c r="E51" s="468">
        <f>PGL_Supplies!AC8/1000</f>
        <v>179.55699999999999</v>
      </c>
      <c r="F51" s="468">
        <f>PGL_Supplies!AC9/1000</f>
        <v>179.55699999999999</v>
      </c>
      <c r="G51" s="468">
        <f>PGL_Supplies!AC10/1000</f>
        <v>179.55699999999999</v>
      </c>
      <c r="H51" s="468">
        <f>PGL_Supplies!AC11/1000</f>
        <v>179.55699999999999</v>
      </c>
      <c r="I51" s="469">
        <f>PGL_Supplies!AC12/1000</f>
        <v>179.55699999999999</v>
      </c>
    </row>
    <row r="52" spans="1:10" ht="15.75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 ht="15.75">
      <c r="A53" s="866"/>
      <c r="B53" s="840" t="s">
        <v>158</v>
      </c>
      <c r="C53" s="840"/>
      <c r="D53" s="468">
        <f>PGL_Supplies!I7/1000</f>
        <v>10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 ht="15.75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2" t="s">
        <v>792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49" t="s">
        <v>763</v>
      </c>
      <c r="B56" s="840" t="s">
        <v>752</v>
      </c>
      <c r="C56" s="840"/>
      <c r="D56" s="468">
        <f>PGL_Supplies!X7/1000</f>
        <v>5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49"/>
      <c r="B57" s="840" t="s">
        <v>143</v>
      </c>
      <c r="C57" s="840"/>
      <c r="D57" s="468">
        <f>PGL_Supplies!C7/1000</f>
        <v>30.4</v>
      </c>
      <c r="E57" s="468">
        <f>PGL_Supplies!C8/1000</f>
        <v>30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49"/>
      <c r="B59" s="840" t="s">
        <v>421</v>
      </c>
      <c r="C59" s="840"/>
      <c r="D59" s="468">
        <f>PGL_Supplies!E7/1000</f>
        <v>3.8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0" t="s">
        <v>160</v>
      </c>
      <c r="B61" s="871"/>
      <c r="C61" s="871"/>
      <c r="D61" s="478">
        <f t="shared" ref="D61:I61" si="2">SUM(D33:D60)</f>
        <v>757.88799999999992</v>
      </c>
      <c r="E61" s="478">
        <f t="shared" si="2"/>
        <v>743.84299999999996</v>
      </c>
      <c r="F61" s="478">
        <f t="shared" si="2"/>
        <v>700.90700000000004</v>
      </c>
      <c r="G61" s="478">
        <f t="shared" si="2"/>
        <v>689.99699999999996</v>
      </c>
      <c r="H61" s="478">
        <f t="shared" si="2"/>
        <v>689.99699999999996</v>
      </c>
      <c r="I61" s="1177">
        <f t="shared" si="2"/>
        <v>689.99699999999996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0</v>
      </c>
      <c r="E62" s="479">
        <f t="shared" si="3"/>
        <v>183.8415</v>
      </c>
      <c r="F62" s="479">
        <f t="shared" si="3"/>
        <v>232.49200000000008</v>
      </c>
      <c r="G62" s="479">
        <f t="shared" si="3"/>
        <v>261.58199999999999</v>
      </c>
      <c r="H62" s="479">
        <f t="shared" si="3"/>
        <v>186.58199999999999</v>
      </c>
      <c r="I62" s="1178">
        <f t="shared" si="3"/>
        <v>171.58199999999999</v>
      </c>
    </row>
    <row r="63" spans="1:10" ht="15.75" thickBot="1">
      <c r="A63" s="874" t="s">
        <v>162</v>
      </c>
      <c r="B63" s="858"/>
      <c r="C63" s="875"/>
      <c r="D63" s="480">
        <f t="shared" ref="D63:I63" si="4">IF(D30-D61&lt;0,0,D30-D61)</f>
        <v>2.0000000000663931E-3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5" thickTop="1" thickBot="1">
      <c r="A64" s="1166" t="s">
        <v>778</v>
      </c>
      <c r="B64" s="1167"/>
      <c r="C64" s="1167"/>
      <c r="D64" s="1168">
        <f>PGL_Supplies!V7/1000</f>
        <v>243.04400000000001</v>
      </c>
      <c r="E64" s="1168">
        <f>PGL_Supplies!V8/1000</f>
        <v>243.04400000000001</v>
      </c>
      <c r="F64" s="1168">
        <f>PGL_Supplies!V9/1000</f>
        <v>243.04400000000001</v>
      </c>
      <c r="G64" s="1168">
        <f>PGL_Supplies!V10/1000</f>
        <v>243.04400000000001</v>
      </c>
      <c r="H64" s="1168">
        <f>PGL_Supplies!V11/1000</f>
        <v>243.04400000000001</v>
      </c>
      <c r="I64" s="1169">
        <f>PGL_Supplies!V12/1000</f>
        <v>243.04400000000001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2001-04-18T18:07:30Z</cp:lastPrinted>
  <dcterms:created xsi:type="dcterms:W3CDTF">1997-07-16T16:14:22Z</dcterms:created>
  <dcterms:modified xsi:type="dcterms:W3CDTF">2023-09-10T17:07:56Z</dcterms:modified>
</cp:coreProperties>
</file>