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BBEC038-3E55-417E-B9F8-A9856E4512D7}" xr6:coauthVersionLast="47" xr6:coauthVersionMax="47" xr10:uidLastSave="{00000000-0000-0000-0000-000000000000}"/>
  <bookViews>
    <workbookView xWindow="-120" yWindow="-120" windowWidth="38640" windowHeight="15720"/>
  </bookViews>
  <sheets>
    <sheet name="DAILY" sheetId="9" r:id="rId1"/>
    <sheet name="WEEKEND" sheetId="11" r:id="rId2"/>
  </sheets>
  <externalReferences>
    <externalReference r:id="rId3"/>
  </externalReferences>
  <definedNames>
    <definedName name="_xlnm.Print_Area" localSheetId="0">DAILY!$A$1:$J$79</definedName>
    <definedName name="_xlnm.Print_Area" localSheetId="1">WEEKEND!$A$1:$L$64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9" l="1"/>
  <c r="P1" i="9"/>
  <c r="T1" i="9"/>
  <c r="B2" i="9"/>
  <c r="P2" i="9"/>
  <c r="T2" i="9"/>
  <c r="Z2" i="9"/>
  <c r="AD2" i="9"/>
  <c r="AG2" i="9"/>
  <c r="AH2" i="9"/>
  <c r="AJ2" i="9"/>
  <c r="AK2" i="9"/>
  <c r="K3" i="9"/>
  <c r="L3" i="9"/>
  <c r="P3" i="9"/>
  <c r="T3" i="9"/>
  <c r="W3" i="9"/>
  <c r="Z3" i="9"/>
  <c r="AD3" i="9"/>
  <c r="AF3" i="9"/>
  <c r="AG3" i="9"/>
  <c r="AH3" i="9"/>
  <c r="AJ3" i="9"/>
  <c r="AK3" i="9"/>
  <c r="D4" i="9"/>
  <c r="M4" i="9"/>
  <c r="W4" i="9"/>
  <c r="Z4" i="9"/>
  <c r="AD4" i="9"/>
  <c r="AF4" i="9"/>
  <c r="AG4" i="9"/>
  <c r="AH4" i="9"/>
  <c r="AJ4" i="9"/>
  <c r="AK4" i="9"/>
  <c r="M5" i="9"/>
  <c r="W5" i="9"/>
  <c r="Z5" i="9"/>
  <c r="AD5" i="9"/>
  <c r="AF5" i="9"/>
  <c r="AG5" i="9"/>
  <c r="AH5" i="9"/>
  <c r="AJ5" i="9"/>
  <c r="AK5" i="9"/>
  <c r="K6" i="9"/>
  <c r="L6" i="9"/>
  <c r="M6" i="9"/>
  <c r="Q6" i="9"/>
  <c r="U6" i="9"/>
  <c r="W6" i="9"/>
  <c r="Z6" i="9"/>
  <c r="AD6" i="9"/>
  <c r="AF6" i="9"/>
  <c r="AG6" i="9"/>
  <c r="AH6" i="9"/>
  <c r="AJ6" i="9"/>
  <c r="AK6" i="9"/>
  <c r="W7" i="9"/>
  <c r="Z7" i="9"/>
  <c r="AD7" i="9"/>
  <c r="AF7" i="9"/>
  <c r="AG7" i="9"/>
  <c r="AH7" i="9"/>
  <c r="AJ7" i="9"/>
  <c r="AK7" i="9"/>
  <c r="W8" i="9"/>
  <c r="Z8" i="9"/>
  <c r="AD8" i="9"/>
  <c r="AF8" i="9"/>
  <c r="AG8" i="9"/>
  <c r="AH8" i="9"/>
  <c r="AJ8" i="9"/>
  <c r="AK8" i="9"/>
  <c r="W9" i="9"/>
  <c r="Z9" i="9"/>
  <c r="AD9" i="9"/>
  <c r="AF9" i="9"/>
  <c r="AG9" i="9"/>
  <c r="AH9" i="9"/>
  <c r="AJ9" i="9"/>
  <c r="AK9" i="9"/>
  <c r="W10" i="9"/>
  <c r="Z10" i="9"/>
  <c r="AD10" i="9"/>
  <c r="AF10" i="9"/>
  <c r="AG10" i="9"/>
  <c r="AH10" i="9"/>
  <c r="AJ10" i="9"/>
  <c r="AK10" i="9"/>
  <c r="B11" i="9"/>
  <c r="W11" i="9"/>
  <c r="Z11" i="9"/>
  <c r="AD11" i="9"/>
  <c r="AF11" i="9"/>
  <c r="AG11" i="9"/>
  <c r="AH11" i="9"/>
  <c r="AJ11" i="9"/>
  <c r="AK11" i="9"/>
  <c r="W12" i="9"/>
  <c r="Z12" i="9"/>
  <c r="AD12" i="9"/>
  <c r="AF12" i="9"/>
  <c r="AG12" i="9"/>
  <c r="AH12" i="9"/>
  <c r="AJ12" i="9"/>
  <c r="AK12" i="9"/>
  <c r="W13" i="9"/>
  <c r="Z13" i="9"/>
  <c r="AD13" i="9"/>
  <c r="AF13" i="9"/>
  <c r="AG13" i="9"/>
  <c r="AH13" i="9"/>
  <c r="AJ13" i="9"/>
  <c r="AK13" i="9"/>
  <c r="E14" i="9"/>
  <c r="W14" i="9"/>
  <c r="Z14" i="9"/>
  <c r="AD14" i="9"/>
  <c r="AF14" i="9"/>
  <c r="AG14" i="9"/>
  <c r="AH14" i="9"/>
  <c r="AJ14" i="9"/>
  <c r="AK14" i="9"/>
  <c r="F15" i="9"/>
  <c r="W15" i="9"/>
  <c r="Z15" i="9"/>
  <c r="AD15" i="9"/>
  <c r="AF15" i="9"/>
  <c r="AG15" i="9"/>
  <c r="AH15" i="9"/>
  <c r="AJ15" i="9"/>
  <c r="AK15" i="9"/>
  <c r="W16" i="9"/>
  <c r="Z16" i="9"/>
  <c r="AD16" i="9"/>
  <c r="AF16" i="9"/>
  <c r="AG16" i="9"/>
  <c r="AJ16" i="9"/>
  <c r="AK16" i="9"/>
  <c r="W17" i="9"/>
  <c r="Z17" i="9"/>
  <c r="AD17" i="9"/>
  <c r="AF17" i="9"/>
  <c r="AG17" i="9"/>
  <c r="AJ17" i="9"/>
  <c r="AK17" i="9"/>
  <c r="W18" i="9"/>
  <c r="Z18" i="9"/>
  <c r="AD18" i="9"/>
  <c r="AF18" i="9"/>
  <c r="AG18" i="9"/>
  <c r="AJ18" i="9"/>
  <c r="AK18" i="9"/>
  <c r="W19" i="9"/>
  <c r="Z19" i="9"/>
  <c r="AD19" i="9"/>
  <c r="AF19" i="9"/>
  <c r="AG19" i="9"/>
  <c r="AJ19" i="9"/>
  <c r="AK19" i="9"/>
  <c r="W20" i="9"/>
  <c r="Z20" i="9"/>
  <c r="AD20" i="9"/>
  <c r="AF20" i="9"/>
  <c r="AG20" i="9"/>
  <c r="AJ20" i="9"/>
  <c r="AK20" i="9"/>
  <c r="W21" i="9"/>
  <c r="Z21" i="9"/>
  <c r="AD21" i="9"/>
  <c r="AF21" i="9"/>
  <c r="AG21" i="9"/>
  <c r="AJ21" i="9"/>
  <c r="W22" i="9"/>
  <c r="Z22" i="9"/>
  <c r="AD22" i="9"/>
  <c r="AF22" i="9"/>
  <c r="AG22" i="9"/>
  <c r="AJ22" i="9"/>
  <c r="W23" i="9"/>
  <c r="Z23" i="9"/>
  <c r="AD23" i="9"/>
  <c r="AF23" i="9"/>
  <c r="AG23" i="9"/>
  <c r="AJ23" i="9"/>
  <c r="W24" i="9"/>
  <c r="Z24" i="9"/>
  <c r="AD24" i="9"/>
  <c r="AF24" i="9"/>
  <c r="AG24" i="9"/>
  <c r="AJ24" i="9"/>
  <c r="W25" i="9"/>
  <c r="Z25" i="9"/>
  <c r="AD25" i="9"/>
  <c r="AF25" i="9"/>
  <c r="AJ25" i="9"/>
  <c r="W26" i="9"/>
  <c r="Z26" i="9"/>
  <c r="AD26" i="9"/>
  <c r="AF26" i="9"/>
  <c r="AJ26" i="9"/>
  <c r="W27" i="9"/>
  <c r="Z27" i="9"/>
  <c r="AD27" i="9"/>
  <c r="AF27" i="9"/>
  <c r="AJ27" i="9"/>
  <c r="C28" i="9"/>
  <c r="W28" i="9"/>
  <c r="Z28" i="9"/>
  <c r="AD28" i="9"/>
  <c r="AF28" i="9"/>
  <c r="AJ28" i="9"/>
  <c r="B29" i="9"/>
  <c r="E29" i="9"/>
  <c r="W29" i="9"/>
  <c r="Z29" i="9"/>
  <c r="AD29" i="9"/>
  <c r="AF29" i="9"/>
  <c r="AJ29" i="9"/>
  <c r="W30" i="9"/>
  <c r="Z30" i="9"/>
  <c r="AD30" i="9"/>
  <c r="AF30" i="9"/>
  <c r="AJ30" i="9"/>
  <c r="W31" i="9"/>
  <c r="Z31" i="9"/>
  <c r="AD31" i="9"/>
  <c r="AF31" i="9"/>
  <c r="AJ31" i="9"/>
  <c r="W32" i="9"/>
  <c r="Z32" i="9"/>
  <c r="AD32" i="9"/>
  <c r="AF32" i="9"/>
  <c r="AJ32" i="9"/>
  <c r="W33" i="9"/>
  <c r="Z33" i="9"/>
  <c r="AD33" i="9"/>
  <c r="W34" i="9"/>
  <c r="Z34" i="9"/>
  <c r="AD34" i="9"/>
  <c r="W35" i="9"/>
  <c r="Z35" i="9"/>
  <c r="AD35" i="9"/>
  <c r="W36" i="9"/>
  <c r="Z36" i="9"/>
  <c r="AD36" i="9"/>
  <c r="W37" i="9"/>
  <c r="Z37" i="9"/>
  <c r="AD37" i="9"/>
  <c r="W38" i="9"/>
  <c r="Z38" i="9"/>
  <c r="AD38" i="9"/>
  <c r="W39" i="9"/>
  <c r="Z39" i="9"/>
  <c r="AD39" i="9"/>
  <c r="W40" i="9"/>
  <c r="Z40" i="9"/>
  <c r="AD40" i="9"/>
  <c r="W41" i="9"/>
  <c r="Z41" i="9"/>
  <c r="AD41" i="9"/>
  <c r="W42" i="9"/>
  <c r="Z42" i="9"/>
  <c r="AD42" i="9"/>
  <c r="W43" i="9"/>
  <c r="Z43" i="9"/>
  <c r="AD43" i="9"/>
  <c r="W44" i="9"/>
  <c r="Z44" i="9"/>
  <c r="AD44" i="9"/>
  <c r="W45" i="9"/>
  <c r="Z45" i="9"/>
  <c r="AD45" i="9"/>
  <c r="W46" i="9"/>
  <c r="Z46" i="9"/>
  <c r="AD46" i="9"/>
  <c r="W47" i="9"/>
  <c r="Z47" i="9"/>
  <c r="AD47" i="9"/>
  <c r="B63" i="9"/>
  <c r="B1" i="11"/>
  <c r="H1" i="11"/>
  <c r="B2" i="11"/>
  <c r="H2" i="11"/>
  <c r="D4" i="11"/>
  <c r="J4" i="11"/>
  <c r="E14" i="11"/>
  <c r="K14" i="11"/>
  <c r="F15" i="11"/>
  <c r="L15" i="11"/>
  <c r="C28" i="11"/>
  <c r="I28" i="11"/>
  <c r="B29" i="11"/>
  <c r="E29" i="11"/>
  <c r="H29" i="11"/>
  <c r="K29" i="11"/>
  <c r="B63" i="11"/>
  <c r="H63" i="11"/>
</calcChain>
</file>

<file path=xl/comments1.xml><?xml version="1.0" encoding="utf-8"?>
<comments xmlns="http://schemas.openxmlformats.org/spreadsheetml/2006/main">
  <authors>
    <author>dfuente2</author>
  </authors>
  <commentList>
    <comment ref="A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A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A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A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A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</commentList>
</comments>
</file>

<file path=xl/comments2.xml><?xml version="1.0" encoding="utf-8"?>
<comments xmlns="http://schemas.openxmlformats.org/spreadsheetml/2006/main">
  <authors>
    <author>dfuente2</author>
  </authors>
  <commentList>
    <comment ref="A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G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A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G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A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G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A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G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A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  <comment ref="G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</commentList>
</comments>
</file>

<file path=xl/sharedStrings.xml><?xml version="1.0" encoding="utf-8"?>
<sst xmlns="http://schemas.openxmlformats.org/spreadsheetml/2006/main" count="297" uniqueCount="91">
  <si>
    <t>TODAY'S DATE:</t>
  </si>
  <si>
    <t>TODAY'S SENDOUT FOR PGL:</t>
  </si>
  <si>
    <t>TODAY'S SENDOUT FOR NS:</t>
  </si>
  <si>
    <t xml:space="preserve">ESTIMATED PGL SENDOUT FOR: </t>
  </si>
  <si>
    <t xml:space="preserve">ESTIMATED NORTH SHORE SENDOUT FOR: </t>
  </si>
  <si>
    <t>Elwood Burn</t>
  </si>
  <si>
    <t>Elwood Bank Balance</t>
  </si>
  <si>
    <t>Gas Control Estimate</t>
  </si>
  <si>
    <t>Gas Control Actual</t>
  </si>
  <si>
    <t>Rider Gas</t>
  </si>
  <si>
    <t>SENDOUT FOR:</t>
  </si>
  <si>
    <t>HI</t>
  </si>
  <si>
    <t>LOW</t>
  </si>
  <si>
    <t>MEAN</t>
  </si>
  <si>
    <t>WEATHER</t>
  </si>
  <si>
    <t xml:space="preserve"> </t>
  </si>
  <si>
    <t>ELWOOD</t>
  </si>
  <si>
    <t>Change</t>
  </si>
  <si>
    <t>PGL SENDOUT</t>
  </si>
  <si>
    <t>NS SENDOUT</t>
  </si>
  <si>
    <t>Total Burn:</t>
  </si>
  <si>
    <t>HUB:</t>
  </si>
  <si>
    <t>OFF SYSTEM SALES</t>
  </si>
  <si>
    <t>INJECTIONS:</t>
  </si>
  <si>
    <t>PGL Balancing:</t>
  </si>
  <si>
    <t xml:space="preserve">     MANLOVE</t>
  </si>
  <si>
    <t xml:space="preserve">     ANR </t>
  </si>
  <si>
    <t xml:space="preserve">     ANR (NO-NOTICE)</t>
  </si>
  <si>
    <t>TOTAL REQUIREMENTS</t>
  </si>
  <si>
    <t xml:space="preserve">     PANHANDLE</t>
  </si>
  <si>
    <t xml:space="preserve">     FUEL</t>
  </si>
  <si>
    <t>ENA BASELOAD</t>
  </si>
  <si>
    <t>ENA SIQ</t>
  </si>
  <si>
    <t>ENA DIQ</t>
  </si>
  <si>
    <t>RIDER GAS</t>
  </si>
  <si>
    <t>IMBALANCES</t>
  </si>
  <si>
    <t>TOTAL SOURCES</t>
  </si>
  <si>
    <t>RFG</t>
  </si>
  <si>
    <t>WITHDRAWALS:</t>
  </si>
  <si>
    <t xml:space="preserve">     NGPL:  NSS1</t>
  </si>
  <si>
    <t xml:space="preserve">     NGPL:  NSS2</t>
  </si>
  <si>
    <t xml:space="preserve">     NGPL:  DSS</t>
  </si>
  <si>
    <t xml:space="preserve">     COENERGY</t>
  </si>
  <si>
    <t xml:space="preserve">     ENGAGE</t>
  </si>
  <si>
    <t xml:space="preserve">     NGPL (DSS)</t>
  </si>
  <si>
    <t>Elwood Injection</t>
  </si>
  <si>
    <t xml:space="preserve">     NICOR BALANCING</t>
  </si>
  <si>
    <t>OFF SYSTEM SALES:</t>
  </si>
  <si>
    <t xml:space="preserve">     ANR</t>
  </si>
  <si>
    <t xml:space="preserve">    ENOVATE</t>
  </si>
  <si>
    <t xml:space="preserve">     MISC</t>
  </si>
  <si>
    <t>LINE PACK / IMBALANCE</t>
  </si>
  <si>
    <t xml:space="preserve">    ENA SELL BACK</t>
  </si>
  <si>
    <t>ANR IMBALANCE</t>
  </si>
  <si>
    <t>Cinergy Nomination:</t>
  </si>
  <si>
    <t>LINCOLN CENTER</t>
  </si>
  <si>
    <t>Lincoln Ctr. Burn</t>
  </si>
  <si>
    <t>Lincoln Ctr. Injection</t>
  </si>
  <si>
    <t>Lincoln Ctr. Bank Balance</t>
  </si>
  <si>
    <t xml:space="preserve">     MOBIL</t>
  </si>
  <si>
    <t>EMW</t>
  </si>
  <si>
    <t xml:space="preserve">     LINEPACK</t>
  </si>
  <si>
    <t>Percent Full</t>
  </si>
  <si>
    <t xml:space="preserve">     EMW</t>
  </si>
  <si>
    <t>Elwood MAX Bank</t>
  </si>
  <si>
    <t>Lincoln Center MAX Bank</t>
  </si>
  <si>
    <t xml:space="preserve">     NGPL- DSS</t>
  </si>
  <si>
    <t xml:space="preserve">     NGPL (NO-NOTICE)-NSS</t>
  </si>
  <si>
    <t xml:space="preserve">     NGPL AM-DSS</t>
  </si>
  <si>
    <t xml:space="preserve">     NGPL SUPPLY (NS TTP)</t>
  </si>
  <si>
    <t>MANLOVE (MAHO / HUB)</t>
  </si>
  <si>
    <t xml:space="preserve">    MISC </t>
  </si>
  <si>
    <t>TRUNKLINE IMBALANCE (OVER DEL' D)</t>
  </si>
  <si>
    <t xml:space="preserve">    TRUNKLINE IMBALANCE (UNDER DEL' D)</t>
  </si>
  <si>
    <t>ALLIANCE IMBALANCE (OVER DEL' D)</t>
  </si>
  <si>
    <t xml:space="preserve">     PGL TTP  (PGLC purch delivrd @the city gate)</t>
  </si>
  <si>
    <t xml:space="preserve">    LNG LIQUIFICATION</t>
  </si>
  <si>
    <t xml:space="preserve">     -  ADDITIONAL NGPL DSS INJECTIONS</t>
  </si>
  <si>
    <t xml:space="preserve">     -  ADDITIONAL CITYGATE PURCHASES</t>
  </si>
  <si>
    <t>HUB ACTIVITY   (PURCHASES MAHO CG )</t>
  </si>
  <si>
    <t xml:space="preserve">     - SPOT / ADD'L CITY GATE PURCHASES</t>
  </si>
  <si>
    <t>TRUNKLINE SOUTH TX (REFILL)</t>
  </si>
  <si>
    <t>TRUNKLINE QNT SPOT</t>
  </si>
  <si>
    <t xml:space="preserve">     TGC</t>
  </si>
  <si>
    <t xml:space="preserve">     NS MANLOVE TTP</t>
  </si>
  <si>
    <t xml:space="preserve">     PGL TTP-MANLOVE</t>
  </si>
  <si>
    <t xml:space="preserve">     NGPL AM</t>
  </si>
  <si>
    <t>LNG VAPORIZE A + B</t>
  </si>
  <si>
    <t>J.Wirick</t>
  </si>
  <si>
    <t xml:space="preserve">     NGPL (NO-NOTICE) TOLERANCE</t>
  </si>
  <si>
    <t>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</si>
</sst>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.000_);_(* \(#,##0.000\);_(* &quot;-&quot;??_);_(@_)"/>
    <numFmt numFmtId="172" formatCode="_(&quot;$&quot;* #,##0_);_(&quot;$&quot;* \(#,##0\);_(&quot;$&quot;* &quot;-&quot;??_);_(@_)"/>
    <numFmt numFmtId="176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12"/>
      <color indexed="81"/>
      <name val="Tahoma"/>
      <family val="2"/>
    </font>
    <font>
      <sz val="12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1" xfId="0" applyNumberFormat="1" applyFont="1" applyBorder="1"/>
    <xf numFmtId="0" fontId="3" fillId="0" borderId="2" xfId="0" applyFont="1" applyBorder="1" applyAlignment="1">
      <alignment wrapText="1"/>
    </xf>
    <xf numFmtId="176" fontId="3" fillId="0" borderId="3" xfId="1" applyNumberFormat="1" applyFont="1" applyBorder="1"/>
    <xf numFmtId="0" fontId="2" fillId="0" borderId="3" xfId="0" applyFont="1" applyBorder="1"/>
    <xf numFmtId="0" fontId="3" fillId="0" borderId="3" xfId="0" applyFont="1" applyBorder="1" applyAlignment="1">
      <alignment wrapText="1"/>
    </xf>
    <xf numFmtId="176" fontId="3" fillId="0" borderId="4" xfId="1" applyNumberFormat="1" applyFont="1" applyBorder="1"/>
    <xf numFmtId="176" fontId="2" fillId="0" borderId="0" xfId="1" applyNumberFormat="1" applyFont="1" applyBorder="1"/>
    <xf numFmtId="0" fontId="2" fillId="0" borderId="0" xfId="0" applyFont="1" applyAlignment="1">
      <alignment wrapText="1"/>
    </xf>
    <xf numFmtId="14" fontId="2" fillId="0" borderId="0" xfId="0" applyNumberFormat="1" applyFont="1"/>
    <xf numFmtId="176" fontId="2" fillId="0" borderId="0" xfId="1" applyNumberFormat="1" applyFont="1"/>
    <xf numFmtId="1" fontId="2" fillId="0" borderId="0" xfId="0" applyNumberFormat="1" applyFont="1" applyAlignment="1">
      <alignment horizontal="center"/>
    </xf>
    <xf numFmtId="176" fontId="2" fillId="0" borderId="0" xfId="0" applyNumberFormat="1" applyFont="1"/>
    <xf numFmtId="14" fontId="2" fillId="0" borderId="0" xfId="1" applyNumberFormat="1" applyFont="1"/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0" borderId="2" xfId="0" applyFont="1" applyBorder="1"/>
    <xf numFmtId="14" fontId="2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176" fontId="2" fillId="0" borderId="9" xfId="1" applyNumberFormat="1" applyFont="1" applyBorder="1"/>
    <xf numFmtId="0" fontId="2" fillId="0" borderId="0" xfId="0" applyFont="1" applyBorder="1"/>
    <xf numFmtId="176" fontId="2" fillId="0" borderId="7" xfId="0" applyNumberFormat="1" applyFont="1" applyBorder="1"/>
    <xf numFmtId="176" fontId="2" fillId="0" borderId="10" xfId="0" applyNumberFormat="1" applyFont="1" applyBorder="1"/>
    <xf numFmtId="0" fontId="2" fillId="0" borderId="11" xfId="0" applyFont="1" applyBorder="1"/>
    <xf numFmtId="176" fontId="2" fillId="0" borderId="12" xfId="1" applyNumberFormat="1" applyFont="1" applyBorder="1"/>
    <xf numFmtId="176" fontId="2" fillId="0" borderId="13" xfId="0" applyNumberFormat="1" applyFont="1" applyBorder="1"/>
    <xf numFmtId="0" fontId="3" fillId="0" borderId="8" xfId="0" applyFont="1" applyBorder="1"/>
    <xf numFmtId="176" fontId="2" fillId="3" borderId="1" xfId="1" applyNumberFormat="1" applyFont="1" applyFill="1" applyBorder="1"/>
    <xf numFmtId="176" fontId="2" fillId="0" borderId="14" xfId="1" applyNumberFormat="1" applyFont="1" applyBorder="1"/>
    <xf numFmtId="0" fontId="2" fillId="0" borderId="14" xfId="0" applyFont="1" applyBorder="1"/>
    <xf numFmtId="176" fontId="2" fillId="0" borderId="7" xfId="1" applyNumberFormat="1" applyFont="1" applyBorder="1"/>
    <xf numFmtId="176" fontId="2" fillId="0" borderId="10" xfId="1" applyNumberFormat="1" applyFont="1" applyBorder="1"/>
    <xf numFmtId="176" fontId="2" fillId="0" borderId="13" xfId="1" applyNumberFormat="1" applyFont="1" applyBorder="1"/>
    <xf numFmtId="176" fontId="2" fillId="0" borderId="9" xfId="1" applyNumberFormat="1" applyFont="1" applyFill="1" applyBorder="1"/>
    <xf numFmtId="0" fontId="2" fillId="0" borderId="8" xfId="0" applyFont="1" applyFill="1" applyBorder="1"/>
    <xf numFmtId="0" fontId="3" fillId="0" borderId="0" xfId="0" applyFont="1" applyAlignment="1">
      <alignment wrapText="1"/>
    </xf>
    <xf numFmtId="0" fontId="4" fillId="0" borderId="0" xfId="0" applyFont="1" applyFill="1"/>
    <xf numFmtId="14" fontId="4" fillId="0" borderId="1" xfId="0" applyNumberFormat="1" applyFont="1" applyFill="1" applyBorder="1"/>
    <xf numFmtId="0" fontId="4" fillId="0" borderId="0" xfId="0" applyFont="1" applyFill="1" applyAlignment="1">
      <alignment horizontal="center"/>
    </xf>
    <xf numFmtId="176" fontId="2" fillId="0" borderId="0" xfId="1" applyNumberFormat="1" applyFont="1" applyAlignment="1">
      <alignment horizontal="left"/>
    </xf>
    <xf numFmtId="0" fontId="2" fillId="0" borderId="9" xfId="0" applyFont="1" applyFill="1" applyBorder="1"/>
    <xf numFmtId="176" fontId="2" fillId="0" borderId="0" xfId="1" applyNumberFormat="1" applyFont="1" applyAlignment="1">
      <alignment horizontal="right"/>
    </xf>
    <xf numFmtId="169" fontId="2" fillId="0" borderId="0" xfId="1" applyNumberFormat="1" applyFont="1"/>
    <xf numFmtId="169" fontId="2" fillId="0" borderId="0" xfId="0" applyNumberFormat="1" applyFont="1"/>
    <xf numFmtId="172" fontId="2" fillId="0" borderId="0" xfId="2" applyNumberFormat="1" applyFont="1"/>
    <xf numFmtId="14" fontId="3" fillId="0" borderId="2" xfId="0" applyNumberFormat="1" applyFont="1" applyBorder="1"/>
    <xf numFmtId="169" fontId="2" fillId="0" borderId="0" xfId="1" applyNumberFormat="1" applyFont="1" applyBorder="1"/>
    <xf numFmtId="176" fontId="2" fillId="0" borderId="0" xfId="0" applyNumberFormat="1" applyFont="1" applyBorder="1"/>
    <xf numFmtId="9" fontId="3" fillId="0" borderId="4" xfId="3" applyNumberFormat="1" applyFont="1" applyBorder="1" applyAlignment="1">
      <alignment horizontal="center"/>
    </xf>
    <xf numFmtId="176" fontId="2" fillId="0" borderId="0" xfId="0" quotePrefix="1" applyNumberFormat="1" applyFont="1"/>
    <xf numFmtId="176" fontId="5" fillId="0" borderId="0" xfId="0" applyNumberFormat="1" applyFont="1"/>
    <xf numFmtId="176" fontId="8" fillId="0" borderId="9" xfId="1" applyNumberFormat="1" applyFont="1" applyFill="1" applyBorder="1"/>
    <xf numFmtId="176" fontId="8" fillId="0" borderId="9" xfId="1" applyNumberFormat="1" applyFont="1" applyBorder="1"/>
    <xf numFmtId="0" fontId="8" fillId="0" borderId="8" xfId="0" applyFont="1" applyBorder="1"/>
    <xf numFmtId="0" fontId="2" fillId="0" borderId="0" xfId="0" applyFont="1" applyFill="1" applyAlignment="1">
      <alignment horizontal="center"/>
    </xf>
    <xf numFmtId="176" fontId="8" fillId="0" borderId="0" xfId="0" applyNumberFormat="1" applyFont="1"/>
    <xf numFmtId="14" fontId="3" fillId="0" borderId="0" xfId="0" applyNumberFormat="1" applyFont="1"/>
    <xf numFmtId="14" fontId="3" fillId="0" borderId="0" xfId="1" applyNumberFormat="1" applyFont="1"/>
    <xf numFmtId="176" fontId="2" fillId="0" borderId="0" xfId="1" applyNumberFormat="1" applyFont="1" applyFill="1" applyBorder="1"/>
    <xf numFmtId="41" fontId="2" fillId="0" borderId="0" xfId="0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F-43EC-A820-2DF0AC507BAD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F-43EC-A820-2DF0AC507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714207"/>
        <c:axId val="1"/>
      </c:lineChart>
      <c:catAx>
        <c:axId val="54771420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7714207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23C-463D-A1E0-007565D57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858543"/>
        <c:axId val="1"/>
      </c:lineChart>
      <c:catAx>
        <c:axId val="551858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858543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14B-4C08-9BD2-5944E00CB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855759"/>
        <c:axId val="1"/>
      </c:lineChart>
      <c:catAx>
        <c:axId val="5518557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855759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2CE-4D90-9515-E457F5B70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856223"/>
        <c:axId val="1"/>
      </c:lineChart>
      <c:catAx>
        <c:axId val="5518562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856223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D-4091-ADC8-5F9EF4162FBC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5D-4091-ADC8-5F9EF4162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411295"/>
        <c:axId val="1"/>
      </c:lineChart>
      <c:catAx>
        <c:axId val="552411295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2411295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A6-4676-A400-A1B1E48DF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416863"/>
        <c:axId val="1"/>
      </c:lineChart>
      <c:dateAx>
        <c:axId val="55241686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2416863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2-416C-92D2-820F0608C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412687"/>
        <c:axId val="1"/>
      </c:lineChart>
      <c:catAx>
        <c:axId val="55241268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2412687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859-4D3C-B76C-B9E525F98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414079"/>
        <c:axId val="1"/>
      </c:lineChart>
      <c:catAx>
        <c:axId val="552414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2414079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8A8-4A76-AC90-9494E9CE2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418255"/>
        <c:axId val="1"/>
      </c:lineChart>
      <c:catAx>
        <c:axId val="5524182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2418255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FA2-4ACF-9BC2-77E8ACC5A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418719"/>
        <c:axId val="1"/>
      </c:lineChart>
      <c:catAx>
        <c:axId val="5524187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2418719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B-4C7C-8D3F-A001DC20E12D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B-4C7C-8D3F-A001DC20E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699439"/>
        <c:axId val="1"/>
      </c:lineChart>
      <c:catAx>
        <c:axId val="552699439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2699439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99-45FB-BFA3-8853F0ECF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052943"/>
        <c:axId val="1"/>
      </c:lineChart>
      <c:dateAx>
        <c:axId val="55105294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52943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D9-4D00-ABA0-EB448542B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694335"/>
        <c:axId val="1"/>
      </c:lineChart>
      <c:dateAx>
        <c:axId val="55269433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2694335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F-498D-95C2-7D1CF02F9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700831"/>
        <c:axId val="1"/>
      </c:lineChart>
      <c:catAx>
        <c:axId val="552700831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2700831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36B-4D7C-8565-98CFE7A3C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695727"/>
        <c:axId val="1"/>
      </c:lineChart>
      <c:catAx>
        <c:axId val="5526957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2695727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8D6-463A-921A-262BDDF2A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697119"/>
        <c:axId val="1"/>
      </c:lineChart>
      <c:catAx>
        <c:axId val="5526971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2697119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4A3-4C6A-AF33-3791C4A24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698975"/>
        <c:axId val="1"/>
      </c:lineChart>
      <c:catAx>
        <c:axId val="5526989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2698975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4C-4342-BBA4-17411434AE6B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4C-4342-BBA4-17411434A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328479"/>
        <c:axId val="1"/>
      </c:lineChart>
      <c:catAx>
        <c:axId val="553328479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3328479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8-4F3C-BFEE-6DEAE5469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327551"/>
        <c:axId val="1"/>
      </c:lineChart>
      <c:dateAx>
        <c:axId val="553327551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3327551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8-42A3-950C-8F58D7999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325695"/>
        <c:axId val="1"/>
      </c:lineChart>
      <c:catAx>
        <c:axId val="553325695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3325695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297-4A4B-AD72-423FF5153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329407"/>
        <c:axId val="1"/>
      </c:lineChart>
      <c:catAx>
        <c:axId val="5533294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3329407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2D0-4A93-92FF-DE51064C8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331263"/>
        <c:axId val="1"/>
      </c:lineChart>
      <c:catAx>
        <c:axId val="5533312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3331263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DA-4A36-9543-7DFC9C8D4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048767"/>
        <c:axId val="1"/>
      </c:lineChart>
      <c:catAx>
        <c:axId val="55104876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48767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791-42FE-9A6C-3E2AB1E74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432751"/>
        <c:axId val="1"/>
      </c:lineChart>
      <c:catAx>
        <c:axId val="553432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3432751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layout>
        <c:manualLayout>
          <c:xMode val="edge"/>
          <c:yMode val="edge"/>
          <c:x val="0.45460939373114945"/>
          <c:y val="9.141062597197715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076594376406308E-2"/>
          <c:y val="5.3018163063746751E-2"/>
          <c:w val="0.9444427598579328"/>
          <c:h val="0.80989814611171762"/>
        </c:manualLayout>
      </c:layout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</c:numCache>
            </c:numRef>
          </c:cat>
          <c:val>
            <c:numRef>
              <c:f>DAILY!$AG$2:$AG$32</c:f>
              <c:numCache>
                <c:formatCode>_(* #,##0_);_(* \(#,##0\);_(* "-"??_);_(@_)</c:formatCode>
                <c:ptCount val="31"/>
                <c:pt idx="0">
                  <c:v>364453</c:v>
                </c:pt>
                <c:pt idx="1">
                  <c:v>419919</c:v>
                </c:pt>
                <c:pt idx="2">
                  <c:v>396329</c:v>
                </c:pt>
                <c:pt idx="3">
                  <c:v>563000</c:v>
                </c:pt>
                <c:pt idx="4">
                  <c:v>602000</c:v>
                </c:pt>
                <c:pt idx="5">
                  <c:v>467000</c:v>
                </c:pt>
                <c:pt idx="6">
                  <c:v>403000</c:v>
                </c:pt>
                <c:pt idx="7">
                  <c:v>744000</c:v>
                </c:pt>
                <c:pt idx="8">
                  <c:v>658000</c:v>
                </c:pt>
                <c:pt idx="9">
                  <c:v>622000</c:v>
                </c:pt>
                <c:pt idx="10">
                  <c:v>637000</c:v>
                </c:pt>
                <c:pt idx="11">
                  <c:v>647000</c:v>
                </c:pt>
                <c:pt idx="12">
                  <c:v>508000</c:v>
                </c:pt>
                <c:pt idx="13">
                  <c:v>431700</c:v>
                </c:pt>
                <c:pt idx="14">
                  <c:v>350700</c:v>
                </c:pt>
                <c:pt idx="15">
                  <c:v>374000</c:v>
                </c:pt>
                <c:pt idx="16">
                  <c:v>294000</c:v>
                </c:pt>
                <c:pt idx="17">
                  <c:v>469000</c:v>
                </c:pt>
                <c:pt idx="18">
                  <c:v>815000</c:v>
                </c:pt>
                <c:pt idx="19">
                  <c:v>940000</c:v>
                </c:pt>
                <c:pt idx="20">
                  <c:v>788000</c:v>
                </c:pt>
                <c:pt idx="21">
                  <c:v>721000</c:v>
                </c:pt>
                <c:pt idx="22">
                  <c:v>708000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6-41D8-A6FC-8FBD80159B12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</c:numCache>
            </c:numRef>
          </c:cat>
          <c:val>
            <c:numRef>
              <c:f>DAILY!$AH$2:$AH$32</c:f>
              <c:numCache>
                <c:formatCode>_(* #,##0_);_(* \(#,##0\);_(* "-"??_);_(@_)</c:formatCode>
                <c:ptCount val="31"/>
                <c:pt idx="0">
                  <c:v>364453</c:v>
                </c:pt>
                <c:pt idx="1">
                  <c:v>419919</c:v>
                </c:pt>
                <c:pt idx="2">
                  <c:v>396329</c:v>
                </c:pt>
                <c:pt idx="3">
                  <c:v>544711</c:v>
                </c:pt>
                <c:pt idx="4">
                  <c:v>616642</c:v>
                </c:pt>
                <c:pt idx="5">
                  <c:v>509446</c:v>
                </c:pt>
                <c:pt idx="6">
                  <c:v>388546</c:v>
                </c:pt>
                <c:pt idx="7">
                  <c:v>744000</c:v>
                </c:pt>
                <c:pt idx="8">
                  <c:v>704605</c:v>
                </c:pt>
                <c:pt idx="9">
                  <c:v>583519</c:v>
                </c:pt>
                <c:pt idx="10">
                  <c:v>683517</c:v>
                </c:pt>
                <c:pt idx="11">
                  <c:v>649321</c:v>
                </c:pt>
                <c:pt idx="12">
                  <c:v>503300</c:v>
                </c:pt>
                <c:pt idx="13">
                  <c:v>430834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6-41D8-A6FC-8FBD80159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437855"/>
        <c:axId val="1"/>
      </c:lineChart>
      <c:catAx>
        <c:axId val="553437855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3437855"/>
        <c:crosses val="autoZero"/>
        <c:crossBetween val="between"/>
        <c:majorUnit val="20000"/>
        <c:min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719463270134163"/>
          <c:y val="0.91044983468089247"/>
          <c:w val="4.8983336612678334E-2"/>
          <c:h val="8.40977758942189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layout>
        <c:manualLayout>
          <c:xMode val="edge"/>
          <c:yMode val="edge"/>
          <c:x val="0.39439986134860716"/>
          <c:y val="1.59241085599664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46662044953572"/>
          <c:y val="9.2359829647805453E-2"/>
          <c:w val="0.8272057017049439"/>
          <c:h val="0.55415897788683266"/>
        </c:manualLayout>
      </c:layout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DAILY!$W$2:$W$42</c:f>
              <c:numCache>
                <c:formatCode>m/d/yyyy</c:formatCode>
                <c:ptCount val="4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  <c:pt idx="31">
                  <c:v>37227</c:v>
                </c:pt>
                <c:pt idx="32">
                  <c:v>37228</c:v>
                </c:pt>
                <c:pt idx="33">
                  <c:v>37229</c:v>
                </c:pt>
                <c:pt idx="34">
                  <c:v>37230</c:v>
                </c:pt>
                <c:pt idx="35">
                  <c:v>37231</c:v>
                </c:pt>
                <c:pt idx="36">
                  <c:v>37232</c:v>
                </c:pt>
                <c:pt idx="37">
                  <c:v>37233</c:v>
                </c:pt>
                <c:pt idx="38">
                  <c:v>37234</c:v>
                </c:pt>
                <c:pt idx="39">
                  <c:v>37235</c:v>
                </c:pt>
                <c:pt idx="40">
                  <c:v>37236</c:v>
                </c:pt>
              </c:numCache>
            </c:numRef>
          </c:cat>
          <c:val>
            <c:numRef>
              <c:f>DAILY!$X$2:$X$42</c:f>
              <c:numCache>
                <c:formatCode>_(* #,##0_);_(* \(#,##0\);_(* "-"??_);_(@_)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52966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444F-B7ED-72952B6F3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435999"/>
        <c:axId val="1"/>
      </c:lineChart>
      <c:dateAx>
        <c:axId val="55343599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25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3435999"/>
        <c:crosses val="autoZero"/>
        <c:crossBetween val="midCat"/>
        <c:majorUnit val="40000"/>
        <c:minorUnit val="4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618548789100851"/>
          <c:y val="0.92996793990204107"/>
          <c:w val="0.17873551768981824"/>
          <c:h val="5.41419691038859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layout>
        <c:manualLayout>
          <c:xMode val="edge"/>
          <c:yMode val="edge"/>
          <c:x val="0.43954963370201022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06060292515985E-2"/>
          <c:y val="0.10057780555495467"/>
          <c:w val="0.950332813569296"/>
          <c:h val="0.64944525872627867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DAILY!$AJ$2:$AJ$32</c:f>
              <c:numCache>
                <c:formatCode>m/d/yyyy</c:formatCode>
                <c:ptCount val="3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</c:numCache>
            </c:numRef>
          </c:cat>
          <c:val>
            <c:numRef>
              <c:f>DAILY!$AK$2:$AK$32</c:f>
              <c:numCache>
                <c:formatCode>_(* #,##0_);_(* \(#,##0\);_(* "-"??_);_(@_)</c:formatCode>
                <c:ptCount val="31"/>
                <c:pt idx="0">
                  <c:v>326942</c:v>
                </c:pt>
                <c:pt idx="1">
                  <c:v>373798</c:v>
                </c:pt>
                <c:pt idx="2">
                  <c:v>363653</c:v>
                </c:pt>
                <c:pt idx="3">
                  <c:v>364574</c:v>
                </c:pt>
                <c:pt idx="4">
                  <c:v>364495</c:v>
                </c:pt>
                <c:pt idx="5">
                  <c:v>343577</c:v>
                </c:pt>
                <c:pt idx="6">
                  <c:v>312978</c:v>
                </c:pt>
                <c:pt idx="7">
                  <c:v>318937</c:v>
                </c:pt>
                <c:pt idx="8">
                  <c:v>318685</c:v>
                </c:pt>
                <c:pt idx="9">
                  <c:v>311207</c:v>
                </c:pt>
                <c:pt idx="10">
                  <c:v>316207</c:v>
                </c:pt>
                <c:pt idx="11">
                  <c:v>316207</c:v>
                </c:pt>
                <c:pt idx="12">
                  <c:v>314203</c:v>
                </c:pt>
                <c:pt idx="13">
                  <c:v>306117</c:v>
                </c:pt>
                <c:pt idx="14">
                  <c:v>284889</c:v>
                </c:pt>
                <c:pt idx="15">
                  <c:v>300786</c:v>
                </c:pt>
                <c:pt idx="16">
                  <c:v>282317</c:v>
                </c:pt>
                <c:pt idx="17">
                  <c:v>284327</c:v>
                </c:pt>
                <c:pt idx="18">
                  <c:v>285362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D-4B15-ABA7-A656C8F7E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431359"/>
        <c:axId val="1"/>
      </c:lineChart>
      <c:catAx>
        <c:axId val="553431359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60000"/>
          <c:min val="2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3431359"/>
        <c:crosses val="autoZero"/>
        <c:crossBetween val="between"/>
        <c:majorUnit val="20000"/>
        <c:min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475039782760762"/>
          <c:y val="0.93106311428015176"/>
          <c:w val="4.0310456357093905E-2"/>
          <c:h val="6.0346683332972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layout>
        <c:manualLayout>
          <c:xMode val="edge"/>
          <c:yMode val="edge"/>
          <c:x val="0.33141397907162756"/>
          <c:y val="3.25743066577516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43614143456472"/>
          <c:y val="0.11726750396790604"/>
          <c:w val="0.84951967561155184"/>
          <c:h val="0.56679293584487922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DAILY!$W$2:$W$42</c:f>
              <c:numCache>
                <c:formatCode>m/d/yyyy</c:formatCode>
                <c:ptCount val="4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  <c:pt idx="31">
                  <c:v>37227</c:v>
                </c:pt>
                <c:pt idx="32">
                  <c:v>37228</c:v>
                </c:pt>
                <c:pt idx="33">
                  <c:v>37229</c:v>
                </c:pt>
                <c:pt idx="34">
                  <c:v>37230</c:v>
                </c:pt>
                <c:pt idx="35">
                  <c:v>37231</c:v>
                </c:pt>
                <c:pt idx="36">
                  <c:v>37232</c:v>
                </c:pt>
                <c:pt idx="37">
                  <c:v>37233</c:v>
                </c:pt>
                <c:pt idx="38">
                  <c:v>37234</c:v>
                </c:pt>
                <c:pt idx="39">
                  <c:v>37235</c:v>
                </c:pt>
                <c:pt idx="40">
                  <c:v>37236</c:v>
                </c:pt>
              </c:numCache>
            </c:numRef>
          </c:cat>
          <c:val>
            <c:numRef>
              <c:f>DAILY!$Z$2:$Z$42</c:f>
              <c:numCache>
                <c:formatCode>0</c:formatCode>
                <c:ptCount val="41"/>
                <c:pt idx="0">
                  <c:v>455527</c:v>
                </c:pt>
                <c:pt idx="1">
                  <c:v>460527</c:v>
                </c:pt>
                <c:pt idx="2">
                  <c:v>460527</c:v>
                </c:pt>
                <c:pt idx="3">
                  <c:v>460527</c:v>
                </c:pt>
                <c:pt idx="4">
                  <c:v>460527</c:v>
                </c:pt>
                <c:pt idx="5">
                  <c:v>465527</c:v>
                </c:pt>
                <c:pt idx="6">
                  <c:v>465527</c:v>
                </c:pt>
                <c:pt idx="7">
                  <c:v>470527</c:v>
                </c:pt>
                <c:pt idx="8">
                  <c:v>470527</c:v>
                </c:pt>
                <c:pt idx="9">
                  <c:v>470527</c:v>
                </c:pt>
                <c:pt idx="10">
                  <c:v>480527</c:v>
                </c:pt>
                <c:pt idx="11">
                  <c:v>484925</c:v>
                </c:pt>
                <c:pt idx="12">
                  <c:v>489925</c:v>
                </c:pt>
                <c:pt idx="13">
                  <c:v>489925</c:v>
                </c:pt>
                <c:pt idx="14">
                  <c:v>489925</c:v>
                </c:pt>
                <c:pt idx="15">
                  <c:v>489925</c:v>
                </c:pt>
                <c:pt idx="16">
                  <c:v>436959</c:v>
                </c:pt>
                <c:pt idx="17">
                  <c:v>436959</c:v>
                </c:pt>
                <c:pt idx="18">
                  <c:v>436959</c:v>
                </c:pt>
                <c:pt idx="19">
                  <c:v>436959</c:v>
                </c:pt>
                <c:pt idx="20">
                  <c:v>436959</c:v>
                </c:pt>
                <c:pt idx="21">
                  <c:v>436959</c:v>
                </c:pt>
                <c:pt idx="22">
                  <c:v>436959</c:v>
                </c:pt>
                <c:pt idx="23">
                  <c:v>436959</c:v>
                </c:pt>
                <c:pt idx="24">
                  <c:v>436959</c:v>
                </c:pt>
                <c:pt idx="25">
                  <c:v>436959</c:v>
                </c:pt>
                <c:pt idx="26">
                  <c:v>436959</c:v>
                </c:pt>
                <c:pt idx="27">
                  <c:v>436959</c:v>
                </c:pt>
                <c:pt idx="28">
                  <c:v>436959</c:v>
                </c:pt>
                <c:pt idx="29">
                  <c:v>436959</c:v>
                </c:pt>
                <c:pt idx="30">
                  <c:v>436959</c:v>
                </c:pt>
                <c:pt idx="31">
                  <c:v>436959</c:v>
                </c:pt>
                <c:pt idx="32">
                  <c:v>436959</c:v>
                </c:pt>
                <c:pt idx="33">
                  <c:v>436959</c:v>
                </c:pt>
                <c:pt idx="34">
                  <c:v>436959</c:v>
                </c:pt>
                <c:pt idx="35">
                  <c:v>436959</c:v>
                </c:pt>
                <c:pt idx="36">
                  <c:v>436959</c:v>
                </c:pt>
                <c:pt idx="37">
                  <c:v>436959</c:v>
                </c:pt>
                <c:pt idx="38">
                  <c:v>436959</c:v>
                </c:pt>
                <c:pt idx="39">
                  <c:v>436959</c:v>
                </c:pt>
                <c:pt idx="40">
                  <c:v>436959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026-4DAD-A6FA-116175F19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433679"/>
        <c:axId val="1"/>
      </c:lineChart>
      <c:catAx>
        <c:axId val="5534336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650000"/>
          <c:min val="-20000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3433679"/>
        <c:crosses val="autoZero"/>
        <c:crossBetween val="midCat"/>
        <c:majorUnit val="150000"/>
        <c:minorUnit val="1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138073552722176"/>
          <c:y val="0.92185287841437247"/>
          <c:w val="0.12301392236283118"/>
          <c:h val="5.86337519839530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LINCOLN CENTER BURN</a:t>
            </a:r>
          </a:p>
        </c:rich>
      </c:tx>
      <c:layout>
        <c:manualLayout>
          <c:xMode val="edge"/>
          <c:yMode val="edge"/>
          <c:x val="0.34168956679871887"/>
          <c:y val="1.59241085599664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51438955304515"/>
          <c:y val="0.10509911649577862"/>
          <c:w val="0.85422391699679712"/>
          <c:h val="0.59237683843075217"/>
        </c:manualLayout>
      </c:layout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DAILY!$W$2:$W$42</c:f>
              <c:numCache>
                <c:formatCode>m/d/yyyy</c:formatCode>
                <c:ptCount val="4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  <c:pt idx="31">
                  <c:v>37227</c:v>
                </c:pt>
                <c:pt idx="32">
                  <c:v>37228</c:v>
                </c:pt>
                <c:pt idx="33">
                  <c:v>37229</c:v>
                </c:pt>
                <c:pt idx="34">
                  <c:v>37230</c:v>
                </c:pt>
                <c:pt idx="35">
                  <c:v>37231</c:v>
                </c:pt>
                <c:pt idx="36">
                  <c:v>37232</c:v>
                </c:pt>
                <c:pt idx="37">
                  <c:v>37233</c:v>
                </c:pt>
                <c:pt idx="38">
                  <c:v>37234</c:v>
                </c:pt>
                <c:pt idx="39">
                  <c:v>37235</c:v>
                </c:pt>
                <c:pt idx="40">
                  <c:v>37236</c:v>
                </c:pt>
              </c:numCache>
            </c:numRef>
          </c:cat>
          <c:val>
            <c:numRef>
              <c:f>DAILY!$AB$2:$AB$42</c:f>
              <c:numCache>
                <c:formatCode>_(* #,##0_);_(* \(#,##0\);_(* "-"??_);_(@_)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FC8-4A0A-87AA-BEF87E270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436463"/>
        <c:axId val="1"/>
      </c:lineChart>
      <c:catAx>
        <c:axId val="5534364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20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3436463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51671327596394"/>
          <c:y val="0.92359829647805447"/>
          <c:w val="9.8677590411698976E-2"/>
          <c:h val="5.73267908158792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LINCOLN CENTER BANK BALANCE</a:t>
            </a:r>
          </a:p>
        </c:rich>
      </c:tx>
      <c:layout>
        <c:manualLayout>
          <c:xMode val="edge"/>
          <c:yMode val="edge"/>
          <c:x val="0.31305336419155982"/>
          <c:y val="1.5823271773062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69908478873606"/>
          <c:y val="0.10126893934760166"/>
          <c:w val="0.85509946700472361"/>
          <c:h val="0.63293087092251044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DAILY!$W$2:$W$42</c:f>
              <c:numCache>
                <c:formatCode>m/d/yyyy</c:formatCode>
                <c:ptCount val="4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  <c:pt idx="31">
                  <c:v>37227</c:v>
                </c:pt>
                <c:pt idx="32">
                  <c:v>37228</c:v>
                </c:pt>
                <c:pt idx="33">
                  <c:v>37229</c:v>
                </c:pt>
                <c:pt idx="34">
                  <c:v>37230</c:v>
                </c:pt>
                <c:pt idx="35">
                  <c:v>37231</c:v>
                </c:pt>
                <c:pt idx="36">
                  <c:v>37232</c:v>
                </c:pt>
                <c:pt idx="37">
                  <c:v>37233</c:v>
                </c:pt>
                <c:pt idx="38">
                  <c:v>37234</c:v>
                </c:pt>
                <c:pt idx="39">
                  <c:v>37235</c:v>
                </c:pt>
                <c:pt idx="40">
                  <c:v>37236</c:v>
                </c:pt>
              </c:numCache>
            </c:numRef>
          </c:cat>
          <c:val>
            <c:numRef>
              <c:f>DAILY!$AD$2:$AD$42</c:f>
              <c:numCache>
                <c:formatCode>_(* #,##0_);_(* \(#,##0\);_(* "-"??_);_(@_)</c:formatCode>
                <c:ptCount val="41"/>
                <c:pt idx="0">
                  <c:v>-2710</c:v>
                </c:pt>
                <c:pt idx="1">
                  <c:v>-2710</c:v>
                </c:pt>
                <c:pt idx="2">
                  <c:v>-2710</c:v>
                </c:pt>
                <c:pt idx="3">
                  <c:v>-2710</c:v>
                </c:pt>
                <c:pt idx="4">
                  <c:v>-2710</c:v>
                </c:pt>
                <c:pt idx="5">
                  <c:v>-2710</c:v>
                </c:pt>
                <c:pt idx="6">
                  <c:v>-2710</c:v>
                </c:pt>
                <c:pt idx="7">
                  <c:v>-2710</c:v>
                </c:pt>
                <c:pt idx="8">
                  <c:v>-2710</c:v>
                </c:pt>
                <c:pt idx="9">
                  <c:v>-2710</c:v>
                </c:pt>
                <c:pt idx="10">
                  <c:v>-2710</c:v>
                </c:pt>
                <c:pt idx="11">
                  <c:v>-2710</c:v>
                </c:pt>
                <c:pt idx="12">
                  <c:v>-2710</c:v>
                </c:pt>
                <c:pt idx="13">
                  <c:v>-2710</c:v>
                </c:pt>
                <c:pt idx="14">
                  <c:v>-2710</c:v>
                </c:pt>
                <c:pt idx="15">
                  <c:v>-2710</c:v>
                </c:pt>
                <c:pt idx="16">
                  <c:v>-2710</c:v>
                </c:pt>
                <c:pt idx="17">
                  <c:v>-2710</c:v>
                </c:pt>
                <c:pt idx="18">
                  <c:v>-2710</c:v>
                </c:pt>
                <c:pt idx="19">
                  <c:v>-2710</c:v>
                </c:pt>
                <c:pt idx="20">
                  <c:v>-2710</c:v>
                </c:pt>
                <c:pt idx="21">
                  <c:v>-2710</c:v>
                </c:pt>
                <c:pt idx="22">
                  <c:v>-2710</c:v>
                </c:pt>
                <c:pt idx="23">
                  <c:v>-2710</c:v>
                </c:pt>
                <c:pt idx="24">
                  <c:v>-2710</c:v>
                </c:pt>
                <c:pt idx="25">
                  <c:v>-2710</c:v>
                </c:pt>
                <c:pt idx="26">
                  <c:v>-2710</c:v>
                </c:pt>
                <c:pt idx="27">
                  <c:v>-2710</c:v>
                </c:pt>
                <c:pt idx="28">
                  <c:v>-2710</c:v>
                </c:pt>
                <c:pt idx="29">
                  <c:v>-2710</c:v>
                </c:pt>
                <c:pt idx="30">
                  <c:v>-2710</c:v>
                </c:pt>
                <c:pt idx="31">
                  <c:v>-2710</c:v>
                </c:pt>
                <c:pt idx="32">
                  <c:v>-2710</c:v>
                </c:pt>
                <c:pt idx="33">
                  <c:v>-2710</c:v>
                </c:pt>
                <c:pt idx="34">
                  <c:v>-2710</c:v>
                </c:pt>
                <c:pt idx="35">
                  <c:v>-2710</c:v>
                </c:pt>
                <c:pt idx="36">
                  <c:v>-2710</c:v>
                </c:pt>
                <c:pt idx="37">
                  <c:v>-2710</c:v>
                </c:pt>
                <c:pt idx="38">
                  <c:v>-2710</c:v>
                </c:pt>
                <c:pt idx="39">
                  <c:v>-2710</c:v>
                </c:pt>
                <c:pt idx="40">
                  <c:v>-2710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310-4F01-A711-471987F34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893727"/>
        <c:axId val="1"/>
      </c:lineChart>
      <c:catAx>
        <c:axId val="5628937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50000"/>
          <c:min val="-30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2893727"/>
        <c:crosses val="autoZero"/>
        <c:crossBetween val="between"/>
        <c:maj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654878813524016"/>
          <c:y val="0.93990234331992795"/>
          <c:w val="0.1347868651380327"/>
          <c:h val="5.06344696738008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426-48AE-B6EA-561B0E035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046911"/>
        <c:axId val="1"/>
      </c:lineChart>
      <c:catAx>
        <c:axId val="5510469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46911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A31-47DC-A5C4-3EC6D3A6E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049695"/>
        <c:axId val="1"/>
      </c:lineChart>
      <c:catAx>
        <c:axId val="551049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49695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F33-4469-A6F8-3F3191B4E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050159"/>
        <c:axId val="1"/>
      </c:lineChart>
      <c:catAx>
        <c:axId val="551050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50159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DD-4ACA-B4A0-8D4C7B6B13FD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DD-4ACA-B4A0-8D4C7B6B1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051087"/>
        <c:axId val="1"/>
      </c:lineChart>
      <c:catAx>
        <c:axId val="55105108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51087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F-45B9-B76B-7F3C3CAD9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857615"/>
        <c:axId val="1"/>
      </c:lineChart>
      <c:dateAx>
        <c:axId val="55185761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857615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E-4061-8F67-49C24AA2B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851583"/>
        <c:axId val="1"/>
      </c:lineChart>
      <c:catAx>
        <c:axId val="55185158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851583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0</xdr:rowOff>
    </xdr:from>
    <xdr:to>
      <xdr:col>0</xdr:col>
      <xdr:colOff>0</xdr:colOff>
      <xdr:row>64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5FC9D948-DFE1-2E8B-26BF-3AAF3501B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2CC89F39-AD29-7850-94B3-0A1B5E904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65</xdr:row>
      <xdr:rowOff>28575</xdr:rowOff>
    </xdr:from>
    <xdr:to>
      <xdr:col>0</xdr:col>
      <xdr:colOff>0</xdr:colOff>
      <xdr:row>82</xdr:row>
      <xdr:rowOff>47625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CCB635B9-3794-6332-E824-23D4E1CC0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3CA19357-DF65-9801-4158-DF08C4F656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7297EA4D-247B-8C1A-9F19-7AD3F339A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28575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F92E305D-43B6-ED30-A9D3-4C9DA5626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0</xdr:col>
      <xdr:colOff>0</xdr:colOff>
      <xdr:row>64</xdr:row>
      <xdr:rowOff>95250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FE64DA4A-8E6A-C1DA-419E-9BFECFCD4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BB9299F6-E24C-D35B-7F8E-CC777D6B8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65</xdr:row>
      <xdr:rowOff>28575</xdr:rowOff>
    </xdr:from>
    <xdr:to>
      <xdr:col>0</xdr:col>
      <xdr:colOff>0</xdr:colOff>
      <xdr:row>82</xdr:row>
      <xdr:rowOff>47625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85723BD6-A5ED-6C3B-341A-8D4DC52FC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D914EBE4-9F22-89BE-7ECA-5F9B3FF190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8E8603A2-D750-DC19-B11B-7420BA373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28575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EF628E65-9474-B988-624C-9F66AD9F1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0</xdr:col>
      <xdr:colOff>0</xdr:colOff>
      <xdr:row>64</xdr:row>
      <xdr:rowOff>95250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B1BE165E-536A-35F0-DFA1-8FD0F3813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4C91E4DD-C724-D4B7-922A-F3683B975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65</xdr:row>
      <xdr:rowOff>28575</xdr:rowOff>
    </xdr:from>
    <xdr:to>
      <xdr:col>0</xdr:col>
      <xdr:colOff>0</xdr:colOff>
      <xdr:row>82</xdr:row>
      <xdr:rowOff>47625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DF642ABE-7A83-B7A8-10C3-70D61ABED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6D6CBD0C-1921-1DAB-65A7-8A9BFB9AD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3CEB2BC2-6E58-96BC-024B-CBF69A129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28575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49BA69BF-9E2B-127D-9651-553F33E1B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0</xdr:col>
      <xdr:colOff>0</xdr:colOff>
      <xdr:row>64</xdr:row>
      <xdr:rowOff>95250</xdr:rowOff>
    </xdr:to>
    <xdr:graphicFrame macro="">
      <xdr:nvGraphicFramePr>
        <xdr:cNvPr id="1043" name="Chart 19">
          <a:extLst>
            <a:ext uri="{FF2B5EF4-FFF2-40B4-BE49-F238E27FC236}">
              <a16:creationId xmlns:a16="http://schemas.microsoft.com/office/drawing/2014/main" id="{1C0147D0-C5CF-262F-35A8-99E22D5D4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44" name="Chart 20">
          <a:extLst>
            <a:ext uri="{FF2B5EF4-FFF2-40B4-BE49-F238E27FC236}">
              <a16:creationId xmlns:a16="http://schemas.microsoft.com/office/drawing/2014/main" id="{8FB0261E-0CAF-E5C1-18C9-9C679A586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65</xdr:row>
      <xdr:rowOff>28575</xdr:rowOff>
    </xdr:from>
    <xdr:to>
      <xdr:col>0</xdr:col>
      <xdr:colOff>0</xdr:colOff>
      <xdr:row>82</xdr:row>
      <xdr:rowOff>47625</xdr:rowOff>
    </xdr:to>
    <xdr:graphicFrame macro="">
      <xdr:nvGraphicFramePr>
        <xdr:cNvPr id="1045" name="Chart 21">
          <a:extLst>
            <a:ext uri="{FF2B5EF4-FFF2-40B4-BE49-F238E27FC236}">
              <a16:creationId xmlns:a16="http://schemas.microsoft.com/office/drawing/2014/main" id="{EF249C09-FFDE-5E8A-C745-3F0FF6515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46" name="Chart 22">
          <a:extLst>
            <a:ext uri="{FF2B5EF4-FFF2-40B4-BE49-F238E27FC236}">
              <a16:creationId xmlns:a16="http://schemas.microsoft.com/office/drawing/2014/main" id="{263CFB77-08D3-4647-FAF4-D5100A084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47" name="Chart 23">
          <a:extLst>
            <a:ext uri="{FF2B5EF4-FFF2-40B4-BE49-F238E27FC236}">
              <a16:creationId xmlns:a16="http://schemas.microsoft.com/office/drawing/2014/main" id="{AEF4F951-DBF5-0BAC-FB05-FE9990719A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28575</xdr:rowOff>
    </xdr:to>
    <xdr:graphicFrame macro="">
      <xdr:nvGraphicFramePr>
        <xdr:cNvPr id="1048" name="Chart 24">
          <a:extLst>
            <a:ext uri="{FF2B5EF4-FFF2-40B4-BE49-F238E27FC236}">
              <a16:creationId xmlns:a16="http://schemas.microsoft.com/office/drawing/2014/main" id="{09996E46-384D-4ECD-A6F1-5B090310CB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0</xdr:col>
      <xdr:colOff>0</xdr:colOff>
      <xdr:row>66</xdr:row>
      <xdr:rowOff>95250</xdr:rowOff>
    </xdr:to>
    <xdr:graphicFrame macro="">
      <xdr:nvGraphicFramePr>
        <xdr:cNvPr id="1049" name="Chart 25">
          <a:extLst>
            <a:ext uri="{FF2B5EF4-FFF2-40B4-BE49-F238E27FC236}">
              <a16:creationId xmlns:a16="http://schemas.microsoft.com/office/drawing/2014/main" id="{45830553-D5AF-50F5-CB7D-42D3D5B68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29</xdr:row>
      <xdr:rowOff>219075</xdr:rowOff>
    </xdr:to>
    <xdr:graphicFrame macro="">
      <xdr:nvGraphicFramePr>
        <xdr:cNvPr id="1050" name="Chart 26">
          <a:extLst>
            <a:ext uri="{FF2B5EF4-FFF2-40B4-BE49-F238E27FC236}">
              <a16:creationId xmlns:a16="http://schemas.microsoft.com/office/drawing/2014/main" id="{C7AF2546-9994-00B8-D949-3CA1F42E7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67</xdr:row>
      <xdr:rowOff>28575</xdr:rowOff>
    </xdr:from>
    <xdr:to>
      <xdr:col>0</xdr:col>
      <xdr:colOff>0</xdr:colOff>
      <xdr:row>84</xdr:row>
      <xdr:rowOff>47625</xdr:rowOff>
    </xdr:to>
    <xdr:graphicFrame macro="">
      <xdr:nvGraphicFramePr>
        <xdr:cNvPr id="1051" name="Chart 27">
          <a:extLst>
            <a:ext uri="{FF2B5EF4-FFF2-40B4-BE49-F238E27FC236}">
              <a16:creationId xmlns:a16="http://schemas.microsoft.com/office/drawing/2014/main" id="{734088E5-3625-0E3A-0460-2C88FFA52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29</xdr:row>
      <xdr:rowOff>219075</xdr:rowOff>
    </xdr:to>
    <xdr:graphicFrame macro="">
      <xdr:nvGraphicFramePr>
        <xdr:cNvPr id="1052" name="Chart 28">
          <a:extLst>
            <a:ext uri="{FF2B5EF4-FFF2-40B4-BE49-F238E27FC236}">
              <a16:creationId xmlns:a16="http://schemas.microsoft.com/office/drawing/2014/main" id="{9CBACAFB-12F4-30B3-73E0-FE0CF6A596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0</xdr:col>
      <xdr:colOff>0</xdr:colOff>
      <xdr:row>46</xdr:row>
      <xdr:rowOff>38100</xdr:rowOff>
    </xdr:to>
    <xdr:graphicFrame macro="">
      <xdr:nvGraphicFramePr>
        <xdr:cNvPr id="1053" name="Chart 29">
          <a:extLst>
            <a:ext uri="{FF2B5EF4-FFF2-40B4-BE49-F238E27FC236}">
              <a16:creationId xmlns:a16="http://schemas.microsoft.com/office/drawing/2014/main" id="{3CD9A6C3-CC34-7409-CE91-6819FB2A1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0</xdr:col>
      <xdr:colOff>0</xdr:colOff>
      <xdr:row>46</xdr:row>
      <xdr:rowOff>28575</xdr:rowOff>
    </xdr:to>
    <xdr:graphicFrame macro="">
      <xdr:nvGraphicFramePr>
        <xdr:cNvPr id="1054" name="Chart 30">
          <a:extLst>
            <a:ext uri="{FF2B5EF4-FFF2-40B4-BE49-F238E27FC236}">
              <a16:creationId xmlns:a16="http://schemas.microsoft.com/office/drawing/2014/main" id="{42AC52BD-9A76-BC49-4C74-91AF19331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0</xdr:colOff>
      <xdr:row>46</xdr:row>
      <xdr:rowOff>9525</xdr:rowOff>
    </xdr:from>
    <xdr:to>
      <xdr:col>21</xdr:col>
      <xdr:colOff>9525</xdr:colOff>
      <xdr:row>78</xdr:row>
      <xdr:rowOff>9525</xdr:rowOff>
    </xdr:to>
    <xdr:graphicFrame macro="">
      <xdr:nvGraphicFramePr>
        <xdr:cNvPr id="1055" name="Chart 31">
          <a:extLst>
            <a:ext uri="{FF2B5EF4-FFF2-40B4-BE49-F238E27FC236}">
              <a16:creationId xmlns:a16="http://schemas.microsoft.com/office/drawing/2014/main" id="{BC310F74-366D-1DAC-9EAB-3B427F681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19050</xdr:colOff>
      <xdr:row>7</xdr:row>
      <xdr:rowOff>19050</xdr:rowOff>
    </xdr:from>
    <xdr:to>
      <xdr:col>13</xdr:col>
      <xdr:colOff>142875</xdr:colOff>
      <xdr:row>25</xdr:row>
      <xdr:rowOff>76200</xdr:rowOff>
    </xdr:to>
    <xdr:graphicFrame macro="">
      <xdr:nvGraphicFramePr>
        <xdr:cNvPr id="1056" name="Chart 32">
          <a:extLst>
            <a:ext uri="{FF2B5EF4-FFF2-40B4-BE49-F238E27FC236}">
              <a16:creationId xmlns:a16="http://schemas.microsoft.com/office/drawing/2014/main" id="{459EC932-4FE5-780F-4795-A11900A78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</xdr:col>
      <xdr:colOff>28575</xdr:colOff>
      <xdr:row>80</xdr:row>
      <xdr:rowOff>0</xdr:rowOff>
    </xdr:from>
    <xdr:to>
      <xdr:col>20</xdr:col>
      <xdr:colOff>685800</xdr:colOff>
      <xdr:row>100</xdr:row>
      <xdr:rowOff>76200</xdr:rowOff>
    </xdr:to>
    <xdr:graphicFrame macro="">
      <xdr:nvGraphicFramePr>
        <xdr:cNvPr id="1057" name="Chart 33">
          <a:extLst>
            <a:ext uri="{FF2B5EF4-FFF2-40B4-BE49-F238E27FC236}">
              <a16:creationId xmlns:a16="http://schemas.microsoft.com/office/drawing/2014/main" id="{969A737C-0E98-E56B-A2B8-01EEF6E2B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276225</xdr:colOff>
      <xdr:row>7</xdr:row>
      <xdr:rowOff>19050</xdr:rowOff>
    </xdr:from>
    <xdr:to>
      <xdr:col>21</xdr:col>
      <xdr:colOff>9525</xdr:colOff>
      <xdr:row>25</xdr:row>
      <xdr:rowOff>9525</xdr:rowOff>
    </xdr:to>
    <xdr:graphicFrame macro="">
      <xdr:nvGraphicFramePr>
        <xdr:cNvPr id="1058" name="Chart 34">
          <a:extLst>
            <a:ext uri="{FF2B5EF4-FFF2-40B4-BE49-F238E27FC236}">
              <a16:creationId xmlns:a16="http://schemas.microsoft.com/office/drawing/2014/main" id="{85FC4F84-D537-BF87-917D-5049E9C20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25</xdr:row>
      <xdr:rowOff>104775</xdr:rowOff>
    </xdr:from>
    <xdr:to>
      <xdr:col>13</xdr:col>
      <xdr:colOff>142875</xdr:colOff>
      <xdr:row>43</xdr:row>
      <xdr:rowOff>152400</xdr:rowOff>
    </xdr:to>
    <xdr:graphicFrame macro="">
      <xdr:nvGraphicFramePr>
        <xdr:cNvPr id="1059" name="Chart 35">
          <a:extLst>
            <a:ext uri="{FF2B5EF4-FFF2-40B4-BE49-F238E27FC236}">
              <a16:creationId xmlns:a16="http://schemas.microsoft.com/office/drawing/2014/main" id="{D9068093-83B7-F5C2-5390-846BF8B23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304800</xdr:colOff>
      <xdr:row>25</xdr:row>
      <xdr:rowOff>76200</xdr:rowOff>
    </xdr:from>
    <xdr:to>
      <xdr:col>21</xdr:col>
      <xdr:colOff>28575</xdr:colOff>
      <xdr:row>43</xdr:row>
      <xdr:rowOff>142875</xdr:rowOff>
    </xdr:to>
    <xdr:graphicFrame macro="">
      <xdr:nvGraphicFramePr>
        <xdr:cNvPr id="1060" name="Chart 36">
          <a:extLst>
            <a:ext uri="{FF2B5EF4-FFF2-40B4-BE49-F238E27FC236}">
              <a16:creationId xmlns:a16="http://schemas.microsoft.com/office/drawing/2014/main" id="{9C2454B9-C17B-9893-5F7A-2A2D29164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oneCellAnchor>
    <xdr:from>
      <xdr:col>2</xdr:col>
      <xdr:colOff>390525</xdr:colOff>
      <xdr:row>30</xdr:row>
      <xdr:rowOff>38100</xdr:rowOff>
    </xdr:from>
    <xdr:ext cx="95250" cy="223838"/>
    <xdr:sp macro="" textlink="">
      <xdr:nvSpPr>
        <xdr:cNvPr id="1061" name="Text Box 37">
          <a:extLst>
            <a:ext uri="{FF2B5EF4-FFF2-40B4-BE49-F238E27FC236}">
              <a16:creationId xmlns:a16="http://schemas.microsoft.com/office/drawing/2014/main" id="{2B52F14D-C856-35BB-4FCD-63DBD08FE41D}"/>
            </a:ext>
          </a:extLst>
        </xdr:cNvPr>
        <xdr:cNvSpPr txBox="1">
          <a:spLocks noChangeArrowheads="1"/>
        </xdr:cNvSpPr>
      </xdr:nvSpPr>
      <xdr:spPr bwMode="auto">
        <a:xfrm>
          <a:off x="3905250" y="5629275"/>
          <a:ext cx="952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52" name="Text Box 4">
          <a:extLst>
            <a:ext uri="{FF2B5EF4-FFF2-40B4-BE49-F238E27FC236}">
              <a16:creationId xmlns:a16="http://schemas.microsoft.com/office/drawing/2014/main" id="{7ABD7675-28F6-1128-5D29-C184CC4EA46B}"/>
            </a:ext>
          </a:extLst>
        </xdr:cNvPr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53" name="Text Box 5">
          <a:extLst>
            <a:ext uri="{FF2B5EF4-FFF2-40B4-BE49-F238E27FC236}">
              <a16:creationId xmlns:a16="http://schemas.microsoft.com/office/drawing/2014/main" id="{B6D4D3C6-B833-5AD6-D95A-B0CB60ACBCB5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54" name="Text Box 6">
          <a:extLst>
            <a:ext uri="{FF2B5EF4-FFF2-40B4-BE49-F238E27FC236}">
              <a16:creationId xmlns:a16="http://schemas.microsoft.com/office/drawing/2014/main" id="{1DC83527-F62E-73BC-5007-C171C3AA04F7}"/>
            </a:ext>
          </a:extLst>
        </xdr:cNvPr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55" name="Text Box 7">
          <a:extLst>
            <a:ext uri="{FF2B5EF4-FFF2-40B4-BE49-F238E27FC236}">
              <a16:creationId xmlns:a16="http://schemas.microsoft.com/office/drawing/2014/main" id="{66494FB3-662C-3F5B-6CC0-16E775BD46C6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56" name="Text Box 8">
          <a:extLst>
            <a:ext uri="{FF2B5EF4-FFF2-40B4-BE49-F238E27FC236}">
              <a16:creationId xmlns:a16="http://schemas.microsoft.com/office/drawing/2014/main" id="{00340139-D243-4B08-6045-5C1269E8BE75}"/>
            </a:ext>
          </a:extLst>
        </xdr:cNvPr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57" name="Text Box 9">
          <a:extLst>
            <a:ext uri="{FF2B5EF4-FFF2-40B4-BE49-F238E27FC236}">
              <a16:creationId xmlns:a16="http://schemas.microsoft.com/office/drawing/2014/main" id="{4084AA85-22F1-1A12-AA18-9551F6FDC827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58" name="Text Box 10">
          <a:extLst>
            <a:ext uri="{FF2B5EF4-FFF2-40B4-BE49-F238E27FC236}">
              <a16:creationId xmlns:a16="http://schemas.microsoft.com/office/drawing/2014/main" id="{BA699452-5E5C-3BD2-9690-20A119B1BB6E}"/>
            </a:ext>
          </a:extLst>
        </xdr:cNvPr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59" name="Text Box 11">
          <a:extLst>
            <a:ext uri="{FF2B5EF4-FFF2-40B4-BE49-F238E27FC236}">
              <a16:creationId xmlns:a16="http://schemas.microsoft.com/office/drawing/2014/main" id="{BE54F2FA-3610-C3F2-37B5-EBAB22D3BC05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60" name="Text Box 12">
          <a:extLst>
            <a:ext uri="{FF2B5EF4-FFF2-40B4-BE49-F238E27FC236}">
              <a16:creationId xmlns:a16="http://schemas.microsoft.com/office/drawing/2014/main" id="{A6BC3B98-7C38-FEC4-324E-EFE98B9D9A73}"/>
            </a:ext>
          </a:extLst>
        </xdr:cNvPr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61" name="Text Box 13">
          <a:extLst>
            <a:ext uri="{FF2B5EF4-FFF2-40B4-BE49-F238E27FC236}">
              <a16:creationId xmlns:a16="http://schemas.microsoft.com/office/drawing/2014/main" id="{92F2589F-65D9-CF06-F16E-617B55A80D95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62" name="Text Box 14">
          <a:extLst>
            <a:ext uri="{FF2B5EF4-FFF2-40B4-BE49-F238E27FC236}">
              <a16:creationId xmlns:a16="http://schemas.microsoft.com/office/drawing/2014/main" id="{D71C3DCB-0D37-8D92-909C-84A7488CCA3F}"/>
            </a:ext>
          </a:extLst>
        </xdr:cNvPr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63" name="Text Box 15">
          <a:extLst>
            <a:ext uri="{FF2B5EF4-FFF2-40B4-BE49-F238E27FC236}">
              <a16:creationId xmlns:a16="http://schemas.microsoft.com/office/drawing/2014/main" id="{B5C21FB7-7C0E-1F57-B98C-ECAF14239EC1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64" name="Text Box 16">
          <a:extLst>
            <a:ext uri="{FF2B5EF4-FFF2-40B4-BE49-F238E27FC236}">
              <a16:creationId xmlns:a16="http://schemas.microsoft.com/office/drawing/2014/main" id="{7315CC95-3FD3-2027-1B84-0D9FEDDFA32B}"/>
            </a:ext>
          </a:extLst>
        </xdr:cNvPr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65" name="Text Box 17">
          <a:extLst>
            <a:ext uri="{FF2B5EF4-FFF2-40B4-BE49-F238E27FC236}">
              <a16:creationId xmlns:a16="http://schemas.microsoft.com/office/drawing/2014/main" id="{D7E76E45-A81D-6C97-87D5-A53A39B66513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66" name="Text Box 18">
          <a:extLst>
            <a:ext uri="{FF2B5EF4-FFF2-40B4-BE49-F238E27FC236}">
              <a16:creationId xmlns:a16="http://schemas.microsoft.com/office/drawing/2014/main" id="{7C27E27E-D71C-F933-C1E1-5D8810745E1B}"/>
            </a:ext>
          </a:extLst>
        </xdr:cNvPr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67" name="Text Box 19">
          <a:extLst>
            <a:ext uri="{FF2B5EF4-FFF2-40B4-BE49-F238E27FC236}">
              <a16:creationId xmlns:a16="http://schemas.microsoft.com/office/drawing/2014/main" id="{54EDFFE2-8AA9-2140-0615-BCA54F3338B8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68" name="Text Box 20">
          <a:extLst>
            <a:ext uri="{FF2B5EF4-FFF2-40B4-BE49-F238E27FC236}">
              <a16:creationId xmlns:a16="http://schemas.microsoft.com/office/drawing/2014/main" id="{5A3598F1-1A19-0769-78A3-2B772F6240E6}"/>
            </a:ext>
          </a:extLst>
        </xdr:cNvPr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69" name="Text Box 21">
          <a:extLst>
            <a:ext uri="{FF2B5EF4-FFF2-40B4-BE49-F238E27FC236}">
              <a16:creationId xmlns:a16="http://schemas.microsoft.com/office/drawing/2014/main" id="{F179F1E2-A317-9E56-08F8-B397EDBBCABD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70" name="Text Box 22">
          <a:extLst>
            <a:ext uri="{FF2B5EF4-FFF2-40B4-BE49-F238E27FC236}">
              <a16:creationId xmlns:a16="http://schemas.microsoft.com/office/drawing/2014/main" id="{AF509979-A1AE-33A2-9D9B-FB0C967EE84A}"/>
            </a:ext>
          </a:extLst>
        </xdr:cNvPr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71" name="Text Box 23">
          <a:extLst>
            <a:ext uri="{FF2B5EF4-FFF2-40B4-BE49-F238E27FC236}">
              <a16:creationId xmlns:a16="http://schemas.microsoft.com/office/drawing/2014/main" id="{71D6C1A2-9976-0A65-83FC-818C98C8A6CC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2" name="Text Box 24">
          <a:extLst>
            <a:ext uri="{FF2B5EF4-FFF2-40B4-BE49-F238E27FC236}">
              <a16:creationId xmlns:a16="http://schemas.microsoft.com/office/drawing/2014/main" id="{627B1E1F-44A6-7564-45EE-2010729FF94C}"/>
            </a:ext>
          </a:extLst>
        </xdr:cNvPr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3" name="Text Box 25">
          <a:extLst>
            <a:ext uri="{FF2B5EF4-FFF2-40B4-BE49-F238E27FC236}">
              <a16:creationId xmlns:a16="http://schemas.microsoft.com/office/drawing/2014/main" id="{3D3A1C02-0B0F-191A-8E46-224CF4672D82}"/>
            </a:ext>
          </a:extLst>
        </xdr:cNvPr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4" name="Text Box 26">
          <a:extLst>
            <a:ext uri="{FF2B5EF4-FFF2-40B4-BE49-F238E27FC236}">
              <a16:creationId xmlns:a16="http://schemas.microsoft.com/office/drawing/2014/main" id="{B73CCCFB-278D-03A4-9E64-3BFFE03DFF39}"/>
            </a:ext>
          </a:extLst>
        </xdr:cNvPr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5" name="Text Box 27">
          <a:extLst>
            <a:ext uri="{FF2B5EF4-FFF2-40B4-BE49-F238E27FC236}">
              <a16:creationId xmlns:a16="http://schemas.microsoft.com/office/drawing/2014/main" id="{3D3758D0-878C-A0F2-0CED-96915E8B7EB9}"/>
            </a:ext>
          </a:extLst>
        </xdr:cNvPr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6" name="Text Box 28">
          <a:extLst>
            <a:ext uri="{FF2B5EF4-FFF2-40B4-BE49-F238E27FC236}">
              <a16:creationId xmlns:a16="http://schemas.microsoft.com/office/drawing/2014/main" id="{48DB9973-0557-891D-8C10-9BC0F12426ED}"/>
            </a:ext>
          </a:extLst>
        </xdr:cNvPr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7" name="Text Box 29">
          <a:extLst>
            <a:ext uri="{FF2B5EF4-FFF2-40B4-BE49-F238E27FC236}">
              <a16:creationId xmlns:a16="http://schemas.microsoft.com/office/drawing/2014/main" id="{61DF9D50-AD54-8507-01EC-48F2B4F27E61}"/>
            </a:ext>
          </a:extLst>
        </xdr:cNvPr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8" name="Text Box 30">
          <a:extLst>
            <a:ext uri="{FF2B5EF4-FFF2-40B4-BE49-F238E27FC236}">
              <a16:creationId xmlns:a16="http://schemas.microsoft.com/office/drawing/2014/main" id="{7EEB83A2-559C-A6C8-99E2-15BAA1D501B4}"/>
            </a:ext>
          </a:extLst>
        </xdr:cNvPr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9" name="Text Box 31">
          <a:extLst>
            <a:ext uri="{FF2B5EF4-FFF2-40B4-BE49-F238E27FC236}">
              <a16:creationId xmlns:a16="http://schemas.microsoft.com/office/drawing/2014/main" id="{C5DA74A7-610C-6734-57B7-37AD6A506AAE}"/>
            </a:ext>
          </a:extLst>
        </xdr:cNvPr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80" name="Text Box 32">
          <a:extLst>
            <a:ext uri="{FF2B5EF4-FFF2-40B4-BE49-F238E27FC236}">
              <a16:creationId xmlns:a16="http://schemas.microsoft.com/office/drawing/2014/main" id="{68F8D014-FEC7-B3D9-2D95-5702CCEAD3F5}"/>
            </a:ext>
          </a:extLst>
        </xdr:cNvPr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81" name="Text Box 33">
          <a:extLst>
            <a:ext uri="{FF2B5EF4-FFF2-40B4-BE49-F238E27FC236}">
              <a16:creationId xmlns:a16="http://schemas.microsoft.com/office/drawing/2014/main" id="{C0BAAEB8-0693-3B05-565F-CAC24498E3D7}"/>
            </a:ext>
          </a:extLst>
        </xdr:cNvPr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2" name="Text Box 34">
          <a:extLst>
            <a:ext uri="{FF2B5EF4-FFF2-40B4-BE49-F238E27FC236}">
              <a16:creationId xmlns:a16="http://schemas.microsoft.com/office/drawing/2014/main" id="{6FFE5A34-67C5-8141-36DB-881E326CE3BC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3" name="Text Box 35">
          <a:extLst>
            <a:ext uri="{FF2B5EF4-FFF2-40B4-BE49-F238E27FC236}">
              <a16:creationId xmlns:a16="http://schemas.microsoft.com/office/drawing/2014/main" id="{AD5D1376-F738-A914-0A70-0F67A09401CA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4" name="Text Box 36">
          <a:extLst>
            <a:ext uri="{FF2B5EF4-FFF2-40B4-BE49-F238E27FC236}">
              <a16:creationId xmlns:a16="http://schemas.microsoft.com/office/drawing/2014/main" id="{28381B24-255E-C754-D5AA-4ECB762705F7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5" name="Text Box 37">
          <a:extLst>
            <a:ext uri="{FF2B5EF4-FFF2-40B4-BE49-F238E27FC236}">
              <a16:creationId xmlns:a16="http://schemas.microsoft.com/office/drawing/2014/main" id="{54F6C131-C105-BF71-9821-A2CCB805F8C9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6" name="Text Box 38">
          <a:extLst>
            <a:ext uri="{FF2B5EF4-FFF2-40B4-BE49-F238E27FC236}">
              <a16:creationId xmlns:a16="http://schemas.microsoft.com/office/drawing/2014/main" id="{74783796-6D22-CE07-90BD-2C2A7DDC011D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7" name="Text Box 39">
          <a:extLst>
            <a:ext uri="{FF2B5EF4-FFF2-40B4-BE49-F238E27FC236}">
              <a16:creationId xmlns:a16="http://schemas.microsoft.com/office/drawing/2014/main" id="{FCE7F52B-247D-AE32-82A2-F73AA109ED93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8" name="Text Box 40">
          <a:extLst>
            <a:ext uri="{FF2B5EF4-FFF2-40B4-BE49-F238E27FC236}">
              <a16:creationId xmlns:a16="http://schemas.microsoft.com/office/drawing/2014/main" id="{7323EA87-1E17-0C0D-3C4D-1F98799D46E1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9" name="Text Box 41">
          <a:extLst>
            <a:ext uri="{FF2B5EF4-FFF2-40B4-BE49-F238E27FC236}">
              <a16:creationId xmlns:a16="http://schemas.microsoft.com/office/drawing/2014/main" id="{B94D74B6-DDEF-415B-B181-82E3FC211428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90" name="Text Box 42">
          <a:extLst>
            <a:ext uri="{FF2B5EF4-FFF2-40B4-BE49-F238E27FC236}">
              <a16:creationId xmlns:a16="http://schemas.microsoft.com/office/drawing/2014/main" id="{A33B7F8C-40D2-1042-9DAA-D03DA40DC8C5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91" name="Text Box 43">
          <a:extLst>
            <a:ext uri="{FF2B5EF4-FFF2-40B4-BE49-F238E27FC236}">
              <a16:creationId xmlns:a16="http://schemas.microsoft.com/office/drawing/2014/main" id="{372049E4-E888-8E13-EB9A-A92B091BC02E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92" name="Text Box 44">
          <a:extLst>
            <a:ext uri="{FF2B5EF4-FFF2-40B4-BE49-F238E27FC236}">
              <a16:creationId xmlns:a16="http://schemas.microsoft.com/office/drawing/2014/main" id="{B807C7D9-C2A1-0614-402B-887C3E65E8B3}"/>
            </a:ext>
          </a:extLst>
        </xdr:cNvPr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93" name="Text Box 45">
          <a:extLst>
            <a:ext uri="{FF2B5EF4-FFF2-40B4-BE49-F238E27FC236}">
              <a16:creationId xmlns:a16="http://schemas.microsoft.com/office/drawing/2014/main" id="{823589E8-6DF0-3A21-6EEE-065DE84BFB31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94" name="Text Box 46">
          <a:extLst>
            <a:ext uri="{FF2B5EF4-FFF2-40B4-BE49-F238E27FC236}">
              <a16:creationId xmlns:a16="http://schemas.microsoft.com/office/drawing/2014/main" id="{69ADB2F6-6A79-148B-B5D0-28874DD7C3FC}"/>
            </a:ext>
          </a:extLst>
        </xdr:cNvPr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98" name="Text Box 50">
          <a:extLst>
            <a:ext uri="{FF2B5EF4-FFF2-40B4-BE49-F238E27FC236}">
              <a16:creationId xmlns:a16="http://schemas.microsoft.com/office/drawing/2014/main" id="{1F42BA69-55ED-6FFC-8931-36A2298E639B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102" name="Text Box 54">
          <a:extLst>
            <a:ext uri="{FF2B5EF4-FFF2-40B4-BE49-F238E27FC236}">
              <a16:creationId xmlns:a16="http://schemas.microsoft.com/office/drawing/2014/main" id="{39298019-9D68-CFA8-1F8D-893B13ADEC21}"/>
            </a:ext>
          </a:extLst>
        </xdr:cNvPr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107" name="Text Box 59">
          <a:extLst>
            <a:ext uri="{FF2B5EF4-FFF2-40B4-BE49-F238E27FC236}">
              <a16:creationId xmlns:a16="http://schemas.microsoft.com/office/drawing/2014/main" id="{B5418ADB-4298-A842-98F7-110618C1DD96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112" name="Text Box 64">
          <a:extLst>
            <a:ext uri="{FF2B5EF4-FFF2-40B4-BE49-F238E27FC236}">
              <a16:creationId xmlns:a16="http://schemas.microsoft.com/office/drawing/2014/main" id="{BBB04EAF-67E9-7AAC-CC78-78A3322D8B21}"/>
            </a:ext>
          </a:extLst>
        </xdr:cNvPr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117" name="Text Box 69">
          <a:extLst>
            <a:ext uri="{FF2B5EF4-FFF2-40B4-BE49-F238E27FC236}">
              <a16:creationId xmlns:a16="http://schemas.microsoft.com/office/drawing/2014/main" id="{A78FD152-1766-D0DC-044F-801CFFA7575F}"/>
            </a:ext>
          </a:extLst>
        </xdr:cNvPr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390525</xdr:colOff>
      <xdr:row>30</xdr:row>
      <xdr:rowOff>38100</xdr:rowOff>
    </xdr:from>
    <xdr:ext cx="104775" cy="212725"/>
    <xdr:sp macro="" textlink="">
      <xdr:nvSpPr>
        <xdr:cNvPr id="2122" name="Text Box 74">
          <a:extLst>
            <a:ext uri="{FF2B5EF4-FFF2-40B4-BE49-F238E27FC236}">
              <a16:creationId xmlns:a16="http://schemas.microsoft.com/office/drawing/2014/main" id="{0D7C1806-9F24-042E-06EA-1EAD5C7C10FD}"/>
            </a:ext>
          </a:extLst>
        </xdr:cNvPr>
        <xdr:cNvSpPr txBox="1">
          <a:spLocks noChangeArrowheads="1"/>
        </xdr:cNvSpPr>
      </xdr:nvSpPr>
      <xdr:spPr bwMode="auto">
        <a:xfrm>
          <a:off x="39052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390525</xdr:colOff>
      <xdr:row>30</xdr:row>
      <xdr:rowOff>38100</xdr:rowOff>
    </xdr:from>
    <xdr:ext cx="104775" cy="212725"/>
    <xdr:sp macro="" textlink="">
      <xdr:nvSpPr>
        <xdr:cNvPr id="2128" name="Text Box 80">
          <a:extLst>
            <a:ext uri="{FF2B5EF4-FFF2-40B4-BE49-F238E27FC236}">
              <a16:creationId xmlns:a16="http://schemas.microsoft.com/office/drawing/2014/main" id="{FDBA4A7B-EE9F-B75E-56E5-AACB7AAA88DF}"/>
            </a:ext>
          </a:extLst>
        </xdr:cNvPr>
        <xdr:cNvSpPr txBox="1">
          <a:spLocks noChangeArrowheads="1"/>
        </xdr:cNvSpPr>
      </xdr:nvSpPr>
      <xdr:spPr bwMode="auto">
        <a:xfrm>
          <a:off x="11991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134" name="Text Box 86">
          <a:extLst>
            <a:ext uri="{FF2B5EF4-FFF2-40B4-BE49-F238E27FC236}">
              <a16:creationId xmlns:a16="http://schemas.microsoft.com/office/drawing/2014/main" id="{ED93DE80-7C28-6940-1AB2-93EE93EDEDDE}"/>
            </a:ext>
          </a:extLst>
        </xdr:cNvPr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390525</xdr:colOff>
      <xdr:row>30</xdr:row>
      <xdr:rowOff>38100</xdr:rowOff>
    </xdr:from>
    <xdr:ext cx="104775" cy="212725"/>
    <xdr:sp macro="" textlink="">
      <xdr:nvSpPr>
        <xdr:cNvPr id="2140" name="Text Box 92">
          <a:extLst>
            <a:ext uri="{FF2B5EF4-FFF2-40B4-BE49-F238E27FC236}">
              <a16:creationId xmlns:a16="http://schemas.microsoft.com/office/drawing/2014/main" id="{076A1091-80C5-6EDD-68E3-70E0AD65D803}"/>
            </a:ext>
          </a:extLst>
        </xdr:cNvPr>
        <xdr:cNvSpPr txBox="1">
          <a:spLocks noChangeArrowheads="1"/>
        </xdr:cNvSpPr>
      </xdr:nvSpPr>
      <xdr:spPr bwMode="auto">
        <a:xfrm>
          <a:off x="39052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390525</xdr:colOff>
      <xdr:row>30</xdr:row>
      <xdr:rowOff>38100</xdr:rowOff>
    </xdr:from>
    <xdr:ext cx="104775" cy="212725"/>
    <xdr:sp macro="" textlink="">
      <xdr:nvSpPr>
        <xdr:cNvPr id="2146" name="Text Box 98">
          <a:extLst>
            <a:ext uri="{FF2B5EF4-FFF2-40B4-BE49-F238E27FC236}">
              <a16:creationId xmlns:a16="http://schemas.microsoft.com/office/drawing/2014/main" id="{F7DBA499-3A68-7766-AF97-DF57C0033457}"/>
            </a:ext>
          </a:extLst>
        </xdr:cNvPr>
        <xdr:cNvSpPr txBox="1">
          <a:spLocks noChangeArrowheads="1"/>
        </xdr:cNvSpPr>
      </xdr:nvSpPr>
      <xdr:spPr bwMode="auto">
        <a:xfrm>
          <a:off x="11991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NATTS\ARUBA\Alcatraz\qu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eolquote"/>
      <sheetName val="gas supply deal"/>
      <sheetName val="WKEND SENDOUT"/>
      <sheetName val="Sheet2"/>
      <sheetName val="nng ventura"/>
      <sheetName val="SENDOUT"/>
      <sheetName val="ngpl dss deal"/>
      <sheetName val="gage (sept)"/>
      <sheetName val="ANR"/>
      <sheetName val="Cary"/>
      <sheetName val="Richie"/>
      <sheetName val="CHICAGO PRICES"/>
      <sheetName val="gage ga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B2">
            <v>36770</v>
          </cell>
          <cell r="AC2">
            <v>66453</v>
          </cell>
          <cell r="AD2">
            <v>190431</v>
          </cell>
          <cell r="AE2">
            <v>70212</v>
          </cell>
          <cell r="AF2">
            <v>-66665</v>
          </cell>
          <cell r="AH2">
            <v>36770</v>
          </cell>
          <cell r="AI2">
            <v>271986</v>
          </cell>
          <cell r="AJ2">
            <v>271986</v>
          </cell>
          <cell r="AL2">
            <v>36770</v>
          </cell>
          <cell r="AM2">
            <v>145517</v>
          </cell>
        </row>
        <row r="3">
          <cell r="AB3">
            <v>36771</v>
          </cell>
          <cell r="AC3">
            <v>21735</v>
          </cell>
          <cell r="AD3">
            <v>188696</v>
          </cell>
          <cell r="AE3">
            <v>10</v>
          </cell>
          <cell r="AF3">
            <v>-51703</v>
          </cell>
          <cell r="AH3">
            <v>36771</v>
          </cell>
          <cell r="AI3">
            <v>215041</v>
          </cell>
          <cell r="AJ3">
            <v>215041</v>
          </cell>
          <cell r="AL3">
            <v>36771</v>
          </cell>
          <cell r="AM3">
            <v>175311</v>
          </cell>
        </row>
        <row r="4">
          <cell r="AB4">
            <v>36772</v>
          </cell>
          <cell r="AC4">
            <v>0</v>
          </cell>
          <cell r="AD4">
            <v>208354</v>
          </cell>
          <cell r="AE4">
            <v>10</v>
          </cell>
          <cell r="AF4">
            <v>-26758</v>
          </cell>
          <cell r="AH4">
            <v>36772</v>
          </cell>
          <cell r="AI4">
            <v>190000</v>
          </cell>
          <cell r="AJ4">
            <v>190000</v>
          </cell>
          <cell r="AL4">
            <v>36772</v>
          </cell>
          <cell r="AM4">
            <v>169521</v>
          </cell>
        </row>
        <row r="5">
          <cell r="AB5">
            <v>36773</v>
          </cell>
          <cell r="AC5">
            <v>0</v>
          </cell>
          <cell r="AD5">
            <v>228012</v>
          </cell>
          <cell r="AE5">
            <v>10</v>
          </cell>
          <cell r="AF5">
            <v>-6768</v>
          </cell>
          <cell r="AH5">
            <v>36773</v>
          </cell>
          <cell r="AI5">
            <v>223000</v>
          </cell>
          <cell r="AJ5">
            <v>223000</v>
          </cell>
          <cell r="AL5">
            <v>36773</v>
          </cell>
          <cell r="AM5">
            <v>175636</v>
          </cell>
        </row>
        <row r="6">
          <cell r="AB6">
            <v>36774</v>
          </cell>
          <cell r="AC6">
            <v>0</v>
          </cell>
          <cell r="AD6">
            <v>247670</v>
          </cell>
          <cell r="AE6">
            <v>10</v>
          </cell>
          <cell r="AF6">
            <v>-6778</v>
          </cell>
          <cell r="AH6">
            <v>36774</v>
          </cell>
          <cell r="AI6">
            <v>253395</v>
          </cell>
          <cell r="AJ6">
            <v>253395</v>
          </cell>
          <cell r="AL6">
            <v>36774</v>
          </cell>
          <cell r="AM6">
            <v>174951</v>
          </cell>
        </row>
        <row r="7">
          <cell r="AB7">
            <v>36775</v>
          </cell>
          <cell r="AC7">
            <v>0</v>
          </cell>
          <cell r="AD7">
            <v>267328</v>
          </cell>
          <cell r="AE7">
            <v>10</v>
          </cell>
          <cell r="AF7">
            <v>-6788</v>
          </cell>
          <cell r="AH7">
            <v>36775</v>
          </cell>
          <cell r="AI7">
            <v>253852</v>
          </cell>
          <cell r="AJ7">
            <v>253852</v>
          </cell>
          <cell r="AL7">
            <v>36775</v>
          </cell>
          <cell r="AM7">
            <v>151882</v>
          </cell>
        </row>
        <row r="8">
          <cell r="AB8">
            <v>36776</v>
          </cell>
          <cell r="AC8">
            <v>60449</v>
          </cell>
          <cell r="AD8">
            <v>226879</v>
          </cell>
          <cell r="AE8">
            <v>10</v>
          </cell>
          <cell r="AF8">
            <v>-6798</v>
          </cell>
          <cell r="AH8">
            <v>36776</v>
          </cell>
          <cell r="AI8">
            <v>252690</v>
          </cell>
          <cell r="AJ8">
            <v>252690</v>
          </cell>
          <cell r="AL8">
            <v>36776</v>
          </cell>
          <cell r="AM8">
            <v>149644</v>
          </cell>
        </row>
        <row r="9">
          <cell r="AB9">
            <v>36777</v>
          </cell>
          <cell r="AC9">
            <v>59968</v>
          </cell>
          <cell r="AD9">
            <v>166911</v>
          </cell>
          <cell r="AE9">
            <v>10</v>
          </cell>
          <cell r="AF9">
            <v>-6808</v>
          </cell>
          <cell r="AH9">
            <v>36777</v>
          </cell>
          <cell r="AI9">
            <v>234709</v>
          </cell>
          <cell r="AJ9">
            <v>234709</v>
          </cell>
          <cell r="AL9">
            <v>36777</v>
          </cell>
          <cell r="AM9">
            <v>141843</v>
          </cell>
        </row>
        <row r="10">
          <cell r="AB10">
            <v>36778</v>
          </cell>
          <cell r="AC10">
            <v>26249</v>
          </cell>
          <cell r="AD10">
            <v>190255.8579</v>
          </cell>
          <cell r="AE10">
            <v>10</v>
          </cell>
          <cell r="AF10">
            <v>-4568</v>
          </cell>
          <cell r="AH10">
            <v>36778</v>
          </cell>
          <cell r="AI10">
            <v>206740</v>
          </cell>
          <cell r="AJ10">
            <v>206740</v>
          </cell>
          <cell r="AL10">
            <v>36778</v>
          </cell>
          <cell r="AM10">
            <v>152372</v>
          </cell>
        </row>
        <row r="11">
          <cell r="AB11">
            <v>36779</v>
          </cell>
          <cell r="AC11">
            <v>3220</v>
          </cell>
          <cell r="AD11">
            <v>236235.91990000001</v>
          </cell>
          <cell r="AE11">
            <v>10</v>
          </cell>
          <cell r="AF11">
            <v>-2328</v>
          </cell>
          <cell r="AH11">
            <v>36779</v>
          </cell>
          <cell r="AI11">
            <v>219834</v>
          </cell>
          <cell r="AJ11">
            <v>219834</v>
          </cell>
          <cell r="AL11">
            <v>36779</v>
          </cell>
          <cell r="AM11">
            <v>152322</v>
          </cell>
        </row>
        <row r="12">
          <cell r="AB12">
            <v>36780</v>
          </cell>
          <cell r="AC12">
            <v>33982</v>
          </cell>
          <cell r="AD12">
            <v>251980.01209999999</v>
          </cell>
          <cell r="AE12">
            <v>17041</v>
          </cell>
          <cell r="AF12">
            <v>2881</v>
          </cell>
          <cell r="AH12">
            <v>36780</v>
          </cell>
          <cell r="AI12">
            <v>257926</v>
          </cell>
          <cell r="AJ12">
            <v>257926</v>
          </cell>
          <cell r="AL12">
            <v>36780</v>
          </cell>
          <cell r="AM12">
            <v>151972</v>
          </cell>
        </row>
        <row r="13">
          <cell r="AB13">
            <v>36781</v>
          </cell>
          <cell r="AC13">
            <v>24286</v>
          </cell>
          <cell r="AD13">
            <v>277254.3027</v>
          </cell>
          <cell r="AE13">
            <v>10</v>
          </cell>
          <cell r="AF13">
            <v>2871</v>
          </cell>
          <cell r="AH13">
            <v>36781</v>
          </cell>
          <cell r="AI13">
            <v>251589</v>
          </cell>
          <cell r="AJ13">
            <v>251589</v>
          </cell>
          <cell r="AL13">
            <v>36781</v>
          </cell>
          <cell r="AM13">
            <v>154619</v>
          </cell>
        </row>
        <row r="14">
          <cell r="AB14">
            <v>36782</v>
          </cell>
          <cell r="AC14">
            <v>28430</v>
          </cell>
          <cell r="AD14">
            <v>298455.45569999999</v>
          </cell>
          <cell r="AE14">
            <v>10</v>
          </cell>
          <cell r="AF14">
            <v>2861</v>
          </cell>
          <cell r="AH14">
            <v>36782</v>
          </cell>
          <cell r="AI14">
            <v>246443</v>
          </cell>
          <cell r="AJ14">
            <v>246443</v>
          </cell>
          <cell r="AL14">
            <v>36782</v>
          </cell>
          <cell r="AM14">
            <v>138783</v>
          </cell>
        </row>
        <row r="15">
          <cell r="AB15">
            <v>36783</v>
          </cell>
          <cell r="AC15">
            <v>21687</v>
          </cell>
          <cell r="AD15">
            <v>276768.45569999999</v>
          </cell>
          <cell r="AE15">
            <v>10</v>
          </cell>
          <cell r="AF15">
            <v>2851</v>
          </cell>
          <cell r="AH15">
            <v>36783</v>
          </cell>
          <cell r="AI15">
            <v>251946</v>
          </cell>
          <cell r="AJ15">
            <v>251946</v>
          </cell>
          <cell r="AL15">
            <v>36783</v>
          </cell>
          <cell r="AM15">
            <v>151157</v>
          </cell>
        </row>
        <row r="16">
          <cell r="AB16">
            <v>36784</v>
          </cell>
          <cell r="AC16">
            <v>0</v>
          </cell>
          <cell r="AD16">
            <v>296426.45569999999</v>
          </cell>
          <cell r="AE16">
            <v>498</v>
          </cell>
          <cell r="AF16">
            <v>2353</v>
          </cell>
          <cell r="AH16">
            <v>36784</v>
          </cell>
          <cell r="AI16">
            <v>271866</v>
          </cell>
          <cell r="AJ16">
            <v>271866</v>
          </cell>
          <cell r="AL16">
            <v>36784</v>
          </cell>
          <cell r="AM16">
            <v>150550</v>
          </cell>
        </row>
        <row r="17">
          <cell r="AB17">
            <v>36785</v>
          </cell>
          <cell r="AC17">
            <v>0</v>
          </cell>
          <cell r="AD17">
            <v>316084.45569999999</v>
          </cell>
          <cell r="AE17">
            <v>10</v>
          </cell>
          <cell r="AF17">
            <v>2343</v>
          </cell>
          <cell r="AH17">
            <v>36785</v>
          </cell>
          <cell r="AI17">
            <v>243751</v>
          </cell>
          <cell r="AJ17">
            <v>243751</v>
          </cell>
          <cell r="AL17">
            <v>36785</v>
          </cell>
          <cell r="AM17">
            <v>147765</v>
          </cell>
        </row>
        <row r="18">
          <cell r="AB18">
            <v>36786</v>
          </cell>
          <cell r="AC18">
            <v>0</v>
          </cell>
          <cell r="AD18">
            <v>335742.45569999999</v>
          </cell>
          <cell r="AE18">
            <v>10</v>
          </cell>
          <cell r="AF18">
            <v>2333</v>
          </cell>
          <cell r="AH18">
            <v>36786</v>
          </cell>
          <cell r="AI18">
            <v>237705</v>
          </cell>
          <cell r="AJ18">
            <v>237705</v>
          </cell>
          <cell r="AL18">
            <v>36786</v>
          </cell>
          <cell r="AM18">
            <v>147792</v>
          </cell>
        </row>
        <row r="19">
          <cell r="AB19">
            <v>36787</v>
          </cell>
          <cell r="AC19">
            <v>81658</v>
          </cell>
          <cell r="AD19">
            <v>274084.45569999999</v>
          </cell>
          <cell r="AE19">
            <v>10</v>
          </cell>
          <cell r="AF19">
            <v>2323</v>
          </cell>
          <cell r="AH19">
            <v>36787</v>
          </cell>
          <cell r="AI19">
            <v>250000</v>
          </cell>
          <cell r="AJ19">
            <v>251462</v>
          </cell>
          <cell r="AL19">
            <v>36787</v>
          </cell>
          <cell r="AM19">
            <v>147092</v>
          </cell>
        </row>
        <row r="20">
          <cell r="AB20">
            <v>36788</v>
          </cell>
          <cell r="AC20">
            <v>38400</v>
          </cell>
          <cell r="AD20">
            <v>255684.45569999999</v>
          </cell>
          <cell r="AE20">
            <v>10</v>
          </cell>
          <cell r="AF20">
            <v>2313</v>
          </cell>
          <cell r="AH20">
            <v>36788</v>
          </cell>
          <cell r="AI20">
            <v>252000</v>
          </cell>
          <cell r="AJ20">
            <v>238627</v>
          </cell>
          <cell r="AL20">
            <v>36788</v>
          </cell>
          <cell r="AM20">
            <v>172170</v>
          </cell>
        </row>
        <row r="21">
          <cell r="AB21">
            <v>36789</v>
          </cell>
          <cell r="AC21">
            <v>0</v>
          </cell>
          <cell r="AD21">
            <v>305684.45569999999</v>
          </cell>
          <cell r="AE21">
            <v>10</v>
          </cell>
          <cell r="AF21">
            <v>2303</v>
          </cell>
          <cell r="AH21">
            <v>36789</v>
          </cell>
          <cell r="AI21">
            <v>258000</v>
          </cell>
          <cell r="AJ21">
            <v>293010</v>
          </cell>
          <cell r="AL21">
            <v>36789</v>
          </cell>
          <cell r="AM21">
            <v>150209</v>
          </cell>
        </row>
        <row r="22">
          <cell r="AB22">
            <v>36790</v>
          </cell>
          <cell r="AC22">
            <v>0</v>
          </cell>
          <cell r="AD22">
            <v>305684.45569999999</v>
          </cell>
          <cell r="AE22">
            <v>10</v>
          </cell>
          <cell r="AF22">
            <v>2293</v>
          </cell>
          <cell r="AH22">
            <v>36790</v>
          </cell>
          <cell r="AI22">
            <v>305000</v>
          </cell>
          <cell r="AJ22">
            <v>297613</v>
          </cell>
          <cell r="AL22">
            <v>36790</v>
          </cell>
          <cell r="AM22">
            <v>157505</v>
          </cell>
        </row>
        <row r="23">
          <cell r="AB23">
            <v>36791</v>
          </cell>
          <cell r="AC23">
            <v>0</v>
          </cell>
          <cell r="AD23">
            <v>305684.45569999999</v>
          </cell>
          <cell r="AE23">
            <v>10</v>
          </cell>
          <cell r="AF23">
            <v>2283</v>
          </cell>
          <cell r="AH23">
            <v>36791</v>
          </cell>
          <cell r="AI23">
            <v>279000</v>
          </cell>
          <cell r="AJ23">
            <v>279524</v>
          </cell>
          <cell r="AL23">
            <v>36791</v>
          </cell>
          <cell r="AM23">
            <v>160398</v>
          </cell>
        </row>
        <row r="24">
          <cell r="AB24">
            <v>36792</v>
          </cell>
          <cell r="AC24">
            <v>0</v>
          </cell>
          <cell r="AD24">
            <v>305684.45569999999</v>
          </cell>
          <cell r="AE24">
            <v>10</v>
          </cell>
          <cell r="AF24">
            <v>2273</v>
          </cell>
          <cell r="AH24">
            <v>36792</v>
          </cell>
          <cell r="AI24">
            <v>250000</v>
          </cell>
          <cell r="AJ24">
            <v>259718</v>
          </cell>
          <cell r="AL24">
            <v>36792</v>
          </cell>
          <cell r="AM24">
            <v>149216</v>
          </cell>
        </row>
        <row r="25">
          <cell r="AB25">
            <v>36793</v>
          </cell>
          <cell r="AC25">
            <v>0</v>
          </cell>
          <cell r="AD25">
            <v>305684.45569999999</v>
          </cell>
          <cell r="AE25">
            <v>10</v>
          </cell>
          <cell r="AF25">
            <v>2263</v>
          </cell>
          <cell r="AH25">
            <v>36793</v>
          </cell>
          <cell r="AI25">
            <v>463000</v>
          </cell>
          <cell r="AJ25">
            <v>361520</v>
          </cell>
          <cell r="AL25">
            <v>36793</v>
          </cell>
          <cell r="AM25">
            <v>149106</v>
          </cell>
        </row>
        <row r="26">
          <cell r="AB26">
            <v>36794</v>
          </cell>
          <cell r="AC26">
            <v>0</v>
          </cell>
          <cell r="AD26">
            <v>305684.45569999999</v>
          </cell>
          <cell r="AE26">
            <v>10</v>
          </cell>
          <cell r="AF26">
            <v>2253</v>
          </cell>
          <cell r="AH26">
            <v>36794</v>
          </cell>
          <cell r="AI26">
            <v>476000</v>
          </cell>
          <cell r="AJ26">
            <v>474825</v>
          </cell>
          <cell r="AL26">
            <v>36794</v>
          </cell>
          <cell r="AM26">
            <v>148256</v>
          </cell>
        </row>
        <row r="27">
          <cell r="AB27">
            <v>36795</v>
          </cell>
          <cell r="AC27">
            <v>0</v>
          </cell>
          <cell r="AD27">
            <v>305684.45569999999</v>
          </cell>
          <cell r="AE27">
            <v>10</v>
          </cell>
          <cell r="AF27">
            <v>2243</v>
          </cell>
          <cell r="AH27">
            <v>36795</v>
          </cell>
          <cell r="AI27">
            <v>376000</v>
          </cell>
          <cell r="AJ27">
            <v>364951</v>
          </cell>
          <cell r="AL27">
            <v>36795</v>
          </cell>
          <cell r="AM27">
            <v>154560</v>
          </cell>
        </row>
        <row r="28">
          <cell r="AB28">
            <v>36796</v>
          </cell>
          <cell r="AC28">
            <v>0</v>
          </cell>
          <cell r="AD28">
            <v>305684.45569999999</v>
          </cell>
          <cell r="AE28">
            <v>10</v>
          </cell>
          <cell r="AF28">
            <v>2233</v>
          </cell>
          <cell r="AH28">
            <v>36796</v>
          </cell>
          <cell r="AI28">
            <v>388000</v>
          </cell>
          <cell r="AJ28">
            <v>365702</v>
          </cell>
          <cell r="AL28">
            <v>36796</v>
          </cell>
          <cell r="AM28">
            <v>148298</v>
          </cell>
        </row>
        <row r="29">
          <cell r="AB29">
            <v>36797</v>
          </cell>
          <cell r="AC29">
            <v>0</v>
          </cell>
          <cell r="AD29">
            <v>305684.45569999999</v>
          </cell>
          <cell r="AE29">
            <v>10</v>
          </cell>
          <cell r="AF29">
            <v>2223</v>
          </cell>
          <cell r="AH29">
            <v>36797</v>
          </cell>
          <cell r="AI29">
            <v>372000</v>
          </cell>
          <cell r="AL29">
            <v>36797</v>
          </cell>
          <cell r="AM29">
            <v>152983</v>
          </cell>
        </row>
        <row r="30">
          <cell r="AB30">
            <v>36798</v>
          </cell>
          <cell r="AC30">
            <v>0</v>
          </cell>
          <cell r="AD30">
            <v>305684.45569999999</v>
          </cell>
          <cell r="AE30">
            <v>10</v>
          </cell>
          <cell r="AF30">
            <v>2213</v>
          </cell>
          <cell r="AH30">
            <v>36798</v>
          </cell>
          <cell r="AI30">
            <v>292000</v>
          </cell>
          <cell r="AL30">
            <v>36798</v>
          </cell>
          <cell r="AM30">
            <v>180458</v>
          </cell>
        </row>
        <row r="31">
          <cell r="AB31">
            <v>36799</v>
          </cell>
          <cell r="AC31">
            <v>0</v>
          </cell>
          <cell r="AD31">
            <v>305684.45569999999</v>
          </cell>
          <cell r="AE31">
            <v>10</v>
          </cell>
          <cell r="AF31">
            <v>2203</v>
          </cell>
          <cell r="AH31">
            <v>36799</v>
          </cell>
          <cell r="AI31">
            <v>233000</v>
          </cell>
          <cell r="AL31">
            <v>36799</v>
          </cell>
          <cell r="AM31">
            <v>180458</v>
          </cell>
        </row>
        <row r="32">
          <cell r="AB32">
            <v>36800</v>
          </cell>
          <cell r="AC32">
            <v>0</v>
          </cell>
          <cell r="AD32">
            <v>305684.45569999999</v>
          </cell>
          <cell r="AE32">
            <v>10</v>
          </cell>
          <cell r="AF32">
            <v>2193</v>
          </cell>
          <cell r="AH32">
            <v>36800</v>
          </cell>
          <cell r="AI32">
            <v>258000</v>
          </cell>
          <cell r="AL32">
            <v>36800</v>
          </cell>
          <cell r="AM32">
            <v>218710</v>
          </cell>
        </row>
        <row r="33">
          <cell r="AH33">
            <v>36801</v>
          </cell>
          <cell r="AI33">
            <v>282000</v>
          </cell>
          <cell r="AL33">
            <v>36801</v>
          </cell>
          <cell r="AM33">
            <v>218240</v>
          </cell>
        </row>
        <row r="34">
          <cell r="AH34">
            <v>36802</v>
          </cell>
          <cell r="AI34">
            <v>266000</v>
          </cell>
          <cell r="AL34">
            <v>36802</v>
          </cell>
          <cell r="AM34">
            <v>218240</v>
          </cell>
        </row>
        <row r="35">
          <cell r="AH35">
            <v>36803</v>
          </cell>
          <cell r="AI35">
            <v>352000</v>
          </cell>
          <cell r="AL35">
            <v>36803</v>
          </cell>
        </row>
        <row r="36">
          <cell r="AH36">
            <v>36804</v>
          </cell>
          <cell r="AI36">
            <v>517000</v>
          </cell>
          <cell r="AL36">
            <v>36804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M65"/>
  <sheetViews>
    <sheetView tabSelected="1" zoomScale="80" workbookViewId="0">
      <pane ySplit="1" topLeftCell="A2" activePane="bottomLeft" state="frozenSplit"/>
      <selection pane="bottomLeft" activeCell="D1" sqref="D1"/>
    </sheetView>
  </sheetViews>
  <sheetFormatPr defaultRowHeight="12.75" x14ac:dyDescent="0.2"/>
  <cols>
    <col min="1" max="1" width="41.28515625" style="2" customWidth="1"/>
    <col min="2" max="2" width="11.42578125" style="2" bestFit="1" customWidth="1"/>
    <col min="3" max="3" width="12.28515625" style="2" bestFit="1" customWidth="1"/>
    <col min="4" max="4" width="37.28515625" style="2" customWidth="1"/>
    <col min="5" max="5" width="12.42578125" style="2" bestFit="1" customWidth="1"/>
    <col min="6" max="6" width="12.140625" style="2" customWidth="1"/>
    <col min="7" max="7" width="12.28515625" style="2" bestFit="1" customWidth="1"/>
    <col min="8" max="8" width="11.5703125" style="2" customWidth="1"/>
    <col min="9" max="9" width="11.85546875" style="2" customWidth="1"/>
    <col min="10" max="10" width="18.140625" style="2" bestFit="1" customWidth="1"/>
    <col min="11" max="12" width="13.7109375" style="2" customWidth="1"/>
    <col min="13" max="13" width="13.5703125" style="2" customWidth="1"/>
    <col min="14" max="14" width="9.140625" style="2"/>
    <col min="15" max="15" width="19" style="2" customWidth="1"/>
    <col min="16" max="16" width="10.7109375" style="2" bestFit="1" customWidth="1"/>
    <col min="17" max="17" width="11.85546875" style="2" bestFit="1" customWidth="1"/>
    <col min="18" max="18" width="10" style="2" bestFit="1" customWidth="1"/>
    <col min="19" max="19" width="20.7109375" style="2" customWidth="1"/>
    <col min="20" max="20" width="10.7109375" style="2" bestFit="1" customWidth="1"/>
    <col min="21" max="21" width="10.5703125" style="2" bestFit="1" customWidth="1"/>
    <col min="22" max="22" width="3.140625" style="2" customWidth="1"/>
    <col min="23" max="23" width="11.85546875" style="2" bestFit="1" customWidth="1"/>
    <col min="24" max="24" width="10.28515625" style="2" customWidth="1"/>
    <col min="25" max="25" width="12.28515625" style="2" bestFit="1" customWidth="1"/>
    <col min="26" max="26" width="9.85546875" style="2" customWidth="1"/>
    <col min="27" max="27" width="2" style="2" customWidth="1"/>
    <col min="28" max="30" width="9.28515625" style="2" bestFit="1" customWidth="1"/>
    <col min="31" max="31" width="10.42578125" style="2" bestFit="1" customWidth="1"/>
    <col min="32" max="32" width="13.7109375" style="2" customWidth="1"/>
    <col min="33" max="33" width="17" style="2" customWidth="1"/>
    <col min="34" max="34" width="20.140625" style="2" customWidth="1"/>
    <col min="35" max="35" width="9.140625" style="2"/>
    <col min="36" max="36" width="15.42578125" style="2" customWidth="1"/>
    <col min="37" max="37" width="14.7109375" style="2" customWidth="1"/>
    <col min="38" max="38" width="16.5703125" style="2" customWidth="1"/>
    <col min="39" max="16384" width="9.140625" style="2"/>
  </cols>
  <sheetData>
    <row r="1" spans="1:39" ht="51" customHeight="1" thickBot="1" x14ac:dyDescent="0.25">
      <c r="A1" s="2" t="s">
        <v>0</v>
      </c>
      <c r="B1" s="3">
        <f ca="1">TODAY()</f>
        <v>37214</v>
      </c>
      <c r="F1" s="4" t="s">
        <v>1</v>
      </c>
      <c r="G1" s="5">
        <v>760000</v>
      </c>
      <c r="H1" s="6"/>
      <c r="I1" s="7" t="s">
        <v>2</v>
      </c>
      <c r="J1" s="8">
        <v>145000</v>
      </c>
      <c r="O1" s="42" t="s">
        <v>3</v>
      </c>
      <c r="P1" s="11">
        <f ca="1">TODAY()+2</f>
        <v>37216</v>
      </c>
      <c r="Q1" s="12">
        <v>660000</v>
      </c>
      <c r="S1" s="42" t="s">
        <v>4</v>
      </c>
      <c r="T1" s="11">
        <f ca="1">TODAY()+2</f>
        <v>37216</v>
      </c>
      <c r="U1" s="12">
        <v>128000</v>
      </c>
      <c r="X1" s="10" t="s">
        <v>5</v>
      </c>
      <c r="Y1" s="10" t="s">
        <v>45</v>
      </c>
      <c r="Z1" s="10" t="s">
        <v>6</v>
      </c>
      <c r="AA1" s="10"/>
      <c r="AB1" s="10" t="s">
        <v>56</v>
      </c>
      <c r="AC1" s="10" t="s">
        <v>57</v>
      </c>
      <c r="AD1" s="10" t="s">
        <v>58</v>
      </c>
      <c r="AG1" s="10" t="s">
        <v>7</v>
      </c>
      <c r="AH1" s="10" t="s">
        <v>8</v>
      </c>
      <c r="AK1" s="1" t="s">
        <v>9</v>
      </c>
    </row>
    <row r="2" spans="1:39" ht="13.5" thickBot="1" x14ac:dyDescent="0.25">
      <c r="A2" s="2" t="s">
        <v>10</v>
      </c>
      <c r="B2" s="3">
        <f ca="1">TODAY()+1</f>
        <v>37215</v>
      </c>
      <c r="D2" s="14"/>
      <c r="P2" s="11">
        <f ca="1">TODAY()+3</f>
        <v>37217</v>
      </c>
      <c r="Q2" s="12">
        <v>600000</v>
      </c>
      <c r="T2" s="11">
        <f ca="1">TODAY()+3</f>
        <v>37217</v>
      </c>
      <c r="U2" s="12">
        <v>121000</v>
      </c>
      <c r="W2" s="11">
        <v>37196</v>
      </c>
      <c r="X2" s="14">
        <v>0</v>
      </c>
      <c r="Y2" s="14">
        <v>0</v>
      </c>
      <c r="Z2" s="13">
        <f>455527-X2+Y2</f>
        <v>455527</v>
      </c>
      <c r="AA2" s="13"/>
      <c r="AB2" s="14">
        <v>0</v>
      </c>
      <c r="AC2" s="14">
        <v>0</v>
      </c>
      <c r="AD2" s="14">
        <f>-2710-AB2+AC2</f>
        <v>-2710</v>
      </c>
      <c r="AE2" s="14"/>
      <c r="AF2" s="63">
        <v>37196</v>
      </c>
      <c r="AG2" s="12">
        <f>313453+51000</f>
        <v>364453</v>
      </c>
      <c r="AH2" s="12">
        <f>313453+51000</f>
        <v>364453</v>
      </c>
      <c r="AI2" s="14"/>
      <c r="AJ2" s="64">
        <f>+AF2</f>
        <v>37196</v>
      </c>
      <c r="AK2" s="12">
        <f>290369+36573</f>
        <v>326942</v>
      </c>
      <c r="AL2" s="12"/>
      <c r="AM2" s="12"/>
    </row>
    <row r="3" spans="1:39" ht="25.5" customHeight="1" thickBot="1" x14ac:dyDescent="0.25">
      <c r="B3" s="1" t="s">
        <v>11</v>
      </c>
      <c r="C3" s="1" t="s">
        <v>12</v>
      </c>
      <c r="D3" s="1" t="s">
        <v>13</v>
      </c>
      <c r="J3" s="21" t="s">
        <v>16</v>
      </c>
      <c r="K3" s="22">
        <f ca="1">TODAY()-1</f>
        <v>37213</v>
      </c>
      <c r="L3" s="23">
        <f ca="1">TODAY()</f>
        <v>37214</v>
      </c>
      <c r="M3" s="24" t="s">
        <v>17</v>
      </c>
      <c r="P3" s="11">
        <f ca="1">TODAY()+4</f>
        <v>37218</v>
      </c>
      <c r="Q3" s="12">
        <v>590000</v>
      </c>
      <c r="T3" s="11">
        <f ca="1">TODAY()+4</f>
        <v>37218</v>
      </c>
      <c r="U3" s="12">
        <v>118000</v>
      </c>
      <c r="W3" s="11">
        <f>W2+1</f>
        <v>37197</v>
      </c>
      <c r="X3" s="14">
        <v>0</v>
      </c>
      <c r="Y3" s="14">
        <v>5000</v>
      </c>
      <c r="Z3" s="13">
        <f t="shared" ref="Z3:Z11" si="0">Z2-X3+Y3</f>
        <v>460527</v>
      </c>
      <c r="AA3" s="13"/>
      <c r="AB3" s="14">
        <v>0</v>
      </c>
      <c r="AC3" s="14">
        <v>0</v>
      </c>
      <c r="AD3" s="14">
        <f>AD2-AB3+AC3</f>
        <v>-2710</v>
      </c>
      <c r="AF3" s="63">
        <f>AF2+1</f>
        <v>37197</v>
      </c>
      <c r="AG3" s="12">
        <f>351091+68828</f>
        <v>419919</v>
      </c>
      <c r="AH3" s="12">
        <f>351091+68828</f>
        <v>419919</v>
      </c>
      <c r="AI3" s="14"/>
      <c r="AJ3" s="64">
        <f t="shared" ref="AJ3:AJ15" si="1">+AF3</f>
        <v>37197</v>
      </c>
      <c r="AK3" s="12">
        <f>328425+45373</f>
        <v>373798</v>
      </c>
      <c r="AL3" s="12"/>
      <c r="AM3" s="12"/>
    </row>
    <row r="4" spans="1:39" ht="13.5" thickBot="1" x14ac:dyDescent="0.25">
      <c r="A4" s="2" t="s">
        <v>14</v>
      </c>
      <c r="B4" s="16">
        <v>43</v>
      </c>
      <c r="C4" s="17">
        <v>29</v>
      </c>
      <c r="D4" s="18">
        <f>AVERAGE(B4,C4)</f>
        <v>36</v>
      </c>
      <c r="J4" s="25" t="s">
        <v>20</v>
      </c>
      <c r="K4" s="37">
        <v>0</v>
      </c>
      <c r="L4" s="9">
        <v>0</v>
      </c>
      <c r="M4" s="28">
        <f>+L4-K4</f>
        <v>0</v>
      </c>
      <c r="Q4" s="12"/>
      <c r="R4" s="11" t="s">
        <v>15</v>
      </c>
      <c r="W4" s="11">
        <f t="shared" ref="W4:W47" si="2">W3+1</f>
        <v>37198</v>
      </c>
      <c r="X4" s="14">
        <v>0</v>
      </c>
      <c r="Y4" s="14">
        <v>0</v>
      </c>
      <c r="Z4" s="13">
        <f t="shared" si="0"/>
        <v>460527</v>
      </c>
      <c r="AA4" s="13"/>
      <c r="AB4" s="14">
        <v>0</v>
      </c>
      <c r="AC4" s="14">
        <v>0</v>
      </c>
      <c r="AD4" s="14">
        <f>AD3-AB4+AC4</f>
        <v>-2710</v>
      </c>
      <c r="AF4" s="63">
        <f t="shared" ref="AF4:AF31" si="3">AF3+1</f>
        <v>37198</v>
      </c>
      <c r="AG4" s="12">
        <f>335635+60694</f>
        <v>396329</v>
      </c>
      <c r="AH4" s="12">
        <f>335635+60694</f>
        <v>396329</v>
      </c>
      <c r="AI4" s="14"/>
      <c r="AJ4" s="64">
        <f t="shared" si="1"/>
        <v>37198</v>
      </c>
      <c r="AK4" s="12">
        <f>326625+37028</f>
        <v>363653</v>
      </c>
      <c r="AL4" s="12"/>
      <c r="AM4" s="12"/>
    </row>
    <row r="5" spans="1:39" ht="13.5" thickBot="1" x14ac:dyDescent="0.25">
      <c r="A5" s="19"/>
      <c r="B5" s="20"/>
      <c r="C5" s="1" t="s">
        <v>90</v>
      </c>
      <c r="D5" s="19"/>
      <c r="E5" s="20"/>
      <c r="F5" s="1" t="s">
        <v>90</v>
      </c>
      <c r="H5" s="1"/>
      <c r="J5" s="25" t="s">
        <v>54</v>
      </c>
      <c r="K5" s="38">
        <v>0</v>
      </c>
      <c r="L5" s="9">
        <v>0</v>
      </c>
      <c r="M5" s="29">
        <f>+L5-K5</f>
        <v>0</v>
      </c>
      <c r="O5" s="52" t="s">
        <v>64</v>
      </c>
      <c r="P5" s="6"/>
      <c r="Q5" s="8">
        <v>725000</v>
      </c>
      <c r="S5" s="21" t="s">
        <v>65</v>
      </c>
      <c r="T5" s="6"/>
      <c r="U5" s="8">
        <v>270756</v>
      </c>
      <c r="W5" s="11">
        <f t="shared" si="2"/>
        <v>37199</v>
      </c>
      <c r="X5" s="14">
        <v>0</v>
      </c>
      <c r="Y5" s="14">
        <v>0</v>
      </c>
      <c r="Z5" s="13">
        <f t="shared" si="0"/>
        <v>460527</v>
      </c>
      <c r="AA5" s="13"/>
      <c r="AB5" s="14">
        <v>0</v>
      </c>
      <c r="AC5" s="14">
        <v>0</v>
      </c>
      <c r="AD5" s="14">
        <f t="shared" ref="AD5:AD47" si="4">AD4-AB5+AC5</f>
        <v>-2710</v>
      </c>
      <c r="AF5" s="63">
        <f t="shared" si="3"/>
        <v>37199</v>
      </c>
      <c r="AG5" s="12">
        <f>474000+89000</f>
        <v>563000</v>
      </c>
      <c r="AH5" s="12">
        <f>455956+88755</f>
        <v>544711</v>
      </c>
      <c r="AI5" s="14"/>
      <c r="AJ5" s="64">
        <f t="shared" si="1"/>
        <v>37199</v>
      </c>
      <c r="AK5" s="12">
        <f>327546+37028</f>
        <v>364574</v>
      </c>
      <c r="AL5" s="12"/>
      <c r="AM5" s="12"/>
    </row>
    <row r="6" spans="1:39" ht="13.5" thickBot="1" x14ac:dyDescent="0.25">
      <c r="A6" s="25" t="s">
        <v>18</v>
      </c>
      <c r="B6" s="40">
        <v>-790000</v>
      </c>
      <c r="C6" s="12">
        <v>-780000</v>
      </c>
      <c r="D6" s="25" t="s">
        <v>19</v>
      </c>
      <c r="E6" s="26">
        <v>-150000</v>
      </c>
      <c r="F6" s="12">
        <v>-155000</v>
      </c>
      <c r="G6" s="65"/>
      <c r="H6" s="12"/>
      <c r="J6" s="30" t="s">
        <v>24</v>
      </c>
      <c r="K6" s="39">
        <f>(+K4-K5)/2</f>
        <v>0</v>
      </c>
      <c r="L6" s="31">
        <f>(+L4-L5)/2</f>
        <v>0</v>
      </c>
      <c r="M6" s="32">
        <f>+L6-K6</f>
        <v>0</v>
      </c>
      <c r="O6" s="21" t="s">
        <v>62</v>
      </c>
      <c r="P6" s="6"/>
      <c r="Q6" s="55">
        <f>Z31/Q5</f>
        <v>0.60270206896551726</v>
      </c>
      <c r="S6" s="21" t="s">
        <v>62</v>
      </c>
      <c r="T6" s="6"/>
      <c r="U6" s="55">
        <f>AD31/U5</f>
        <v>-1.0009011803985876E-2</v>
      </c>
      <c r="W6" s="11">
        <f t="shared" si="2"/>
        <v>37200</v>
      </c>
      <c r="X6" s="14">
        <v>0</v>
      </c>
      <c r="Y6" s="14">
        <v>0</v>
      </c>
      <c r="Z6" s="13">
        <f t="shared" si="0"/>
        <v>460527</v>
      </c>
      <c r="AA6" s="13"/>
      <c r="AB6" s="14">
        <v>0</v>
      </c>
      <c r="AC6" s="14">
        <v>0</v>
      </c>
      <c r="AD6" s="14">
        <f t="shared" si="4"/>
        <v>-2710</v>
      </c>
      <c r="AF6" s="63">
        <f t="shared" si="3"/>
        <v>37200</v>
      </c>
      <c r="AG6" s="12">
        <f>509000+93000</f>
        <v>602000</v>
      </c>
      <c r="AH6" s="12">
        <f>520795+95847</f>
        <v>616642</v>
      </c>
      <c r="AJ6" s="64">
        <f t="shared" si="1"/>
        <v>37200</v>
      </c>
      <c r="AK6" s="12">
        <f>327467+37028</f>
        <v>364495</v>
      </c>
      <c r="AL6" s="12"/>
      <c r="AM6" s="12"/>
    </row>
    <row r="7" spans="1:39" x14ac:dyDescent="0.2">
      <c r="A7" s="25" t="s">
        <v>47</v>
      </c>
      <c r="B7" s="40"/>
      <c r="D7" s="25" t="s">
        <v>22</v>
      </c>
      <c r="E7" s="26">
        <v>0</v>
      </c>
      <c r="G7" s="12"/>
      <c r="H7" s="12"/>
      <c r="W7" s="11">
        <f t="shared" si="2"/>
        <v>37201</v>
      </c>
      <c r="X7" s="14">
        <v>0</v>
      </c>
      <c r="Y7" s="14">
        <v>5000</v>
      </c>
      <c r="Z7" s="13">
        <f t="shared" si="0"/>
        <v>465527</v>
      </c>
      <c r="AA7" s="13"/>
      <c r="AB7" s="14">
        <v>0</v>
      </c>
      <c r="AC7" s="14">
        <v>0</v>
      </c>
      <c r="AD7" s="14">
        <f t="shared" si="4"/>
        <v>-2710</v>
      </c>
      <c r="AF7" s="63">
        <f t="shared" si="3"/>
        <v>37201</v>
      </c>
      <c r="AG7" s="12">
        <f>400000+67000</f>
        <v>467000</v>
      </c>
      <c r="AH7" s="46">
        <f>441080+68366</f>
        <v>509446</v>
      </c>
      <c r="AJ7" s="64">
        <f t="shared" si="1"/>
        <v>37201</v>
      </c>
      <c r="AK7" s="12">
        <f>306649+36928</f>
        <v>343577</v>
      </c>
      <c r="AL7" s="12"/>
      <c r="AM7" s="12"/>
    </row>
    <row r="8" spans="1:39" x14ac:dyDescent="0.2">
      <c r="A8" s="25" t="s">
        <v>49</v>
      </c>
      <c r="B8" s="40"/>
      <c r="D8" s="25" t="s">
        <v>23</v>
      </c>
      <c r="E8" s="26"/>
      <c r="G8" s="12"/>
      <c r="H8" s="12"/>
      <c r="W8" s="11">
        <f t="shared" si="2"/>
        <v>37202</v>
      </c>
      <c r="X8" s="14">
        <v>0</v>
      </c>
      <c r="Y8" s="14">
        <v>0</v>
      </c>
      <c r="Z8" s="13">
        <f t="shared" si="0"/>
        <v>465527</v>
      </c>
      <c r="AA8" s="13"/>
      <c r="AB8" s="14">
        <v>0</v>
      </c>
      <c r="AC8" s="14">
        <v>0</v>
      </c>
      <c r="AD8" s="14">
        <f t="shared" si="4"/>
        <v>-2710</v>
      </c>
      <c r="AF8" s="63">
        <f t="shared" si="3"/>
        <v>37202</v>
      </c>
      <c r="AG8" s="12">
        <f>350000+53000</f>
        <v>403000</v>
      </c>
      <c r="AH8" s="12">
        <f>328795+59751</f>
        <v>388546</v>
      </c>
      <c r="AJ8" s="64">
        <f t="shared" si="1"/>
        <v>37202</v>
      </c>
      <c r="AK8" s="12">
        <f>276605+36373</f>
        <v>312978</v>
      </c>
      <c r="AL8" s="12"/>
      <c r="AM8" s="12"/>
    </row>
    <row r="9" spans="1:39" x14ac:dyDescent="0.2">
      <c r="A9" s="25" t="s">
        <v>52</v>
      </c>
      <c r="B9" s="40">
        <v>0</v>
      </c>
      <c r="C9" s="66"/>
      <c r="D9" s="25" t="s">
        <v>25</v>
      </c>
      <c r="E9" s="26">
        <v>-20000</v>
      </c>
      <c r="G9" s="12"/>
      <c r="H9" s="12"/>
      <c r="L9" s="12"/>
      <c r="W9" s="11">
        <f t="shared" si="2"/>
        <v>37203</v>
      </c>
      <c r="X9" s="14">
        <v>0</v>
      </c>
      <c r="Y9" s="14">
        <v>5000</v>
      </c>
      <c r="Z9" s="13">
        <f t="shared" si="0"/>
        <v>470527</v>
      </c>
      <c r="AA9" s="13"/>
      <c r="AB9" s="14">
        <v>0</v>
      </c>
      <c r="AC9" s="14">
        <v>0</v>
      </c>
      <c r="AD9" s="14">
        <f t="shared" si="4"/>
        <v>-2710</v>
      </c>
      <c r="AF9" s="63">
        <f t="shared" si="3"/>
        <v>37203</v>
      </c>
      <c r="AG9" s="12">
        <f>620000+124000</f>
        <v>744000</v>
      </c>
      <c r="AH9" s="12">
        <f>620000+124000</f>
        <v>744000</v>
      </c>
      <c r="AJ9" s="64">
        <f t="shared" si="1"/>
        <v>37203</v>
      </c>
      <c r="AK9" s="12">
        <f>278783+40154</f>
        <v>318937</v>
      </c>
      <c r="AL9" s="12"/>
      <c r="AM9" s="12"/>
    </row>
    <row r="10" spans="1:39" x14ac:dyDescent="0.2">
      <c r="A10" s="41" t="s">
        <v>71</v>
      </c>
      <c r="B10" s="40">
        <v>0</v>
      </c>
      <c r="C10" s="14" t="s">
        <v>15</v>
      </c>
      <c r="D10" s="25" t="s">
        <v>44</v>
      </c>
      <c r="E10" s="26"/>
      <c r="G10" s="12"/>
      <c r="H10" s="12"/>
      <c r="W10" s="11">
        <f t="shared" si="2"/>
        <v>37204</v>
      </c>
      <c r="X10" s="14">
        <v>0</v>
      </c>
      <c r="Y10" s="14">
        <v>0</v>
      </c>
      <c r="Z10" s="13">
        <f t="shared" si="0"/>
        <v>470527</v>
      </c>
      <c r="AA10" s="13"/>
      <c r="AB10" s="14">
        <v>0</v>
      </c>
      <c r="AC10" s="14">
        <v>0</v>
      </c>
      <c r="AD10" s="14">
        <f t="shared" si="4"/>
        <v>-2710</v>
      </c>
      <c r="AF10" s="63">
        <f t="shared" si="3"/>
        <v>37204</v>
      </c>
      <c r="AG10" s="12">
        <f>550000+108000</f>
        <v>658000</v>
      </c>
      <c r="AH10" s="12">
        <f>603027+101578</f>
        <v>704605</v>
      </c>
      <c r="AJ10" s="64">
        <f t="shared" si="1"/>
        <v>37204</v>
      </c>
      <c r="AK10" s="12">
        <f>281531+37154</f>
        <v>318685</v>
      </c>
      <c r="AL10" s="12"/>
      <c r="AM10" s="12"/>
    </row>
    <row r="11" spans="1:39" x14ac:dyDescent="0.2">
      <c r="A11" s="25" t="s">
        <v>25</v>
      </c>
      <c r="B11" s="40">
        <f>-87783-0-0-20000-7383+25166</f>
        <v>-90000</v>
      </c>
      <c r="C11" s="40"/>
      <c r="D11" s="25" t="s">
        <v>26</v>
      </c>
      <c r="E11" s="26">
        <v>0</v>
      </c>
      <c r="G11" s="12"/>
      <c r="H11" s="12"/>
      <c r="R11" s="13"/>
      <c r="W11" s="11">
        <f t="shared" si="2"/>
        <v>37205</v>
      </c>
      <c r="X11" s="14">
        <v>0</v>
      </c>
      <c r="Y11" s="14">
        <v>0</v>
      </c>
      <c r="Z11" s="13">
        <f t="shared" si="0"/>
        <v>470527</v>
      </c>
      <c r="AA11" s="13"/>
      <c r="AB11" s="14">
        <v>0</v>
      </c>
      <c r="AC11" s="14">
        <v>0</v>
      </c>
      <c r="AD11" s="14">
        <f t="shared" si="4"/>
        <v>-2710</v>
      </c>
      <c r="AF11" s="63">
        <f t="shared" si="3"/>
        <v>37205</v>
      </c>
      <c r="AG11" s="12">
        <f>520000+102000</f>
        <v>622000</v>
      </c>
      <c r="AH11" s="12">
        <f>525927+57592</f>
        <v>583519</v>
      </c>
      <c r="AJ11" s="64">
        <f t="shared" si="1"/>
        <v>37205</v>
      </c>
      <c r="AK11" s="12">
        <f>277388+33819</f>
        <v>311207</v>
      </c>
      <c r="AL11" s="12"/>
      <c r="AM11" s="12"/>
    </row>
    <row r="12" spans="1:39" x14ac:dyDescent="0.2">
      <c r="A12" s="25" t="s">
        <v>63</v>
      </c>
      <c r="B12" s="40">
        <v>-25166</v>
      </c>
      <c r="C12" s="14"/>
      <c r="D12" s="41" t="s">
        <v>46</v>
      </c>
      <c r="E12" s="40">
        <v>0</v>
      </c>
      <c r="G12" s="12" t="s">
        <v>15</v>
      </c>
      <c r="H12" s="12"/>
      <c r="R12" s="13"/>
      <c r="W12" s="11">
        <f t="shared" si="2"/>
        <v>37206</v>
      </c>
      <c r="X12" s="14">
        <v>0</v>
      </c>
      <c r="Y12" s="14">
        <v>10000</v>
      </c>
      <c r="Z12" s="13">
        <f t="shared" ref="Z12:Z47" si="5">Z11-X12+Y12</f>
        <v>480527</v>
      </c>
      <c r="AA12" s="13"/>
      <c r="AB12" s="14">
        <v>0</v>
      </c>
      <c r="AC12" s="14">
        <v>0</v>
      </c>
      <c r="AD12" s="14">
        <f t="shared" si="4"/>
        <v>-2710</v>
      </c>
      <c r="AF12" s="63">
        <f t="shared" si="3"/>
        <v>37206</v>
      </c>
      <c r="AG12" s="12">
        <f>535000+102000</f>
        <v>637000</v>
      </c>
      <c r="AH12" s="12">
        <f>581285+102232</f>
        <v>683517</v>
      </c>
      <c r="AJ12" s="64">
        <f t="shared" si="1"/>
        <v>37206</v>
      </c>
      <c r="AK12" s="12">
        <f>282388+33819</f>
        <v>316207</v>
      </c>
      <c r="AL12" s="12"/>
      <c r="AM12" s="12"/>
    </row>
    <row r="13" spans="1:39" ht="13.5" thickBot="1" x14ac:dyDescent="0.25">
      <c r="A13" s="25" t="s">
        <v>16</v>
      </c>
      <c r="B13" s="40">
        <v>0</v>
      </c>
      <c r="C13" s="1"/>
      <c r="D13" s="25" t="s">
        <v>27</v>
      </c>
      <c r="E13" s="26"/>
      <c r="G13" s="12"/>
      <c r="H13" s="12"/>
      <c r="R13" s="13"/>
      <c r="W13" s="11">
        <f t="shared" si="2"/>
        <v>37207</v>
      </c>
      <c r="X13" s="14">
        <v>0</v>
      </c>
      <c r="Y13" s="14">
        <v>4398</v>
      </c>
      <c r="Z13" s="13">
        <f t="shared" si="5"/>
        <v>484925</v>
      </c>
      <c r="AA13" s="13"/>
      <c r="AB13" s="14">
        <v>0</v>
      </c>
      <c r="AC13" s="14">
        <v>0</v>
      </c>
      <c r="AD13" s="14">
        <f t="shared" si="4"/>
        <v>-2710</v>
      </c>
      <c r="AF13" s="63">
        <f t="shared" si="3"/>
        <v>37207</v>
      </c>
      <c r="AG13" s="12">
        <f>550000+97000</f>
        <v>647000</v>
      </c>
      <c r="AH13" s="12">
        <f>558160+91161</f>
        <v>649321</v>
      </c>
      <c r="AJ13" s="64">
        <f t="shared" si="1"/>
        <v>37207</v>
      </c>
      <c r="AK13" s="12">
        <f>282388+33819</f>
        <v>316207</v>
      </c>
      <c r="AL13" s="12"/>
      <c r="AM13" s="12"/>
    </row>
    <row r="14" spans="1:39" ht="13.5" thickBot="1" x14ac:dyDescent="0.25">
      <c r="A14" s="25" t="s">
        <v>55</v>
      </c>
      <c r="B14" s="40">
        <v>0</v>
      </c>
      <c r="C14" s="14"/>
      <c r="D14" s="33" t="s">
        <v>28</v>
      </c>
      <c r="E14" s="34">
        <f>SUM(E6:E13)</f>
        <v>-170000</v>
      </c>
      <c r="G14" s="12"/>
      <c r="H14" s="12"/>
      <c r="L14" s="12"/>
      <c r="R14" s="13"/>
      <c r="W14" s="11">
        <f t="shared" si="2"/>
        <v>37208</v>
      </c>
      <c r="X14" s="14">
        <v>0</v>
      </c>
      <c r="Y14" s="14">
        <v>5000</v>
      </c>
      <c r="Z14" s="13">
        <f t="shared" si="5"/>
        <v>489925</v>
      </c>
      <c r="AA14" s="13"/>
      <c r="AB14" s="14">
        <v>0</v>
      </c>
      <c r="AC14" s="14">
        <v>0</v>
      </c>
      <c r="AD14" s="14">
        <f t="shared" si="4"/>
        <v>-2710</v>
      </c>
      <c r="AF14" s="63">
        <f t="shared" si="3"/>
        <v>37208</v>
      </c>
      <c r="AG14" s="12">
        <f>435000+73000</f>
        <v>508000</v>
      </c>
      <c r="AH14" s="12">
        <f>433251+70049</f>
        <v>503300</v>
      </c>
      <c r="AJ14" s="64">
        <f t="shared" si="1"/>
        <v>37208</v>
      </c>
      <c r="AK14" s="12">
        <f>280384+33819</f>
        <v>314203</v>
      </c>
      <c r="AL14" s="12"/>
      <c r="AM14" s="12"/>
    </row>
    <row r="15" spans="1:39" x14ac:dyDescent="0.2">
      <c r="A15" s="25" t="s">
        <v>23</v>
      </c>
      <c r="B15" s="40"/>
      <c r="C15" s="14"/>
      <c r="D15" s="25"/>
      <c r="E15" s="26"/>
      <c r="F15" s="14">
        <f>+E14+E29</f>
        <v>0</v>
      </c>
      <c r="G15" s="12"/>
      <c r="H15" s="12"/>
      <c r="L15" s="12"/>
      <c r="R15" s="13"/>
      <c r="W15" s="11">
        <f t="shared" si="2"/>
        <v>37209</v>
      </c>
      <c r="X15" s="14">
        <v>0</v>
      </c>
      <c r="Y15" s="14">
        <v>0</v>
      </c>
      <c r="Z15" s="13">
        <f>Z14-X15+Y15</f>
        <v>489925</v>
      </c>
      <c r="AA15" s="13"/>
      <c r="AB15" s="14">
        <v>0</v>
      </c>
      <c r="AC15" s="14">
        <v>0</v>
      </c>
      <c r="AD15" s="14">
        <f t="shared" si="4"/>
        <v>-2710</v>
      </c>
      <c r="AF15" s="63">
        <f t="shared" si="3"/>
        <v>37209</v>
      </c>
      <c r="AG15" s="12">
        <f>375000+56700</f>
        <v>431700</v>
      </c>
      <c r="AH15" s="12">
        <f>375334+55500</f>
        <v>430834</v>
      </c>
      <c r="AJ15" s="64">
        <f t="shared" si="1"/>
        <v>37209</v>
      </c>
      <c r="AK15" s="12">
        <f>273169+32948</f>
        <v>306117</v>
      </c>
      <c r="AL15" s="12"/>
      <c r="AM15" s="12"/>
    </row>
    <row r="16" spans="1:39" x14ac:dyDescent="0.2">
      <c r="A16" s="25" t="s">
        <v>48</v>
      </c>
      <c r="B16" s="40">
        <v>0</v>
      </c>
      <c r="C16" s="14"/>
      <c r="D16" s="25" t="s">
        <v>31</v>
      </c>
      <c r="E16" s="26">
        <v>39111</v>
      </c>
      <c r="G16" s="12"/>
      <c r="H16" s="12"/>
      <c r="L16" s="12"/>
      <c r="R16" s="13"/>
      <c r="W16" s="11">
        <f t="shared" si="2"/>
        <v>37210</v>
      </c>
      <c r="X16" s="14">
        <v>0</v>
      </c>
      <c r="Y16" s="14">
        <v>0</v>
      </c>
      <c r="Z16" s="13">
        <f>Z15-X16+Y16</f>
        <v>489925</v>
      </c>
      <c r="AA16" s="13"/>
      <c r="AB16" s="14">
        <v>0</v>
      </c>
      <c r="AC16" s="14">
        <v>0</v>
      </c>
      <c r="AD16" s="14">
        <f t="shared" si="4"/>
        <v>-2710</v>
      </c>
      <c r="AF16" s="63">
        <f t="shared" si="3"/>
        <v>37210</v>
      </c>
      <c r="AG16" s="12">
        <f>302000+48700</f>
        <v>350700</v>
      </c>
      <c r="AH16" s="12"/>
      <c r="AJ16" s="64">
        <f t="shared" ref="AJ16:AJ32" si="6">+AF16</f>
        <v>37210</v>
      </c>
      <c r="AK16" s="12">
        <f>250124+34765</f>
        <v>284889</v>
      </c>
      <c r="AL16" s="12"/>
      <c r="AM16" s="12"/>
    </row>
    <row r="17" spans="1:39" x14ac:dyDescent="0.2">
      <c r="A17" s="25" t="s">
        <v>27</v>
      </c>
      <c r="B17" s="40">
        <v>0</v>
      </c>
      <c r="C17" s="14"/>
      <c r="D17" s="25" t="s">
        <v>32</v>
      </c>
      <c r="E17" s="26">
        <v>10000</v>
      </c>
      <c r="G17" s="12"/>
      <c r="H17" s="12"/>
      <c r="L17" s="12"/>
      <c r="R17" s="13"/>
      <c r="W17" s="11">
        <f t="shared" si="2"/>
        <v>37211</v>
      </c>
      <c r="X17" s="14">
        <v>0</v>
      </c>
      <c r="Y17" s="14">
        <v>0</v>
      </c>
      <c r="Z17" s="13">
        <f>Z16-X17+Y17</f>
        <v>489925</v>
      </c>
      <c r="AA17" s="13"/>
      <c r="AB17" s="14">
        <v>0</v>
      </c>
      <c r="AC17" s="14">
        <v>0</v>
      </c>
      <c r="AD17" s="14">
        <f t="shared" si="4"/>
        <v>-2710</v>
      </c>
      <c r="AF17" s="63">
        <f t="shared" si="3"/>
        <v>37211</v>
      </c>
      <c r="AG17" s="12">
        <f>320000+54000</f>
        <v>374000</v>
      </c>
      <c r="AH17" s="12"/>
      <c r="AJ17" s="64">
        <f t="shared" si="6"/>
        <v>37211</v>
      </c>
      <c r="AK17" s="12">
        <f>265372+35414</f>
        <v>300786</v>
      </c>
      <c r="AL17" s="12"/>
      <c r="AM17" s="12"/>
    </row>
    <row r="18" spans="1:39" x14ac:dyDescent="0.2">
      <c r="A18" s="25" t="s">
        <v>89</v>
      </c>
      <c r="B18" s="40">
        <v>0</v>
      </c>
      <c r="D18" s="25" t="s">
        <v>33</v>
      </c>
      <c r="E18" s="26">
        <v>0</v>
      </c>
      <c r="F18" s="14" t="s">
        <v>15</v>
      </c>
      <c r="G18" s="12"/>
      <c r="H18" s="12"/>
      <c r="L18" s="12"/>
      <c r="R18" s="13"/>
      <c r="W18" s="11">
        <f t="shared" si="2"/>
        <v>37212</v>
      </c>
      <c r="X18" s="14">
        <v>52966</v>
      </c>
      <c r="Y18" s="14">
        <v>0</v>
      </c>
      <c r="Z18" s="13">
        <f t="shared" si="5"/>
        <v>436959</v>
      </c>
      <c r="AA18" s="13"/>
      <c r="AB18" s="14">
        <v>0</v>
      </c>
      <c r="AC18" s="14">
        <v>0</v>
      </c>
      <c r="AD18" s="14">
        <f t="shared" si="4"/>
        <v>-2710</v>
      </c>
      <c r="AF18" s="63">
        <f t="shared" si="3"/>
        <v>37212</v>
      </c>
      <c r="AG18" s="12">
        <f>250000+44000</f>
        <v>294000</v>
      </c>
      <c r="AH18" s="12"/>
      <c r="AJ18" s="64">
        <f t="shared" si="6"/>
        <v>37212</v>
      </c>
      <c r="AK18" s="12">
        <f>247687+34630</f>
        <v>282317</v>
      </c>
      <c r="AL18" s="12"/>
      <c r="AM18" s="12"/>
    </row>
    <row r="19" spans="1:39" x14ac:dyDescent="0.2">
      <c r="A19" s="25" t="s">
        <v>67</v>
      </c>
      <c r="B19" s="40">
        <v>0</v>
      </c>
      <c r="C19" s="56"/>
      <c r="D19" s="25" t="s">
        <v>34</v>
      </c>
      <c r="E19" s="26">
        <v>33130</v>
      </c>
      <c r="G19" s="12"/>
      <c r="H19" s="12"/>
      <c r="L19" s="12"/>
      <c r="R19" s="13"/>
      <c r="W19" s="11">
        <f t="shared" si="2"/>
        <v>37213</v>
      </c>
      <c r="X19" s="14">
        <v>0</v>
      </c>
      <c r="Y19" s="14">
        <v>0</v>
      </c>
      <c r="Z19" s="13">
        <f t="shared" si="5"/>
        <v>436959</v>
      </c>
      <c r="AA19" s="13"/>
      <c r="AB19" s="14">
        <v>0</v>
      </c>
      <c r="AC19" s="14">
        <v>0</v>
      </c>
      <c r="AD19" s="14">
        <f t="shared" si="4"/>
        <v>-2710</v>
      </c>
      <c r="AF19" s="63">
        <f t="shared" si="3"/>
        <v>37213</v>
      </c>
      <c r="AG19" s="12">
        <f>400000+69000</f>
        <v>469000</v>
      </c>
      <c r="AH19" s="12"/>
      <c r="AJ19" s="64">
        <f t="shared" si="6"/>
        <v>37213</v>
      </c>
      <c r="AK19" s="12">
        <f>249697+34630</f>
        <v>284327</v>
      </c>
      <c r="AL19" s="12"/>
      <c r="AM19" s="12"/>
    </row>
    <row r="20" spans="1:39" x14ac:dyDescent="0.2">
      <c r="A20" s="25" t="s">
        <v>66</v>
      </c>
      <c r="B20" s="58">
        <v>0</v>
      </c>
      <c r="C20" s="14"/>
      <c r="D20" s="25" t="s">
        <v>38</v>
      </c>
      <c r="E20" s="26">
        <v>0</v>
      </c>
      <c r="G20" s="12"/>
      <c r="H20" s="12"/>
      <c r="R20" s="13"/>
      <c r="W20" s="11">
        <f t="shared" si="2"/>
        <v>37214</v>
      </c>
      <c r="X20" s="14">
        <v>0</v>
      </c>
      <c r="Y20" s="14">
        <v>0</v>
      </c>
      <c r="Z20" s="13">
        <f>Z19-X20+Y20</f>
        <v>436959</v>
      </c>
      <c r="AA20" s="13"/>
      <c r="AB20" s="14">
        <v>0</v>
      </c>
      <c r="AC20" s="14">
        <v>0</v>
      </c>
      <c r="AD20" s="14">
        <f t="shared" si="4"/>
        <v>-2710</v>
      </c>
      <c r="AF20" s="63">
        <f t="shared" si="3"/>
        <v>37214</v>
      </c>
      <c r="AG20" s="12">
        <f>670000+145000</f>
        <v>815000</v>
      </c>
      <c r="AH20" s="12"/>
      <c r="AJ20" s="64">
        <f t="shared" si="6"/>
        <v>37214</v>
      </c>
      <c r="AK20" s="12">
        <f>252232+33130</f>
        <v>285362</v>
      </c>
      <c r="AL20" s="12"/>
      <c r="AM20" s="12"/>
    </row>
    <row r="21" spans="1:39" x14ac:dyDescent="0.2">
      <c r="A21" s="25" t="s">
        <v>77</v>
      </c>
      <c r="B21" s="58">
        <v>0</v>
      </c>
      <c r="C21" s="14"/>
      <c r="D21" s="25" t="s">
        <v>48</v>
      </c>
      <c r="E21" s="26">
        <v>0</v>
      </c>
      <c r="F21" s="25"/>
      <c r="G21" s="12"/>
      <c r="H21" s="12"/>
      <c r="R21" s="13"/>
      <c r="W21" s="11">
        <f t="shared" si="2"/>
        <v>37215</v>
      </c>
      <c r="X21" s="14">
        <v>0</v>
      </c>
      <c r="Y21" s="14">
        <v>0</v>
      </c>
      <c r="Z21" s="13">
        <f>Z20-X21+Y21</f>
        <v>436959</v>
      </c>
      <c r="AA21" s="13"/>
      <c r="AB21" s="14">
        <v>0</v>
      </c>
      <c r="AC21" s="14">
        <v>0</v>
      </c>
      <c r="AD21" s="14">
        <f t="shared" si="4"/>
        <v>-2710</v>
      </c>
      <c r="AF21" s="11">
        <f t="shared" si="3"/>
        <v>37215</v>
      </c>
      <c r="AG21" s="12">
        <f>790000+150000</f>
        <v>940000</v>
      </c>
      <c r="AH21" s="12"/>
      <c r="AJ21" s="15">
        <f t="shared" si="6"/>
        <v>37215</v>
      </c>
      <c r="AK21" s="12"/>
      <c r="AL21" s="12"/>
      <c r="AM21" s="12"/>
    </row>
    <row r="22" spans="1:39" x14ac:dyDescent="0.2">
      <c r="A22" s="25" t="s">
        <v>42</v>
      </c>
      <c r="B22" s="40">
        <v>0</v>
      </c>
      <c r="D22" s="60" t="s">
        <v>27</v>
      </c>
      <c r="E22" s="59">
        <v>63759</v>
      </c>
      <c r="F22" s="25"/>
      <c r="G22" s="12"/>
      <c r="H22" s="12"/>
      <c r="R22" s="13"/>
      <c r="W22" s="11">
        <f t="shared" si="2"/>
        <v>37216</v>
      </c>
      <c r="X22" s="14">
        <v>0</v>
      </c>
      <c r="Y22" s="14">
        <v>0</v>
      </c>
      <c r="Z22" s="13">
        <f>Z21-X22+Y22</f>
        <v>436959</v>
      </c>
      <c r="AA22" s="13"/>
      <c r="AB22" s="14">
        <v>0</v>
      </c>
      <c r="AC22" s="14">
        <v>0</v>
      </c>
      <c r="AD22" s="14">
        <f t="shared" si="4"/>
        <v>-2710</v>
      </c>
      <c r="AF22" s="11">
        <f t="shared" si="3"/>
        <v>37216</v>
      </c>
      <c r="AG22" s="12">
        <f>660000+128000</f>
        <v>788000</v>
      </c>
      <c r="AH22" s="12"/>
      <c r="AJ22" s="15">
        <f t="shared" si="6"/>
        <v>37216</v>
      </c>
      <c r="AK22" s="12"/>
      <c r="AL22" s="12"/>
      <c r="AM22" s="12"/>
    </row>
    <row r="23" spans="1:39" x14ac:dyDescent="0.2">
      <c r="A23" s="25" t="s">
        <v>43</v>
      </c>
      <c r="B23" s="40">
        <v>0</v>
      </c>
      <c r="C23" s="14"/>
      <c r="D23" s="25" t="s">
        <v>68</v>
      </c>
      <c r="E23" s="40">
        <v>7000</v>
      </c>
      <c r="F23" s="14">
        <v>0</v>
      </c>
      <c r="G23" s="12"/>
      <c r="H23" s="12"/>
      <c r="L23" s="2">
        <v>0.32</v>
      </c>
      <c r="R23" s="13"/>
      <c r="W23" s="11">
        <f t="shared" si="2"/>
        <v>37217</v>
      </c>
      <c r="X23" s="14">
        <v>0</v>
      </c>
      <c r="Y23" s="14">
        <v>0</v>
      </c>
      <c r="Z23" s="13">
        <f t="shared" si="5"/>
        <v>436959</v>
      </c>
      <c r="AA23" s="13"/>
      <c r="AB23" s="14">
        <v>0</v>
      </c>
      <c r="AC23" s="14">
        <v>0</v>
      </c>
      <c r="AD23" s="14">
        <f t="shared" si="4"/>
        <v>-2710</v>
      </c>
      <c r="AF23" s="11">
        <f t="shared" si="3"/>
        <v>37217</v>
      </c>
      <c r="AG23" s="12">
        <f>600000+121000</f>
        <v>721000</v>
      </c>
      <c r="AH23" s="12"/>
      <c r="AJ23" s="15">
        <f t="shared" si="6"/>
        <v>37217</v>
      </c>
      <c r="AK23" s="12"/>
      <c r="AL23" s="12"/>
      <c r="AM23" s="12"/>
    </row>
    <row r="24" spans="1:39" x14ac:dyDescent="0.2">
      <c r="A24" s="25" t="s">
        <v>29</v>
      </c>
      <c r="B24" s="40">
        <v>0</v>
      </c>
      <c r="C24" s="14">
        <v>0</v>
      </c>
      <c r="D24" s="25" t="s">
        <v>86</v>
      </c>
      <c r="E24" s="40">
        <v>7000</v>
      </c>
      <c r="F24" s="14">
        <v>0</v>
      </c>
      <c r="G24" s="12"/>
      <c r="H24" s="12"/>
      <c r="R24" s="13"/>
      <c r="W24" s="11">
        <f t="shared" si="2"/>
        <v>37218</v>
      </c>
      <c r="X24" s="14">
        <v>0</v>
      </c>
      <c r="Y24" s="14">
        <v>0</v>
      </c>
      <c r="Z24" s="13">
        <f>Z23-X24+Y24</f>
        <v>436959</v>
      </c>
      <c r="AA24" s="13"/>
      <c r="AB24" s="14">
        <v>0</v>
      </c>
      <c r="AC24" s="14">
        <v>0</v>
      </c>
      <c r="AD24" s="14">
        <f t="shared" si="4"/>
        <v>-2710</v>
      </c>
      <c r="AF24" s="11">
        <f t="shared" si="3"/>
        <v>37218</v>
      </c>
      <c r="AG24" s="12">
        <f>590000+118000</f>
        <v>708000</v>
      </c>
      <c r="AH24" s="12"/>
      <c r="AJ24" s="15">
        <f t="shared" si="6"/>
        <v>37218</v>
      </c>
      <c r="AK24" s="12"/>
      <c r="AL24" s="12"/>
      <c r="AM24" s="12"/>
    </row>
    <row r="25" spans="1:39" x14ac:dyDescent="0.2">
      <c r="A25" s="25" t="s">
        <v>73</v>
      </c>
      <c r="B25" s="40">
        <v>0</v>
      </c>
      <c r="C25" s="14"/>
      <c r="D25" s="25" t="s">
        <v>85</v>
      </c>
      <c r="E25" s="40">
        <v>10000</v>
      </c>
      <c r="G25" s="12"/>
      <c r="H25" s="12"/>
      <c r="R25" s="13"/>
      <c r="W25" s="11">
        <f t="shared" si="2"/>
        <v>37219</v>
      </c>
      <c r="X25" s="14">
        <v>0</v>
      </c>
      <c r="Y25" s="14">
        <v>0</v>
      </c>
      <c r="Z25" s="13">
        <f t="shared" si="5"/>
        <v>436959</v>
      </c>
      <c r="AA25" s="13"/>
      <c r="AB25" s="14">
        <v>0</v>
      </c>
      <c r="AC25" s="14">
        <v>0</v>
      </c>
      <c r="AD25" s="14">
        <f t="shared" si="4"/>
        <v>-2710</v>
      </c>
      <c r="AF25" s="11">
        <f t="shared" si="3"/>
        <v>37219</v>
      </c>
      <c r="AG25" s="12"/>
      <c r="AH25" s="12"/>
      <c r="AJ25" s="15">
        <f t="shared" si="6"/>
        <v>37219</v>
      </c>
      <c r="AK25" s="12"/>
      <c r="AL25" s="12"/>
      <c r="AM25" s="12"/>
    </row>
    <row r="26" spans="1:39" x14ac:dyDescent="0.2">
      <c r="A26" s="25" t="s">
        <v>30</v>
      </c>
      <c r="B26" s="40">
        <v>-2400</v>
      </c>
      <c r="D26" s="25" t="s">
        <v>69</v>
      </c>
      <c r="E26" s="40">
        <v>0</v>
      </c>
      <c r="G26" s="12"/>
      <c r="H26" s="12"/>
      <c r="R26" s="13"/>
      <c r="W26" s="11">
        <f t="shared" si="2"/>
        <v>37220</v>
      </c>
      <c r="X26" s="14">
        <v>0</v>
      </c>
      <c r="Y26" s="14">
        <v>0</v>
      </c>
      <c r="Z26" s="13">
        <f t="shared" si="5"/>
        <v>436959</v>
      </c>
      <c r="AA26" s="13"/>
      <c r="AB26" s="14">
        <v>0</v>
      </c>
      <c r="AC26" s="14">
        <v>0</v>
      </c>
      <c r="AD26" s="14">
        <f t="shared" si="4"/>
        <v>-2710</v>
      </c>
      <c r="AF26" s="11">
        <f t="shared" si="3"/>
        <v>37220</v>
      </c>
      <c r="AG26" s="12"/>
      <c r="AH26" s="12"/>
      <c r="AJ26" s="15">
        <f t="shared" si="6"/>
        <v>37220</v>
      </c>
      <c r="AK26" s="12"/>
      <c r="AL26" s="12"/>
      <c r="AM26" s="12"/>
    </row>
    <row r="27" spans="1:39" x14ac:dyDescent="0.2">
      <c r="A27" s="25" t="s">
        <v>76</v>
      </c>
      <c r="B27" s="40">
        <v>-10000</v>
      </c>
      <c r="C27" s="14"/>
      <c r="D27" s="25" t="s">
        <v>78</v>
      </c>
      <c r="E27" s="58">
        <v>0</v>
      </c>
      <c r="G27" s="12"/>
      <c r="H27" s="12"/>
      <c r="R27" s="13"/>
      <c r="W27" s="11">
        <f t="shared" si="2"/>
        <v>37221</v>
      </c>
      <c r="X27" s="14">
        <v>0</v>
      </c>
      <c r="Y27" s="14">
        <v>0</v>
      </c>
      <c r="Z27" s="13">
        <f t="shared" si="5"/>
        <v>436959</v>
      </c>
      <c r="AA27" s="13"/>
      <c r="AB27" s="14">
        <v>0</v>
      </c>
      <c r="AC27" s="14">
        <v>0</v>
      </c>
      <c r="AD27" s="14">
        <f t="shared" si="4"/>
        <v>-2710</v>
      </c>
      <c r="AF27" s="11">
        <f t="shared" si="3"/>
        <v>37221</v>
      </c>
      <c r="AG27" s="12"/>
      <c r="AH27" s="12"/>
      <c r="AJ27" s="15">
        <f t="shared" si="6"/>
        <v>37221</v>
      </c>
      <c r="AK27" s="12"/>
      <c r="AL27" s="12"/>
      <c r="AM27" s="12"/>
    </row>
    <row r="28" spans="1:39" ht="13.5" thickBot="1" x14ac:dyDescent="0.25">
      <c r="A28" s="25" t="s">
        <v>51</v>
      </c>
      <c r="B28" s="59">
        <v>0</v>
      </c>
      <c r="C28" s="57">
        <f>SUM(B29,B63)</f>
        <v>0</v>
      </c>
      <c r="D28" s="25" t="s">
        <v>35</v>
      </c>
      <c r="E28" s="26">
        <v>0</v>
      </c>
      <c r="G28" s="12"/>
      <c r="H28" s="12"/>
      <c r="R28" s="13"/>
      <c r="W28" s="11">
        <f t="shared" si="2"/>
        <v>37222</v>
      </c>
      <c r="X28" s="14">
        <v>0</v>
      </c>
      <c r="Y28" s="14">
        <v>0</v>
      </c>
      <c r="Z28" s="13">
        <f t="shared" si="5"/>
        <v>436959</v>
      </c>
      <c r="AA28" s="13"/>
      <c r="AB28" s="14">
        <v>0</v>
      </c>
      <c r="AC28" s="14">
        <v>0</v>
      </c>
      <c r="AD28" s="14">
        <f t="shared" si="4"/>
        <v>-2710</v>
      </c>
      <c r="AF28" s="11">
        <f t="shared" si="3"/>
        <v>37222</v>
      </c>
      <c r="AG28" s="12"/>
      <c r="AH28" s="12"/>
      <c r="AJ28" s="15">
        <f t="shared" si="6"/>
        <v>37222</v>
      </c>
      <c r="AK28" s="12"/>
      <c r="AL28" s="12"/>
      <c r="AM28" s="12"/>
    </row>
    <row r="29" spans="1:39" ht="13.5" thickBot="1" x14ac:dyDescent="0.25">
      <c r="A29" s="33" t="s">
        <v>28</v>
      </c>
      <c r="B29" s="34">
        <f>SUM(B6:B28)+B12</f>
        <v>-942732</v>
      </c>
      <c r="C29" s="14"/>
      <c r="D29" s="33" t="s">
        <v>36</v>
      </c>
      <c r="E29" s="34">
        <f>SUM(E16:E28)</f>
        <v>170000</v>
      </c>
      <c r="G29" s="12"/>
      <c r="H29" s="12"/>
      <c r="R29" s="13"/>
      <c r="W29" s="11">
        <f t="shared" si="2"/>
        <v>37223</v>
      </c>
      <c r="X29" s="14">
        <v>0</v>
      </c>
      <c r="Y29" s="14">
        <v>0</v>
      </c>
      <c r="Z29" s="13">
        <f t="shared" si="5"/>
        <v>436959</v>
      </c>
      <c r="AA29" s="13"/>
      <c r="AB29" s="14">
        <v>0</v>
      </c>
      <c r="AC29" s="14">
        <v>0</v>
      </c>
      <c r="AD29" s="14">
        <f t="shared" si="4"/>
        <v>-2710</v>
      </c>
      <c r="AF29" s="11">
        <f t="shared" si="3"/>
        <v>37223</v>
      </c>
      <c r="AG29" s="12"/>
      <c r="AH29" s="12"/>
      <c r="AJ29" s="15">
        <f t="shared" si="6"/>
        <v>37223</v>
      </c>
      <c r="AK29" s="12"/>
      <c r="AL29" s="12"/>
      <c r="AM29" s="12"/>
    </row>
    <row r="30" spans="1:39" ht="13.5" thickBot="1" x14ac:dyDescent="0.25">
      <c r="A30" s="25"/>
      <c r="B30" s="40"/>
      <c r="C30" s="14"/>
      <c r="D30" s="30"/>
      <c r="E30" s="35"/>
      <c r="F30" s="14"/>
      <c r="G30" s="12"/>
      <c r="H30" s="12"/>
      <c r="W30" s="11">
        <f t="shared" si="2"/>
        <v>37224</v>
      </c>
      <c r="X30" s="14">
        <v>0</v>
      </c>
      <c r="Y30" s="14">
        <v>0</v>
      </c>
      <c r="Z30" s="13">
        <f t="shared" si="5"/>
        <v>436959</v>
      </c>
      <c r="AA30" s="13"/>
      <c r="AB30" s="14">
        <v>0</v>
      </c>
      <c r="AC30" s="14">
        <v>0</v>
      </c>
      <c r="AD30" s="14">
        <f t="shared" si="4"/>
        <v>-2710</v>
      </c>
      <c r="AF30" s="11">
        <f t="shared" si="3"/>
        <v>37224</v>
      </c>
      <c r="AG30" s="12"/>
      <c r="AH30" s="12"/>
      <c r="AJ30" s="15">
        <f t="shared" si="6"/>
        <v>37224</v>
      </c>
      <c r="AK30" s="12"/>
      <c r="AL30" s="12"/>
      <c r="AM30" s="12"/>
    </row>
    <row r="31" spans="1:39" x14ac:dyDescent="0.2">
      <c r="A31" s="25" t="s">
        <v>31</v>
      </c>
      <c r="B31" s="40">
        <v>187134</v>
      </c>
      <c r="C31" s="14"/>
      <c r="E31" s="12"/>
      <c r="G31" s="12"/>
      <c r="H31" s="12"/>
      <c r="W31" s="11">
        <f t="shared" si="2"/>
        <v>37225</v>
      </c>
      <c r="X31" s="14">
        <v>0</v>
      </c>
      <c r="Y31" s="14">
        <v>0</v>
      </c>
      <c r="Z31" s="13">
        <f>Z30-X31+Y31</f>
        <v>436959</v>
      </c>
      <c r="AA31" s="13"/>
      <c r="AB31" s="14">
        <v>0</v>
      </c>
      <c r="AC31" s="14">
        <v>0</v>
      </c>
      <c r="AD31" s="14">
        <f t="shared" si="4"/>
        <v>-2710</v>
      </c>
      <c r="AF31" s="11">
        <f t="shared" si="3"/>
        <v>37225</v>
      </c>
      <c r="AG31" s="12"/>
      <c r="AH31" s="48"/>
      <c r="AJ31" s="15">
        <f t="shared" si="6"/>
        <v>37225</v>
      </c>
      <c r="AK31" s="12"/>
      <c r="AL31" s="12"/>
      <c r="AM31" s="12"/>
    </row>
    <row r="32" spans="1:39" x14ac:dyDescent="0.2">
      <c r="A32" s="25" t="s">
        <v>32</v>
      </c>
      <c r="B32" s="40">
        <v>125000</v>
      </c>
      <c r="C32" s="14"/>
      <c r="E32" s="12"/>
      <c r="G32" s="12"/>
      <c r="H32" s="12"/>
      <c r="W32" s="11">
        <f t="shared" si="2"/>
        <v>37226</v>
      </c>
      <c r="X32" s="14">
        <v>0</v>
      </c>
      <c r="Y32" s="14">
        <v>0</v>
      </c>
      <c r="Z32" s="13">
        <f t="shared" si="5"/>
        <v>436959</v>
      </c>
      <c r="AA32" s="13"/>
      <c r="AB32" s="14">
        <v>0</v>
      </c>
      <c r="AC32" s="14">
        <v>0</v>
      </c>
      <c r="AD32" s="14">
        <f t="shared" si="4"/>
        <v>-2710</v>
      </c>
      <c r="AF32" s="11">
        <f>AF31+1</f>
        <v>37226</v>
      </c>
      <c r="AG32" s="12"/>
      <c r="AH32" s="12"/>
      <c r="AJ32" s="15">
        <f t="shared" si="6"/>
        <v>37226</v>
      </c>
      <c r="AK32" s="12"/>
      <c r="AL32" s="12"/>
      <c r="AM32" s="12"/>
    </row>
    <row r="33" spans="1:39" x14ac:dyDescent="0.2">
      <c r="A33" s="25" t="s">
        <v>33</v>
      </c>
      <c r="B33" s="40">
        <v>10855</v>
      </c>
      <c r="C33" s="14"/>
      <c r="D33" s="51"/>
      <c r="G33" s="12"/>
      <c r="H33" s="12"/>
      <c r="W33" s="11">
        <f t="shared" si="2"/>
        <v>37227</v>
      </c>
      <c r="X33" s="14">
        <v>0</v>
      </c>
      <c r="Y33" s="14">
        <v>0</v>
      </c>
      <c r="Z33" s="13">
        <f t="shared" ref="Z33:Z39" si="7">Z32-X33+Y33</f>
        <v>436959</v>
      </c>
      <c r="AB33" s="14">
        <v>0</v>
      </c>
      <c r="AC33" s="14">
        <v>0</v>
      </c>
      <c r="AD33" s="14">
        <f t="shared" si="4"/>
        <v>-2710</v>
      </c>
      <c r="AF33" s="11"/>
      <c r="AG33" s="12"/>
      <c r="AJ33" s="15"/>
      <c r="AK33" s="12"/>
      <c r="AL33" s="12"/>
      <c r="AM33" s="12"/>
    </row>
    <row r="34" spans="1:39" x14ac:dyDescent="0.2">
      <c r="A34" s="25" t="s">
        <v>34</v>
      </c>
      <c r="B34" s="40">
        <v>252232</v>
      </c>
      <c r="C34" s="14"/>
      <c r="G34" s="12"/>
      <c r="H34" s="12"/>
      <c r="W34" s="11">
        <f t="shared" si="2"/>
        <v>37228</v>
      </c>
      <c r="X34" s="14">
        <v>0</v>
      </c>
      <c r="Y34" s="14">
        <v>0</v>
      </c>
      <c r="Z34" s="13">
        <f t="shared" si="7"/>
        <v>436959</v>
      </c>
      <c r="AB34" s="14">
        <v>0</v>
      </c>
      <c r="AC34" s="14">
        <v>0</v>
      </c>
      <c r="AD34" s="14">
        <f t="shared" si="4"/>
        <v>-2710</v>
      </c>
      <c r="AE34" s="14"/>
      <c r="AF34" s="11"/>
      <c r="AG34" s="12"/>
      <c r="AJ34" s="15"/>
      <c r="AK34" s="12"/>
      <c r="AL34" s="12"/>
      <c r="AM34" s="12"/>
    </row>
    <row r="35" spans="1:39" x14ac:dyDescent="0.2">
      <c r="A35" s="60" t="s">
        <v>81</v>
      </c>
      <c r="B35" s="58">
        <v>0</v>
      </c>
      <c r="C35" s="12">
        <v>50000</v>
      </c>
      <c r="G35" s="12"/>
      <c r="H35" s="12"/>
      <c r="W35" s="11">
        <f t="shared" si="2"/>
        <v>37229</v>
      </c>
      <c r="X35" s="14">
        <v>0</v>
      </c>
      <c r="Y35" s="14">
        <v>0</v>
      </c>
      <c r="Z35" s="13">
        <f t="shared" si="7"/>
        <v>436959</v>
      </c>
      <c r="AB35" s="14">
        <v>0</v>
      </c>
      <c r="AC35" s="14">
        <v>0</v>
      </c>
      <c r="AD35" s="14">
        <f t="shared" si="4"/>
        <v>-2710</v>
      </c>
      <c r="AF35" s="11"/>
      <c r="AJ35" s="15"/>
      <c r="AK35" s="12"/>
      <c r="AL35" s="12"/>
      <c r="AM35" s="12"/>
    </row>
    <row r="36" spans="1:39" x14ac:dyDescent="0.2">
      <c r="A36" s="60" t="s">
        <v>82</v>
      </c>
      <c r="B36" s="58">
        <v>30000</v>
      </c>
      <c r="C36" s="12">
        <v>57377</v>
      </c>
      <c r="G36" s="12"/>
      <c r="H36" s="12"/>
      <c r="W36" s="11">
        <f t="shared" si="2"/>
        <v>37230</v>
      </c>
      <c r="X36" s="14">
        <v>0</v>
      </c>
      <c r="Y36" s="14">
        <v>0</v>
      </c>
      <c r="Z36" s="13">
        <f t="shared" si="7"/>
        <v>436959</v>
      </c>
      <c r="AB36" s="14">
        <v>0</v>
      </c>
      <c r="AC36" s="14">
        <v>0</v>
      </c>
      <c r="AD36" s="14">
        <f t="shared" si="4"/>
        <v>-2710</v>
      </c>
      <c r="AF36" s="11"/>
      <c r="AJ36" s="15"/>
      <c r="AK36" s="12"/>
      <c r="AL36" s="12"/>
      <c r="AM36" s="12"/>
    </row>
    <row r="37" spans="1:39" x14ac:dyDescent="0.2">
      <c r="A37" s="25" t="s">
        <v>60</v>
      </c>
      <c r="B37" s="40">
        <v>0</v>
      </c>
      <c r="C37" s="1"/>
      <c r="G37" s="12"/>
      <c r="H37" s="12"/>
      <c r="W37" s="11">
        <f t="shared" si="2"/>
        <v>37231</v>
      </c>
      <c r="X37" s="14">
        <v>0</v>
      </c>
      <c r="Y37" s="14">
        <v>0</v>
      </c>
      <c r="Z37" s="13">
        <f t="shared" si="7"/>
        <v>436959</v>
      </c>
      <c r="AB37" s="14">
        <v>0</v>
      </c>
      <c r="AC37" s="14">
        <v>0</v>
      </c>
      <c r="AD37" s="14">
        <f t="shared" si="4"/>
        <v>-2710</v>
      </c>
      <c r="AL37" s="12"/>
      <c r="AM37" s="12"/>
    </row>
    <row r="38" spans="1:39" x14ac:dyDescent="0.2">
      <c r="A38" s="25" t="s">
        <v>53</v>
      </c>
      <c r="B38" s="40">
        <v>0</v>
      </c>
      <c r="C38" s="61"/>
      <c r="G38" s="12"/>
      <c r="H38" s="12"/>
      <c r="W38" s="11">
        <f t="shared" si="2"/>
        <v>37232</v>
      </c>
      <c r="X38" s="14">
        <v>0</v>
      </c>
      <c r="Y38" s="14">
        <v>0</v>
      </c>
      <c r="Z38" s="13">
        <f t="shared" si="7"/>
        <v>436959</v>
      </c>
      <c r="AB38" s="14">
        <v>0</v>
      </c>
      <c r="AC38" s="14">
        <v>0</v>
      </c>
      <c r="AD38" s="14">
        <f t="shared" si="4"/>
        <v>-2710</v>
      </c>
      <c r="AL38" s="12"/>
      <c r="AM38" s="12"/>
    </row>
    <row r="39" spans="1:39" x14ac:dyDescent="0.2">
      <c r="A39" s="25" t="s">
        <v>72</v>
      </c>
      <c r="B39" s="40">
        <v>0</v>
      </c>
      <c r="C39" s="1"/>
      <c r="D39" s="53"/>
      <c r="E39" s="54"/>
      <c r="G39" s="12"/>
      <c r="H39" s="12"/>
      <c r="W39" s="11">
        <f t="shared" si="2"/>
        <v>37233</v>
      </c>
      <c r="X39" s="14">
        <v>0</v>
      </c>
      <c r="Y39" s="14">
        <v>0</v>
      </c>
      <c r="Z39" s="13">
        <f t="shared" si="7"/>
        <v>436959</v>
      </c>
      <c r="AB39" s="14">
        <v>0</v>
      </c>
      <c r="AC39" s="14">
        <v>0</v>
      </c>
      <c r="AD39" s="14">
        <f t="shared" si="4"/>
        <v>-2710</v>
      </c>
      <c r="AJ39" s="12"/>
      <c r="AK39" s="12"/>
      <c r="AL39" s="12"/>
      <c r="AM39" s="12"/>
    </row>
    <row r="40" spans="1:39" x14ac:dyDescent="0.2">
      <c r="A40" s="25" t="s">
        <v>74</v>
      </c>
      <c r="B40" s="40">
        <v>0</v>
      </c>
      <c r="G40" s="12"/>
      <c r="H40" s="12"/>
      <c r="W40" s="11">
        <f t="shared" si="2"/>
        <v>37234</v>
      </c>
      <c r="X40" s="14">
        <v>0</v>
      </c>
      <c r="Y40" s="14">
        <v>0</v>
      </c>
      <c r="Z40" s="13">
        <f t="shared" si="5"/>
        <v>436959</v>
      </c>
      <c r="AB40" s="14">
        <v>0</v>
      </c>
      <c r="AC40" s="14">
        <v>0</v>
      </c>
      <c r="AD40" s="14">
        <f t="shared" si="4"/>
        <v>-2710</v>
      </c>
      <c r="AJ40" s="12"/>
      <c r="AK40" s="12"/>
      <c r="AL40" s="12"/>
      <c r="AM40" s="12"/>
    </row>
    <row r="41" spans="1:39" x14ac:dyDescent="0.2">
      <c r="A41" s="25" t="s">
        <v>79</v>
      </c>
      <c r="B41" s="40">
        <v>7383</v>
      </c>
      <c r="C41" s="14"/>
      <c r="G41" s="12"/>
      <c r="H41" s="12"/>
      <c r="W41" s="11">
        <f t="shared" si="2"/>
        <v>37235</v>
      </c>
      <c r="X41" s="14">
        <v>0</v>
      </c>
      <c r="Y41" s="14">
        <v>0</v>
      </c>
      <c r="Z41" s="13">
        <f t="shared" si="5"/>
        <v>436959</v>
      </c>
      <c r="AB41" s="14">
        <v>0</v>
      </c>
      <c r="AC41" s="14">
        <v>0</v>
      </c>
      <c r="AD41" s="14">
        <f t="shared" si="4"/>
        <v>-2710</v>
      </c>
      <c r="AJ41" s="12"/>
      <c r="AK41" s="12"/>
      <c r="AL41" s="12"/>
      <c r="AM41" s="12"/>
    </row>
    <row r="42" spans="1:39" x14ac:dyDescent="0.2">
      <c r="A42" s="25" t="s">
        <v>16</v>
      </c>
      <c r="B42" s="40">
        <v>0</v>
      </c>
      <c r="W42" s="11">
        <f t="shared" si="2"/>
        <v>37236</v>
      </c>
      <c r="X42" s="14">
        <v>0</v>
      </c>
      <c r="Y42" s="14">
        <v>0</v>
      </c>
      <c r="Z42" s="13">
        <f t="shared" si="5"/>
        <v>436959</v>
      </c>
      <c r="AB42" s="14">
        <v>0</v>
      </c>
      <c r="AC42" s="14">
        <v>0</v>
      </c>
      <c r="AD42" s="14">
        <f t="shared" si="4"/>
        <v>-2710</v>
      </c>
      <c r="AJ42" s="12"/>
      <c r="AK42" s="12"/>
      <c r="AL42" s="12"/>
      <c r="AM42" s="12"/>
    </row>
    <row r="43" spans="1:39" x14ac:dyDescent="0.2">
      <c r="A43" s="25" t="s">
        <v>55</v>
      </c>
      <c r="B43" s="40">
        <v>0</v>
      </c>
      <c r="E43" s="12"/>
      <c r="W43" s="11">
        <f t="shared" si="2"/>
        <v>37237</v>
      </c>
      <c r="X43" s="14">
        <v>0</v>
      </c>
      <c r="Y43" s="14">
        <v>0</v>
      </c>
      <c r="Z43" s="13">
        <f t="shared" si="5"/>
        <v>436959</v>
      </c>
      <c r="AB43" s="14">
        <v>0</v>
      </c>
      <c r="AC43" s="14">
        <v>0</v>
      </c>
      <c r="AD43" s="14">
        <f t="shared" si="4"/>
        <v>-2710</v>
      </c>
      <c r="AJ43" s="12"/>
      <c r="AK43" s="12"/>
      <c r="AL43" s="12"/>
      <c r="AM43" s="12"/>
    </row>
    <row r="44" spans="1:39" x14ac:dyDescent="0.2">
      <c r="A44" s="25" t="s">
        <v>21</v>
      </c>
      <c r="B44" s="47"/>
      <c r="C44" s="14"/>
      <c r="E44" s="12"/>
      <c r="W44" s="11">
        <f t="shared" si="2"/>
        <v>37238</v>
      </c>
      <c r="X44" s="14">
        <v>0</v>
      </c>
      <c r="Y44" s="14">
        <v>0</v>
      </c>
      <c r="Z44" s="13">
        <f t="shared" si="5"/>
        <v>436959</v>
      </c>
      <c r="AB44" s="14">
        <v>0</v>
      </c>
      <c r="AC44" s="14">
        <v>0</v>
      </c>
      <c r="AD44" s="14">
        <f t="shared" si="4"/>
        <v>-2710</v>
      </c>
    </row>
    <row r="45" spans="1:39" x14ac:dyDescent="0.2">
      <c r="A45" s="25" t="s">
        <v>50</v>
      </c>
      <c r="B45" s="40">
        <v>0</v>
      </c>
      <c r="E45" s="12"/>
      <c r="W45" s="11">
        <f t="shared" si="2"/>
        <v>37239</v>
      </c>
      <c r="X45" s="14">
        <v>0</v>
      </c>
      <c r="Y45" s="14">
        <v>0</v>
      </c>
      <c r="Z45" s="13">
        <f t="shared" si="5"/>
        <v>436959</v>
      </c>
      <c r="AB45" s="14">
        <v>0</v>
      </c>
      <c r="AC45" s="14">
        <v>0</v>
      </c>
      <c r="AD45" s="14">
        <f t="shared" si="4"/>
        <v>-2710</v>
      </c>
    </row>
    <row r="46" spans="1:39" x14ac:dyDescent="0.2">
      <c r="A46" s="25" t="s">
        <v>70</v>
      </c>
      <c r="B46" s="40">
        <v>25166</v>
      </c>
      <c r="C46" s="14"/>
      <c r="E46" s="12"/>
      <c r="W46" s="11">
        <f t="shared" si="2"/>
        <v>37240</v>
      </c>
      <c r="X46" s="14">
        <v>0</v>
      </c>
      <c r="Y46" s="14">
        <v>0</v>
      </c>
      <c r="Z46" s="13">
        <f t="shared" si="5"/>
        <v>436959</v>
      </c>
      <c r="AB46" s="14">
        <v>0</v>
      </c>
      <c r="AC46" s="14">
        <v>0</v>
      </c>
      <c r="AD46" s="14">
        <f t="shared" si="4"/>
        <v>-2710</v>
      </c>
    </row>
    <row r="47" spans="1:39" x14ac:dyDescent="0.2">
      <c r="A47" s="25" t="s">
        <v>37</v>
      </c>
      <c r="B47" s="40">
        <v>18000</v>
      </c>
      <c r="W47" s="11">
        <f t="shared" si="2"/>
        <v>37241</v>
      </c>
      <c r="X47" s="14">
        <v>0</v>
      </c>
      <c r="Y47" s="14">
        <v>0</v>
      </c>
      <c r="Z47" s="13">
        <f t="shared" si="5"/>
        <v>436959</v>
      </c>
      <c r="AB47" s="14">
        <v>0</v>
      </c>
      <c r="AC47" s="14">
        <v>0</v>
      </c>
      <c r="AD47" s="14">
        <f t="shared" si="4"/>
        <v>-2710</v>
      </c>
    </row>
    <row r="48" spans="1:39" x14ac:dyDescent="0.2">
      <c r="A48" s="25" t="s">
        <v>87</v>
      </c>
      <c r="B48" s="40">
        <v>0</v>
      </c>
      <c r="E48" s="12"/>
    </row>
    <row r="49" spans="1:5" x14ac:dyDescent="0.2">
      <c r="A49" s="25" t="s">
        <v>38</v>
      </c>
      <c r="B49" s="40"/>
      <c r="C49" s="14" t="s">
        <v>15</v>
      </c>
      <c r="E49" s="12"/>
    </row>
    <row r="50" spans="1:5" x14ac:dyDescent="0.2">
      <c r="A50" s="25" t="s">
        <v>48</v>
      </c>
      <c r="B50" s="40">
        <v>0</v>
      </c>
      <c r="E50" s="12"/>
    </row>
    <row r="51" spans="1:5" x14ac:dyDescent="0.2">
      <c r="A51" s="25" t="s">
        <v>27</v>
      </c>
      <c r="B51" s="40">
        <v>0</v>
      </c>
      <c r="E51" s="12"/>
    </row>
    <row r="52" spans="1:5" x14ac:dyDescent="0.2">
      <c r="A52" s="25" t="s">
        <v>89</v>
      </c>
      <c r="B52" s="58">
        <v>0</v>
      </c>
      <c r="C52" s="14"/>
      <c r="E52" s="12"/>
    </row>
    <row r="53" spans="1:5" x14ac:dyDescent="0.2">
      <c r="A53" s="25" t="s">
        <v>41</v>
      </c>
      <c r="B53" s="40">
        <v>50000</v>
      </c>
      <c r="C53" s="61"/>
      <c r="E53" s="12"/>
    </row>
    <row r="54" spans="1:5" x14ac:dyDescent="0.2">
      <c r="A54" s="25" t="s">
        <v>39</v>
      </c>
      <c r="B54" s="40">
        <v>0</v>
      </c>
      <c r="C54" s="61"/>
      <c r="E54" s="12"/>
    </row>
    <row r="55" spans="1:5" x14ac:dyDescent="0.2">
      <c r="A55" s="25" t="s">
        <v>40</v>
      </c>
      <c r="B55" s="40">
        <v>0</v>
      </c>
      <c r="C55" s="14"/>
      <c r="E55" s="12"/>
    </row>
    <row r="56" spans="1:5" x14ac:dyDescent="0.2">
      <c r="A56" s="25" t="s">
        <v>75</v>
      </c>
      <c r="B56" s="40">
        <v>31500</v>
      </c>
      <c r="C56" s="14"/>
      <c r="E56" s="12"/>
    </row>
    <row r="57" spans="1:5" x14ac:dyDescent="0.2">
      <c r="A57" s="60" t="s">
        <v>80</v>
      </c>
      <c r="B57" s="58">
        <v>155462</v>
      </c>
      <c r="C57" s="14"/>
      <c r="E57" s="12"/>
    </row>
    <row r="58" spans="1:5" x14ac:dyDescent="0.2">
      <c r="A58" s="25" t="s">
        <v>83</v>
      </c>
      <c r="B58" s="40">
        <v>0</v>
      </c>
      <c r="C58" s="14"/>
      <c r="E58" s="12"/>
    </row>
    <row r="59" spans="1:5" x14ac:dyDescent="0.2">
      <c r="A59" s="25" t="s">
        <v>84</v>
      </c>
      <c r="B59" s="40">
        <v>20000</v>
      </c>
      <c r="C59" s="14"/>
    </row>
    <row r="60" spans="1:5" x14ac:dyDescent="0.2">
      <c r="A60" s="25" t="s">
        <v>61</v>
      </c>
      <c r="B60" s="58">
        <v>0</v>
      </c>
      <c r="C60" s="14"/>
    </row>
    <row r="61" spans="1:5" x14ac:dyDescent="0.2">
      <c r="A61" s="25" t="s">
        <v>59</v>
      </c>
      <c r="B61" s="40">
        <v>0</v>
      </c>
      <c r="C61" s="62"/>
    </row>
    <row r="62" spans="1:5" ht="13.5" thickBot="1" x14ac:dyDescent="0.25">
      <c r="A62" s="60" t="s">
        <v>35</v>
      </c>
      <c r="B62" s="58">
        <v>30000</v>
      </c>
    </row>
    <row r="63" spans="1:5" ht="13.5" thickBot="1" x14ac:dyDescent="0.25">
      <c r="A63" s="33" t="s">
        <v>36</v>
      </c>
      <c r="B63" s="34">
        <f>SUM(B31:B62)</f>
        <v>942732</v>
      </c>
    </row>
    <row r="64" spans="1:5" ht="13.5" thickBot="1" x14ac:dyDescent="0.25">
      <c r="A64" s="30"/>
      <c r="B64" s="36"/>
    </row>
    <row r="65" spans="1:2" x14ac:dyDescent="0.2">
      <c r="A65" s="27"/>
      <c r="B65" s="27"/>
    </row>
  </sheetData>
  <phoneticPr fontId="0" type="noConversion"/>
  <pageMargins left="0.55000000000000004" right="0.3" top="1" bottom="0.5" header="0.5" footer="0.23"/>
  <pageSetup scale="48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4"/>
  <sheetViews>
    <sheetView zoomScale="75" workbookViewId="0">
      <selection activeCell="L17" sqref="L17"/>
    </sheetView>
  </sheetViews>
  <sheetFormatPr defaultRowHeight="12.75" x14ac:dyDescent="0.2"/>
  <cols>
    <col min="1" max="1" width="41.28515625" style="43" customWidth="1"/>
    <col min="2" max="2" width="11.42578125" style="43" bestFit="1" customWidth="1"/>
    <col min="3" max="3" width="11" style="2" bestFit="1" customWidth="1"/>
    <col min="4" max="4" width="37.28515625" style="2" customWidth="1"/>
    <col min="5" max="5" width="11" style="2" customWidth="1"/>
    <col min="6" max="6" width="9.28515625" style="2" customWidth="1"/>
    <col min="7" max="7" width="41.28515625" style="2" customWidth="1"/>
    <col min="8" max="8" width="11.42578125" style="2" bestFit="1" customWidth="1"/>
    <col min="9" max="9" width="11" style="2" bestFit="1" customWidth="1"/>
    <col min="10" max="10" width="37.28515625" style="2" customWidth="1"/>
    <col min="11" max="11" width="9.28515625" style="2" bestFit="1" customWidth="1"/>
    <col min="12" max="12" width="11.140625" style="2" customWidth="1"/>
    <col min="13" max="16384" width="9.140625" style="2"/>
  </cols>
  <sheetData>
    <row r="1" spans="1:12" ht="27.75" customHeight="1" thickBot="1" x14ac:dyDescent="0.25">
      <c r="A1" s="43" t="s">
        <v>0</v>
      </c>
      <c r="B1" s="44">
        <f ca="1">TODAY()</f>
        <v>37214</v>
      </c>
      <c r="G1" s="2" t="s">
        <v>0</v>
      </c>
      <c r="H1" s="3">
        <f ca="1">TODAY()</f>
        <v>37214</v>
      </c>
    </row>
    <row r="2" spans="1:12" ht="13.5" thickBot="1" x14ac:dyDescent="0.25">
      <c r="A2" s="43" t="s">
        <v>10</v>
      </c>
      <c r="B2" s="44">
        <f ca="1">TODAY()+2</f>
        <v>37216</v>
      </c>
      <c r="G2" s="2" t="s">
        <v>10</v>
      </c>
      <c r="H2" s="3">
        <f ca="1">TODAY()+3</f>
        <v>37217</v>
      </c>
    </row>
    <row r="3" spans="1:12" ht="25.5" customHeight="1" thickBot="1" x14ac:dyDescent="0.25">
      <c r="B3" s="45" t="s">
        <v>11</v>
      </c>
      <c r="C3" s="1" t="s">
        <v>12</v>
      </c>
      <c r="D3" s="1" t="s">
        <v>13</v>
      </c>
      <c r="H3" s="1" t="s">
        <v>11</v>
      </c>
      <c r="I3" s="1" t="s">
        <v>12</v>
      </c>
      <c r="J3" s="1" t="s">
        <v>13</v>
      </c>
    </row>
    <row r="4" spans="1:12" ht="13.5" thickBot="1" x14ac:dyDescent="0.25">
      <c r="A4" s="2" t="s">
        <v>14</v>
      </c>
      <c r="B4" s="16">
        <v>67</v>
      </c>
      <c r="C4" s="17">
        <v>53</v>
      </c>
      <c r="D4" s="18">
        <f>AVERAGE(B4,C4)</f>
        <v>60</v>
      </c>
      <c r="G4" s="2" t="s">
        <v>14</v>
      </c>
      <c r="H4" s="16">
        <v>67</v>
      </c>
      <c r="I4" s="17">
        <v>53</v>
      </c>
      <c r="J4" s="18">
        <f>AVERAGE(H4,I4)</f>
        <v>60</v>
      </c>
    </row>
    <row r="5" spans="1:12" x14ac:dyDescent="0.2">
      <c r="A5" s="19"/>
      <c r="B5" s="20"/>
      <c r="C5" s="1" t="s">
        <v>88</v>
      </c>
      <c r="D5" s="19"/>
      <c r="E5" s="20"/>
      <c r="F5" s="1" t="s">
        <v>88</v>
      </c>
      <c r="G5" s="19"/>
      <c r="H5" s="20"/>
      <c r="I5" s="1" t="s">
        <v>88</v>
      </c>
      <c r="J5" s="19"/>
      <c r="K5" s="20"/>
      <c r="L5" s="1" t="s">
        <v>88</v>
      </c>
    </row>
    <row r="6" spans="1:12" x14ac:dyDescent="0.2">
      <c r="A6" s="25" t="s">
        <v>18</v>
      </c>
      <c r="B6" s="40"/>
      <c r="C6" s="12">
        <v>0</v>
      </c>
      <c r="D6" s="25" t="s">
        <v>19</v>
      </c>
      <c r="E6" s="26"/>
      <c r="F6" s="12">
        <v>0</v>
      </c>
      <c r="G6" s="25" t="s">
        <v>18</v>
      </c>
      <c r="H6" s="40"/>
      <c r="I6" s="12">
        <v>0</v>
      </c>
      <c r="J6" s="25" t="s">
        <v>19</v>
      </c>
      <c r="K6" s="26"/>
      <c r="L6" s="12">
        <v>0</v>
      </c>
    </row>
    <row r="7" spans="1:12" x14ac:dyDescent="0.2">
      <c r="A7" s="25" t="s">
        <v>47</v>
      </c>
      <c r="B7" s="40"/>
      <c r="D7" s="25" t="s">
        <v>22</v>
      </c>
      <c r="E7" s="26"/>
      <c r="G7" s="25" t="s">
        <v>47</v>
      </c>
      <c r="H7" s="40"/>
      <c r="J7" s="25" t="s">
        <v>22</v>
      </c>
      <c r="K7" s="26"/>
    </row>
    <row r="8" spans="1:12" x14ac:dyDescent="0.2">
      <c r="A8" s="25" t="s">
        <v>49</v>
      </c>
      <c r="B8" s="40"/>
      <c r="D8" s="25" t="s">
        <v>23</v>
      </c>
      <c r="E8" s="26"/>
      <c r="G8" s="25" t="s">
        <v>49</v>
      </c>
      <c r="H8" s="40"/>
      <c r="J8" s="25" t="s">
        <v>23</v>
      </c>
      <c r="K8" s="26"/>
    </row>
    <row r="9" spans="1:12" x14ac:dyDescent="0.2">
      <c r="A9" s="25" t="s">
        <v>52</v>
      </c>
      <c r="B9" s="40"/>
      <c r="C9" s="66"/>
      <c r="D9" s="25" t="s">
        <v>25</v>
      </c>
      <c r="E9" s="26"/>
      <c r="G9" s="25" t="s">
        <v>52</v>
      </c>
      <c r="H9" s="40"/>
      <c r="I9" s="66"/>
      <c r="J9" s="25" t="s">
        <v>25</v>
      </c>
      <c r="K9" s="26"/>
    </row>
    <row r="10" spans="1:12" x14ac:dyDescent="0.2">
      <c r="A10" s="41" t="s">
        <v>71</v>
      </c>
      <c r="B10" s="40"/>
      <c r="C10" s="14" t="s">
        <v>15</v>
      </c>
      <c r="D10" s="25" t="s">
        <v>44</v>
      </c>
      <c r="E10" s="26"/>
      <c r="G10" s="41" t="s">
        <v>71</v>
      </c>
      <c r="H10" s="40"/>
      <c r="I10" s="14" t="s">
        <v>15</v>
      </c>
      <c r="J10" s="25" t="s">
        <v>44</v>
      </c>
      <c r="K10" s="26"/>
    </row>
    <row r="11" spans="1:12" x14ac:dyDescent="0.2">
      <c r="A11" s="25" t="s">
        <v>25</v>
      </c>
      <c r="B11" s="40"/>
      <c r="C11" s="40"/>
      <c r="D11" s="25" t="s">
        <v>26</v>
      </c>
      <c r="E11" s="26"/>
      <c r="G11" s="25" t="s">
        <v>25</v>
      </c>
      <c r="H11" s="40"/>
      <c r="I11" s="40"/>
      <c r="J11" s="25" t="s">
        <v>26</v>
      </c>
      <c r="K11" s="26"/>
    </row>
    <row r="12" spans="1:12" x14ac:dyDescent="0.2">
      <c r="A12" s="25" t="s">
        <v>63</v>
      </c>
      <c r="B12" s="40"/>
      <c r="C12" s="14"/>
      <c r="D12" s="41" t="s">
        <v>46</v>
      </c>
      <c r="E12" s="40"/>
      <c r="G12" s="25" t="s">
        <v>63</v>
      </c>
      <c r="H12" s="40"/>
      <c r="I12" s="14"/>
      <c r="J12" s="41" t="s">
        <v>46</v>
      </c>
      <c r="K12" s="40"/>
    </row>
    <row r="13" spans="1:12" ht="13.5" thickBot="1" x14ac:dyDescent="0.25">
      <c r="A13" s="25" t="s">
        <v>16</v>
      </c>
      <c r="B13" s="40"/>
      <c r="C13" s="1"/>
      <c r="D13" s="60" t="s">
        <v>27</v>
      </c>
      <c r="E13" s="59"/>
      <c r="G13" s="25" t="s">
        <v>16</v>
      </c>
      <c r="H13" s="40"/>
      <c r="I13" s="1"/>
      <c r="J13" s="25" t="s">
        <v>27</v>
      </c>
      <c r="K13" s="59"/>
    </row>
    <row r="14" spans="1:12" ht="13.5" thickBot="1" x14ac:dyDescent="0.25">
      <c r="A14" s="25" t="s">
        <v>55</v>
      </c>
      <c r="B14" s="40"/>
      <c r="C14" s="14"/>
      <c r="D14" s="33" t="s">
        <v>28</v>
      </c>
      <c r="E14" s="34">
        <f>SUM(E6:E13)</f>
        <v>0</v>
      </c>
      <c r="G14" s="25" t="s">
        <v>55</v>
      </c>
      <c r="H14" s="40"/>
      <c r="I14" s="14"/>
      <c r="J14" s="33" t="s">
        <v>28</v>
      </c>
      <c r="K14" s="34">
        <f>SUM(K6:K13)</f>
        <v>0</v>
      </c>
    </row>
    <row r="15" spans="1:12" x14ac:dyDescent="0.2">
      <c r="A15" s="25" t="s">
        <v>23</v>
      </c>
      <c r="B15" s="40"/>
      <c r="C15" s="14"/>
      <c r="D15" s="25"/>
      <c r="E15" s="26"/>
      <c r="F15" s="14">
        <f>+E14+E29</f>
        <v>0</v>
      </c>
      <c r="G15" s="25" t="s">
        <v>23</v>
      </c>
      <c r="H15" s="40"/>
      <c r="I15" s="14"/>
      <c r="J15" s="25"/>
      <c r="K15" s="26"/>
      <c r="L15" s="14">
        <f>+K14+K29</f>
        <v>0</v>
      </c>
    </row>
    <row r="16" spans="1:12" x14ac:dyDescent="0.2">
      <c r="A16" s="25" t="s">
        <v>48</v>
      </c>
      <c r="B16" s="40"/>
      <c r="C16" s="14"/>
      <c r="D16" s="25" t="s">
        <v>31</v>
      </c>
      <c r="E16" s="26"/>
      <c r="G16" s="25" t="s">
        <v>48</v>
      </c>
      <c r="H16" s="40"/>
      <c r="I16" s="14"/>
      <c r="J16" s="25" t="s">
        <v>31</v>
      </c>
      <c r="K16" s="26"/>
    </row>
    <row r="17" spans="1:12" x14ac:dyDescent="0.2">
      <c r="A17" s="25" t="s">
        <v>27</v>
      </c>
      <c r="B17" s="40"/>
      <c r="C17" s="14"/>
      <c r="D17" s="25" t="s">
        <v>32</v>
      </c>
      <c r="E17" s="26"/>
      <c r="G17" s="25" t="s">
        <v>27</v>
      </c>
      <c r="H17" s="40"/>
      <c r="I17" s="14"/>
      <c r="J17" s="25" t="s">
        <v>32</v>
      </c>
      <c r="K17" s="26"/>
    </row>
    <row r="18" spans="1:12" x14ac:dyDescent="0.2">
      <c r="A18" s="25" t="s">
        <v>89</v>
      </c>
      <c r="B18" s="40"/>
      <c r="D18" s="25" t="s">
        <v>33</v>
      </c>
      <c r="E18" s="26"/>
      <c r="F18" s="14" t="s">
        <v>15</v>
      </c>
      <c r="G18" s="25" t="s">
        <v>89</v>
      </c>
      <c r="H18" s="40"/>
      <c r="J18" s="25" t="s">
        <v>33</v>
      </c>
      <c r="K18" s="26"/>
      <c r="L18" s="14" t="s">
        <v>15</v>
      </c>
    </row>
    <row r="19" spans="1:12" x14ac:dyDescent="0.2">
      <c r="A19" s="25" t="s">
        <v>67</v>
      </c>
      <c r="B19" s="40"/>
      <c r="C19" s="56"/>
      <c r="D19" s="25" t="s">
        <v>34</v>
      </c>
      <c r="E19" s="26"/>
      <c r="G19" s="25" t="s">
        <v>67</v>
      </c>
      <c r="H19" s="40"/>
      <c r="I19" s="56"/>
      <c r="J19" s="25" t="s">
        <v>34</v>
      </c>
      <c r="K19" s="26"/>
    </row>
    <row r="20" spans="1:12" x14ac:dyDescent="0.2">
      <c r="A20" s="25" t="s">
        <v>66</v>
      </c>
      <c r="B20" s="58"/>
      <c r="C20" s="14"/>
      <c r="D20" s="25" t="s">
        <v>38</v>
      </c>
      <c r="E20" s="26"/>
      <c r="G20" s="25" t="s">
        <v>66</v>
      </c>
      <c r="H20" s="58"/>
      <c r="I20" s="14"/>
      <c r="J20" s="25" t="s">
        <v>38</v>
      </c>
      <c r="K20" s="26"/>
    </row>
    <row r="21" spans="1:12" x14ac:dyDescent="0.2">
      <c r="A21" s="25" t="s">
        <v>77</v>
      </c>
      <c r="B21" s="58"/>
      <c r="C21" s="14"/>
      <c r="D21" s="25" t="s">
        <v>48</v>
      </c>
      <c r="E21" s="26"/>
      <c r="F21" s="25"/>
      <c r="G21" s="25" t="s">
        <v>77</v>
      </c>
      <c r="H21" s="58"/>
      <c r="I21" s="14"/>
      <c r="J21" s="25" t="s">
        <v>48</v>
      </c>
      <c r="K21" s="26"/>
      <c r="L21" s="25"/>
    </row>
    <row r="22" spans="1:12" x14ac:dyDescent="0.2">
      <c r="A22" s="25" t="s">
        <v>42</v>
      </c>
      <c r="B22" s="40"/>
      <c r="D22" s="25" t="s">
        <v>27</v>
      </c>
      <c r="E22" s="26"/>
      <c r="F22" s="25"/>
      <c r="G22" s="25" t="s">
        <v>42</v>
      </c>
      <c r="H22" s="40"/>
      <c r="J22" s="60" t="s">
        <v>27</v>
      </c>
      <c r="K22" s="59"/>
      <c r="L22" s="25"/>
    </row>
    <row r="23" spans="1:12" x14ac:dyDescent="0.2">
      <c r="A23" s="25" t="s">
        <v>43</v>
      </c>
      <c r="B23" s="40"/>
      <c r="C23" s="14"/>
      <c r="D23" s="25" t="s">
        <v>68</v>
      </c>
      <c r="E23" s="40"/>
      <c r="F23" s="14">
        <v>0</v>
      </c>
      <c r="G23" s="25" t="s">
        <v>43</v>
      </c>
      <c r="H23" s="40"/>
      <c r="I23" s="14"/>
      <c r="J23" s="25" t="s">
        <v>68</v>
      </c>
      <c r="K23" s="40"/>
      <c r="L23" s="14">
        <v>0</v>
      </c>
    </row>
    <row r="24" spans="1:12" x14ac:dyDescent="0.2">
      <c r="A24" s="25" t="s">
        <v>29</v>
      </c>
      <c r="B24" s="40"/>
      <c r="C24" s="14">
        <v>0</v>
      </c>
      <c r="D24" s="25" t="s">
        <v>86</v>
      </c>
      <c r="E24" s="40"/>
      <c r="F24" s="14">
        <v>0</v>
      </c>
      <c r="G24" s="25" t="s">
        <v>29</v>
      </c>
      <c r="H24" s="40"/>
      <c r="I24" s="14">
        <v>0</v>
      </c>
      <c r="J24" s="25" t="s">
        <v>86</v>
      </c>
      <c r="K24" s="40"/>
      <c r="L24" s="14">
        <v>0</v>
      </c>
    </row>
    <row r="25" spans="1:12" x14ac:dyDescent="0.2">
      <c r="A25" s="25" t="s">
        <v>73</v>
      </c>
      <c r="B25" s="40"/>
      <c r="C25" s="14"/>
      <c r="D25" s="25" t="s">
        <v>85</v>
      </c>
      <c r="E25" s="40"/>
      <c r="G25" s="25" t="s">
        <v>73</v>
      </c>
      <c r="H25" s="40"/>
      <c r="I25" s="14"/>
      <c r="J25" s="25" t="s">
        <v>85</v>
      </c>
      <c r="K25" s="40"/>
    </row>
    <row r="26" spans="1:12" x14ac:dyDescent="0.2">
      <c r="A26" s="25" t="s">
        <v>30</v>
      </c>
      <c r="B26" s="40"/>
      <c r="D26" s="25" t="s">
        <v>69</v>
      </c>
      <c r="E26" s="40"/>
      <c r="G26" s="25" t="s">
        <v>30</v>
      </c>
      <c r="H26" s="40"/>
      <c r="J26" s="25" t="s">
        <v>69</v>
      </c>
      <c r="K26" s="40"/>
    </row>
    <row r="27" spans="1:12" x14ac:dyDescent="0.2">
      <c r="A27" s="60" t="s">
        <v>76</v>
      </c>
      <c r="B27" s="58"/>
      <c r="C27" s="14"/>
      <c r="D27" s="25" t="s">
        <v>78</v>
      </c>
      <c r="E27" s="58"/>
      <c r="G27" s="25" t="s">
        <v>76</v>
      </c>
      <c r="H27" s="40"/>
      <c r="I27" s="14"/>
      <c r="J27" s="25" t="s">
        <v>78</v>
      </c>
      <c r="K27" s="58"/>
    </row>
    <row r="28" spans="1:12" ht="13.5" thickBot="1" x14ac:dyDescent="0.25">
      <c r="A28" s="60" t="s">
        <v>51</v>
      </c>
      <c r="B28" s="59"/>
      <c r="C28" s="57">
        <f>SUM(B29,B63)</f>
        <v>0</v>
      </c>
      <c r="D28" s="25" t="s">
        <v>35</v>
      </c>
      <c r="E28" s="26"/>
      <c r="G28" s="25" t="s">
        <v>51</v>
      </c>
      <c r="H28" s="59"/>
      <c r="I28" s="57">
        <f>SUM(H29,H63)</f>
        <v>0</v>
      </c>
      <c r="J28" s="25" t="s">
        <v>35</v>
      </c>
      <c r="K28" s="26"/>
    </row>
    <row r="29" spans="1:12" ht="13.5" thickBot="1" x14ac:dyDescent="0.25">
      <c r="A29" s="33" t="s">
        <v>28</v>
      </c>
      <c r="B29" s="34">
        <f>SUM(B6:B28)+B12</f>
        <v>0</v>
      </c>
      <c r="C29" s="14"/>
      <c r="D29" s="33" t="s">
        <v>36</v>
      </c>
      <c r="E29" s="34">
        <f>SUM(E16:E28)</f>
        <v>0</v>
      </c>
      <c r="G29" s="33" t="s">
        <v>28</v>
      </c>
      <c r="H29" s="34">
        <f>SUM(H6:H28)+H12</f>
        <v>0</v>
      </c>
      <c r="I29" s="14"/>
      <c r="J29" s="33" t="s">
        <v>36</v>
      </c>
      <c r="K29" s="34">
        <f>SUM(K16:K28)</f>
        <v>0</v>
      </c>
    </row>
    <row r="30" spans="1:12" ht="13.5" thickBot="1" x14ac:dyDescent="0.25">
      <c r="A30" s="25"/>
      <c r="B30" s="40"/>
      <c r="C30" s="14"/>
      <c r="D30" s="30"/>
      <c r="E30" s="35"/>
      <c r="F30" s="14"/>
      <c r="G30" s="25"/>
      <c r="H30" s="40"/>
      <c r="I30" s="14"/>
      <c r="J30" s="30"/>
      <c r="K30" s="35"/>
      <c r="L30" s="14"/>
    </row>
    <row r="31" spans="1:12" x14ac:dyDescent="0.2">
      <c r="A31" s="25" t="s">
        <v>31</v>
      </c>
      <c r="B31" s="40"/>
      <c r="C31" s="14"/>
      <c r="E31" s="12"/>
      <c r="G31" s="25" t="s">
        <v>31</v>
      </c>
      <c r="H31" s="40"/>
      <c r="I31" s="14"/>
      <c r="K31" s="12"/>
    </row>
    <row r="32" spans="1:12" x14ac:dyDescent="0.2">
      <c r="A32" s="25" t="s">
        <v>32</v>
      </c>
      <c r="B32" s="40"/>
      <c r="C32" s="14"/>
      <c r="E32" s="12"/>
      <c r="G32" s="25" t="s">
        <v>32</v>
      </c>
      <c r="H32" s="40"/>
      <c r="I32" s="14"/>
      <c r="K32" s="12"/>
    </row>
    <row r="33" spans="1:11" x14ac:dyDescent="0.2">
      <c r="A33" s="25" t="s">
        <v>33</v>
      </c>
      <c r="B33" s="40"/>
      <c r="C33" s="14"/>
      <c r="D33" s="51"/>
      <c r="G33" s="25" t="s">
        <v>33</v>
      </c>
      <c r="H33" s="40"/>
      <c r="I33" s="14"/>
      <c r="J33" s="51"/>
    </row>
    <row r="34" spans="1:11" x14ac:dyDescent="0.2">
      <c r="A34" s="25" t="s">
        <v>34</v>
      </c>
      <c r="B34" s="40"/>
      <c r="C34" s="14"/>
      <c r="G34" s="25" t="s">
        <v>34</v>
      </c>
      <c r="H34" s="40"/>
      <c r="I34" s="14"/>
    </row>
    <row r="35" spans="1:11" x14ac:dyDescent="0.2">
      <c r="A35" s="25" t="s">
        <v>81</v>
      </c>
      <c r="B35" s="40"/>
      <c r="G35" s="25" t="s">
        <v>81</v>
      </c>
      <c r="H35" s="40"/>
    </row>
    <row r="36" spans="1:11" x14ac:dyDescent="0.2">
      <c r="A36" s="25" t="s">
        <v>82</v>
      </c>
      <c r="B36" s="40"/>
      <c r="G36" s="25" t="s">
        <v>82</v>
      </c>
      <c r="H36" s="40"/>
    </row>
    <row r="37" spans="1:11" x14ac:dyDescent="0.2">
      <c r="A37" s="25" t="s">
        <v>60</v>
      </c>
      <c r="B37" s="40"/>
      <c r="C37" s="1"/>
      <c r="D37" s="50"/>
      <c r="G37" s="25" t="s">
        <v>60</v>
      </c>
      <c r="H37" s="40"/>
      <c r="I37" s="1"/>
      <c r="J37" s="50"/>
    </row>
    <row r="38" spans="1:11" x14ac:dyDescent="0.2">
      <c r="A38" s="25" t="s">
        <v>53</v>
      </c>
      <c r="B38" s="40"/>
      <c r="C38" s="61"/>
      <c r="D38" s="49"/>
      <c r="E38" s="14"/>
      <c r="G38" s="25" t="s">
        <v>53</v>
      </c>
      <c r="H38" s="40"/>
      <c r="I38" s="61"/>
      <c r="J38" s="49"/>
      <c r="K38" s="14"/>
    </row>
    <row r="39" spans="1:11" x14ac:dyDescent="0.2">
      <c r="A39" s="25" t="s">
        <v>72</v>
      </c>
      <c r="B39" s="40"/>
      <c r="C39" s="1"/>
      <c r="G39" s="25" t="s">
        <v>72</v>
      </c>
      <c r="H39" s="40"/>
      <c r="I39" s="1"/>
    </row>
    <row r="40" spans="1:11" x14ac:dyDescent="0.2">
      <c r="A40" s="25" t="s">
        <v>74</v>
      </c>
      <c r="B40" s="40"/>
      <c r="G40" s="25" t="s">
        <v>74</v>
      </c>
      <c r="H40" s="40"/>
    </row>
    <row r="41" spans="1:11" x14ac:dyDescent="0.2">
      <c r="A41" s="25" t="s">
        <v>79</v>
      </c>
      <c r="B41" s="40"/>
      <c r="C41" s="14"/>
      <c r="G41" s="25" t="s">
        <v>79</v>
      </c>
      <c r="H41" s="40"/>
      <c r="I41" s="14"/>
    </row>
    <row r="42" spans="1:11" x14ac:dyDescent="0.2">
      <c r="A42" s="25" t="s">
        <v>16</v>
      </c>
      <c r="B42" s="40"/>
      <c r="G42" s="25" t="s">
        <v>16</v>
      </c>
      <c r="H42" s="40"/>
    </row>
    <row r="43" spans="1:11" x14ac:dyDescent="0.2">
      <c r="A43" s="25" t="s">
        <v>55</v>
      </c>
      <c r="B43" s="40"/>
      <c r="E43" s="12"/>
      <c r="G43" s="25" t="s">
        <v>55</v>
      </c>
      <c r="H43" s="40"/>
      <c r="K43" s="12"/>
    </row>
    <row r="44" spans="1:11" x14ac:dyDescent="0.2">
      <c r="A44" s="25" t="s">
        <v>21</v>
      </c>
      <c r="B44" s="47"/>
      <c r="C44" s="14"/>
      <c r="E44" s="12"/>
      <c r="G44" s="25" t="s">
        <v>21</v>
      </c>
      <c r="H44" s="47"/>
      <c r="I44" s="14"/>
      <c r="K44" s="12"/>
    </row>
    <row r="45" spans="1:11" x14ac:dyDescent="0.2">
      <c r="A45" s="25" t="s">
        <v>50</v>
      </c>
      <c r="B45" s="40"/>
      <c r="E45" s="12"/>
      <c r="G45" s="25" t="s">
        <v>50</v>
      </c>
      <c r="H45" s="40"/>
      <c r="K45" s="12"/>
    </row>
    <row r="46" spans="1:11" x14ac:dyDescent="0.2">
      <c r="A46" s="25" t="s">
        <v>70</v>
      </c>
      <c r="B46" s="40"/>
      <c r="C46" s="14"/>
      <c r="E46" s="12"/>
      <c r="G46" s="25" t="s">
        <v>70</v>
      </c>
      <c r="H46" s="40"/>
      <c r="I46" s="14"/>
      <c r="K46" s="12"/>
    </row>
    <row r="47" spans="1:11" x14ac:dyDescent="0.2">
      <c r="A47" s="25" t="s">
        <v>37</v>
      </c>
      <c r="B47" s="40"/>
      <c r="G47" s="25" t="s">
        <v>37</v>
      </c>
      <c r="H47" s="40"/>
    </row>
    <row r="48" spans="1:11" x14ac:dyDescent="0.2">
      <c r="A48" s="25" t="s">
        <v>87</v>
      </c>
      <c r="B48" s="40"/>
      <c r="E48" s="12"/>
      <c r="G48" s="25" t="s">
        <v>87</v>
      </c>
      <c r="H48" s="40"/>
      <c r="K48" s="12"/>
    </row>
    <row r="49" spans="1:11" x14ac:dyDescent="0.2">
      <c r="A49" s="25" t="s">
        <v>38</v>
      </c>
      <c r="B49" s="40"/>
      <c r="C49" s="14" t="s">
        <v>15</v>
      </c>
      <c r="E49" s="12"/>
      <c r="G49" s="25" t="s">
        <v>38</v>
      </c>
      <c r="H49" s="40"/>
      <c r="I49" s="14" t="s">
        <v>15</v>
      </c>
      <c r="K49" s="12"/>
    </row>
    <row r="50" spans="1:11" x14ac:dyDescent="0.2">
      <c r="A50" s="25" t="s">
        <v>48</v>
      </c>
      <c r="B50" s="40"/>
      <c r="E50" s="12"/>
      <c r="G50" s="25" t="s">
        <v>48</v>
      </c>
      <c r="H50" s="40"/>
      <c r="K50" s="12"/>
    </row>
    <row r="51" spans="1:11" x14ac:dyDescent="0.2">
      <c r="A51" s="25" t="s">
        <v>27</v>
      </c>
      <c r="B51" s="40"/>
      <c r="E51" s="12"/>
      <c r="G51" s="25" t="s">
        <v>27</v>
      </c>
      <c r="H51" s="40"/>
      <c r="K51" s="12"/>
    </row>
    <row r="52" spans="1:11" x14ac:dyDescent="0.2">
      <c r="A52" s="25" t="s">
        <v>89</v>
      </c>
      <c r="B52" s="58"/>
      <c r="C52" s="14"/>
      <c r="E52" s="12"/>
      <c r="G52" s="25" t="s">
        <v>89</v>
      </c>
      <c r="H52" s="58"/>
      <c r="I52" s="14"/>
      <c r="K52" s="12"/>
    </row>
    <row r="53" spans="1:11" x14ac:dyDescent="0.2">
      <c r="A53" s="25" t="s">
        <v>41</v>
      </c>
      <c r="B53" s="40"/>
      <c r="C53" s="61"/>
      <c r="E53" s="12"/>
      <c r="G53" s="25" t="s">
        <v>41</v>
      </c>
      <c r="H53" s="40"/>
      <c r="I53" s="61"/>
      <c r="K53" s="12"/>
    </row>
    <row r="54" spans="1:11" x14ac:dyDescent="0.2">
      <c r="A54" s="25" t="s">
        <v>39</v>
      </c>
      <c r="B54" s="40"/>
      <c r="C54" s="61"/>
      <c r="E54" s="12"/>
      <c r="G54" s="25" t="s">
        <v>39</v>
      </c>
      <c r="H54" s="40"/>
      <c r="I54" s="61"/>
      <c r="K54" s="12"/>
    </row>
    <row r="55" spans="1:11" x14ac:dyDescent="0.2">
      <c r="A55" s="25" t="s">
        <v>40</v>
      </c>
      <c r="B55" s="40"/>
      <c r="C55" s="14"/>
      <c r="E55" s="12"/>
      <c r="G55" s="25" t="s">
        <v>40</v>
      </c>
      <c r="H55" s="40"/>
      <c r="I55" s="14"/>
      <c r="K55" s="12"/>
    </row>
    <row r="56" spans="1:11" x14ac:dyDescent="0.2">
      <c r="A56" s="25" t="s">
        <v>75</v>
      </c>
      <c r="B56" s="40"/>
      <c r="C56" s="14"/>
      <c r="E56" s="12"/>
      <c r="G56" s="25" t="s">
        <v>75</v>
      </c>
      <c r="H56" s="40"/>
      <c r="I56" s="14"/>
      <c r="K56" s="12"/>
    </row>
    <row r="57" spans="1:11" x14ac:dyDescent="0.2">
      <c r="A57" s="25" t="s">
        <v>80</v>
      </c>
      <c r="B57" s="58"/>
      <c r="C57" s="14"/>
      <c r="E57" s="12"/>
      <c r="G57" s="25" t="s">
        <v>80</v>
      </c>
      <c r="H57" s="58"/>
      <c r="I57" s="14"/>
      <c r="K57" s="12"/>
    </row>
    <row r="58" spans="1:11" x14ac:dyDescent="0.2">
      <c r="A58" s="25" t="s">
        <v>83</v>
      </c>
      <c r="B58" s="40"/>
      <c r="C58" s="14"/>
      <c r="G58" s="25" t="s">
        <v>83</v>
      </c>
      <c r="H58" s="40"/>
      <c r="I58" s="14"/>
    </row>
    <row r="59" spans="1:11" x14ac:dyDescent="0.2">
      <c r="A59" s="25" t="s">
        <v>84</v>
      </c>
      <c r="B59" s="40"/>
      <c r="C59" s="14"/>
      <c r="E59" s="12"/>
      <c r="G59" s="25" t="s">
        <v>84</v>
      </c>
      <c r="H59" s="40"/>
      <c r="I59" s="14"/>
      <c r="K59" s="12"/>
    </row>
    <row r="60" spans="1:11" x14ac:dyDescent="0.2">
      <c r="A60" s="25" t="s">
        <v>61</v>
      </c>
      <c r="B60" s="58"/>
      <c r="C60" s="14"/>
      <c r="G60" s="25" t="s">
        <v>61</v>
      </c>
      <c r="H60" s="58"/>
      <c r="I60" s="14"/>
    </row>
    <row r="61" spans="1:11" x14ac:dyDescent="0.2">
      <c r="A61" s="25" t="s">
        <v>59</v>
      </c>
      <c r="B61" s="40"/>
      <c r="C61" s="62"/>
      <c r="G61" s="25" t="s">
        <v>59</v>
      </c>
      <c r="H61" s="40"/>
      <c r="I61" s="62"/>
    </row>
    <row r="62" spans="1:11" ht="13.5" thickBot="1" x14ac:dyDescent="0.25">
      <c r="A62" s="25" t="s">
        <v>35</v>
      </c>
      <c r="B62" s="40"/>
      <c r="G62" s="60" t="s">
        <v>35</v>
      </c>
      <c r="H62" s="58"/>
    </row>
    <row r="63" spans="1:11" ht="13.5" thickBot="1" x14ac:dyDescent="0.25">
      <c r="A63" s="33" t="s">
        <v>36</v>
      </c>
      <c r="B63" s="34">
        <f>SUM(B31:B62)</f>
        <v>0</v>
      </c>
      <c r="G63" s="33" t="s">
        <v>36</v>
      </c>
      <c r="H63" s="34">
        <f>SUM(H31:H62)</f>
        <v>0</v>
      </c>
    </row>
    <row r="64" spans="1:11" ht="13.5" thickBot="1" x14ac:dyDescent="0.25">
      <c r="A64" s="30"/>
      <c r="B64" s="36"/>
      <c r="G64" s="30"/>
      <c r="H64" s="36"/>
    </row>
  </sheetData>
  <phoneticPr fontId="0" type="noConversion"/>
  <pageMargins left="0.55000000000000004" right="0.3" top="1" bottom="0.5" header="0.5" footer="0.5"/>
  <pageSetup scale="60" fitToWidth="2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DAILY</vt:lpstr>
      <vt:lpstr>WEEKEND</vt:lpstr>
      <vt:lpstr>DAILY!Print_Area</vt:lpstr>
      <vt:lpstr>WEEKEND!Print_Area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Jan Havlíček</cp:lastModifiedBy>
  <cp:lastPrinted>2001-11-14T19:58:29Z</cp:lastPrinted>
  <dcterms:created xsi:type="dcterms:W3CDTF">2000-09-26T13:26:15Z</dcterms:created>
  <dcterms:modified xsi:type="dcterms:W3CDTF">2023-09-10T17:10:10Z</dcterms:modified>
</cp:coreProperties>
</file>