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556E04-3458-4FE1-B4C3-AB7CCD802089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<sst xmlns="http://schemas.openxmlformats.org/spreadsheetml/2006/main" count="2146" uniqueCount="800">
  <si>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</si>
  <si>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</si>
  <si>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</si>
  <si>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</si>
  <si>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</si>
  <si>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</si>
  <si>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</si>
  <si>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</si>
  <si>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</si>
  <si>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</si>
  <si>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</si>
  <si>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</si>
  <si>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</si>
  <si>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</si>
  <si>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</si>
  <si>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</si>
  <si>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</si>
  <si>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</si>
  <si>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</si>
  <si>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</si>
  <si>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</si>
  <si>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</si>
  <si>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</si>
  <si>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</si>
  <si>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</si>
  <si>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</si>
  <si>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</si>
  <si>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</si>
  <si>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</si>
  <si>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</si>
  <si>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</si>
  <si>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</si>
  <si>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</si>
  <si>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</si>
  <si>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</si>
  <si>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</si>
  <si>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</si>
  <si>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</si>
  <si>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</si>
  <si>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</si>
  <si>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</si>
  <si>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</si>
  <si>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</si>
  <si>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</si>
  <si>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</si>
  <si>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</si>
  <si>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</si>
  <si>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</si>
  <si>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</si>
  <si>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</si>
  <si>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</si>
  <si>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</si>
  <si>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</si>
  <si>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</si>
  <si>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</si>
  <si>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</si>
  <si>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</si>
  <si>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</si>
  <si>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</si>
  <si>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</si>
  <si>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</si>
  <si>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</si>
  <si>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</si>
  <si>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</si>
  <si>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</si>
  <si>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</si>
  <si>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</si>
  <si>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</si>
  <si>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</si>
  <si>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</si>
  <si>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</si>
  <si>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</si>
  <si>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</si>
  <si>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</si>
  <si>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</si>
  <si>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</si>
  <si>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</si>
  <si>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</si>
  <si>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</si>
  <si>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</si>
  <si>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</si>
  <si>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</si>
  <si>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</si>
  <si>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</si>
  <si>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</si>
  <si>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</si>
  <si>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</si>
  <si>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</si>
  <si>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</si>
  <si>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</si>
  <si>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</si>
  <si>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</si>
  <si>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</si>
  <si>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</si>
  <si>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</si>
  <si>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</si>
  <si>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</si>
  <si>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</si>
  <si>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</si>
  <si>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</si>
  <si>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</si>
  <si>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</si>
  <si>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</si>
  <si>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</si>
  <si>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</si>
  <si>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</si>
  <si>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</si>
  <si>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</si>
  <si>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</si>
  <si>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</si>
  <si>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</si>
  <si>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</si>
  <si>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</si>
  <si>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</si>
  <si>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</si>
  <si>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</si>
  <si>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</si>
  <si>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</si>
  <si>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</si>
  <si>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</si>
  <si>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</si>
  <si>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</si>
  <si>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</si>
  <si>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</si>
  <si>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</si>
  <si>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</si>
  <si>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</si>
  <si>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</si>
  <si>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</si>
  <si>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</si>
  <si>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</si>
  <si>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</si>
  <si>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</si>
  <si>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</si>
  <si>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</si>
  <si>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</si>
  <si>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</si>
  <si>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</si>
  <si>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</si>
  <si>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</si>
  <si>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</si>
  <si>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</si>
  <si>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</si>
  <si>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</si>
  <si>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</si>
  <si>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</si>
  <si>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</si>
  <si>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</si>
  <si>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</si>
  <si>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</si>
  <si>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</si>
  <si>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</si>
  <si>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</si>
  <si>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</si>
  <si>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</si>
  <si>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</si>
  <si>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</si>
  <si>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</si>
  <si>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</si>
  <si>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</si>
  <si>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</si>
  <si>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</si>
  <si>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</si>
  <si>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</si>
  <si>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</si>
  <si>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</si>
  <si>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</si>
  <si>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</si>
  <si>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</si>
  <si>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</si>
  <si>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</si>
  <si>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</si>
  <si>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</si>
  <si>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</si>
  <si>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</si>
  <si>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</si>
  <si>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</si>
  <si>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</si>
  <si>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</si>
  <si>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</si>
  <si>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</si>
  <si>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</si>
  <si>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</si>
  <si>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</si>
  <si>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</si>
  <si>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</si>
  <si>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</si>
  <si>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</si>
  <si>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</si>
  <si>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</si>
  <si>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</si>
  <si>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</si>
  <si>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</si>
  <si>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</si>
  <si>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</si>
  <si>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</si>
  <si>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</si>
  <si>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</si>
  <si>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</si>
  <si>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</si>
  <si>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</si>
  <si>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</si>
  <si>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</si>
  <si>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</si>
  <si>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</si>
  <si>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</si>
  <si>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</si>
  <si>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</si>
  <si>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</si>
  <si>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</si>
  <si>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</si>
  <si>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</si>
  <si>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</si>
  <si>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</si>
  <si>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</si>
  <si>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</si>
  <si>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</si>
  <si>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</si>
  <si>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</si>
  <si>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</si>
  <si>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</si>
  <si>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</si>
  <si>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</si>
  <si>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</si>
  <si>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</si>
  <si>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</si>
  <si>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</si>
  <si>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</si>
  <si>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</si>
  <si>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</si>
  <si>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</si>
  <si>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</si>
  <si>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</si>
  <si>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</si>
  <si>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</si>
  <si>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</si>
  <si>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</si>
  <si>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</si>
  <si>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</si>
  <si>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</si>
  <si>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</si>
  <si>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</si>
  <si>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</si>
  <si>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</si>
  <si>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</si>
  <si>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</si>
  <si>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</si>
  <si>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</si>
  <si>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</si>
  <si>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</si>
  <si>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</si>
  <si>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</si>
  <si>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</si>
  <si>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</si>
  <si>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</si>
  <si>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</si>
  <si>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</si>
  <si>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</si>
  <si>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</si>
  <si>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</si>
  <si>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</si>
  <si>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</si>
  <si>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</si>
  <si>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</si>
  <si>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</si>
  <si>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</si>
  <si>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</si>
  <si>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</si>
  <si>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</si>
  <si>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</si>
  <si>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</si>
  <si>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</si>
  <si>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</si>
  <si>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</si>
  <si>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</si>
  <si>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</si>
  <si>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</si>
  <si>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</si>
  <si>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</si>
  <si>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</si>
  <si>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</si>
  <si>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</si>
  <si>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</si>
  <si>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</si>
  <si>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</si>
  <si>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</si>
  <si>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</si>
  <si>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</si>
  <si>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</si>
  <si>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</si>
  <si>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</si>
  <si>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</si>
  <si>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</si>
  <si>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</si>
  <si>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</si>
  <si>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</si>
  <si>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</si>
  <si>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</si>
  <si>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</si>
  <si>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</si>
  <si>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</si>
  <si>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</si>
  <si>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</si>
  <si>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</si>
  <si>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</si>
  <si>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</si>
  <si>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</si>
  <si>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</si>
  <si>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</si>
  <si>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</si>
  <si>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</si>
  <si>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</si>
  <si>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</si>
  <si>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</si>
  <si>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</si>
  <si>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</si>
  <si>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</si>
  <si>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</si>
  <si>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</si>
  <si>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</si>
  <si>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</si>
  <si>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</si>
  <si>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</si>
  <si>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</si>
  <si>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</si>
  <si>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</si>
  <si>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</si>
  <si>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</si>
  <si>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</si>
  <si>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</si>
  <si>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</si>
  <si>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</si>
  <si>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</si>
  <si>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</si>
  <si>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</si>
  <si>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</si>
  <si>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</si>
  <si>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</si>
  <si>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</si>
  <si>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</si>
  <si>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</si>
  <si>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</si>
  <si>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</si>
  <si>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</si>
  <si>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</si>
  <si>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</si>
  <si>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</si>
  <si>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</si>
  <si>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</si>
  <si>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</si>
  <si>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</si>
  <si>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</si>
  <si>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</si>
  <si>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</si>
  <si>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</si>
  <si>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</si>
  <si>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</si>
  <si>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</si>
  <si>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</si>
  <si>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</si>
  <si>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</si>
  <si>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</si>
  <si>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</si>
  <si>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</si>
  <si>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</si>
  <si>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</si>
  <si>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</si>
  <si>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</si>
  <si>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</si>
  <si>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</si>
  <si>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</si>
  <si>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</si>
  <si>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</si>
  <si>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</si>
  <si>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</si>
  <si>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</si>
  <si>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</si>
  <si>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</si>
  <si>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</si>
  <si>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</si>
  <si>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</si>
  <si>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</si>
  <si>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</si>
  <si>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</si>
  <si>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</si>
  <si>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</si>
  <si>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</si>
  <si>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</si>
  <si>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</si>
  <si>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</si>
  <si>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</si>
  <si>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</si>
  <si>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</si>
  <si>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</si>
  <si>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</si>
  <si>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</si>
  <si>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</si>
  <si>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</si>
  <si>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</si>
  <si>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</si>
  <si>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</si>
  <si>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</si>
  <si>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</si>
  <si>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</si>
  <si>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</si>
  <si>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</si>
  <si>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</si>
  <si>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</si>
  <si>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</si>
  <si>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</si>
  <si>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</si>
  <si>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</si>
  <si>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</si>
  <si>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</si>
  <si>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</si>
  <si>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</si>
  <si>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</si>
  <si>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</si>
  <si>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</si>
  <si>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</si>
  <si>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</si>
  <si>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</si>
  <si>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</si>
  <si>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</si>
  <si>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</si>
  <si>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</si>
  <si>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</si>
  <si>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</si>
  <si>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</si>
  <si>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</si>
  <si>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</si>
  <si>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</si>
  <si>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</si>
  <si>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</si>
  <si>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</si>
  <si>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</si>
  <si>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</si>
  <si>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</si>
  <si>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</si>
  <si>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</si>
  <si>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</si>
  <si>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</si>
  <si>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</si>
  <si>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</si>
  <si>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</si>
  <si>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</si>
  <si>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</si>
  <si>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</si>
  <si>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</si>
  <si>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</si>
  <si>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</si>
  <si>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</si>
  <si>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</si>
  <si>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</si>
  <si>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</si>
  <si>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</si>
  <si>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</si>
  <si>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</si>
  <si>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</si>
  <si>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</si>
  <si>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</si>
  <si>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</si>
  <si>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</si>
  <si>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</si>
  <si>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</si>
  <si>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</si>
  <si>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</si>
  <si>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</si>
  <si>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</si>
  <si>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</si>
  <si>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</si>
  <si>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</si>
  <si>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</si>
  <si>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</si>
  <si>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</si>
  <si>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</si>
  <si>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</si>
  <si>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</si>
  <si>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</si>
  <si>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</si>
  <si>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</si>
  <si>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</si>
  <si>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</si>
  <si>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</si>
  <si>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</si>
  <si>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</si>
  <si>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</si>
  <si>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</si>
  <si>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</si>
  <si>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</si>
  <si>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</si>
  <si>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</si>
  <si>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</si>
  <si>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</si>
  <si>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</si>
  <si>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</si>
  <si>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</si>
  <si>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</si>
  <si>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</si>
  <si>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</si>
  <si>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</si>
  <si>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</si>
  <si>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</si>
  <si>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</si>
  <si>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</si>
  <si>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</si>
  <si>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</si>
  <si>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</si>
  <si>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</si>
  <si>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</si>
  <si>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</si>
  <si>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</si>
  <si>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</si>
  <si>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</si>
  <si>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</si>
  <si>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</si>
  <si>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</si>
  <si>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</si>
  <si>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</si>
  <si>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</si>
  <si>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</si>
  <si>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</si>
  <si>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</si>
  <si>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</si>
  <si>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</si>
  <si>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</si>
  <si>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</si>
  <si>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</si>
  <si>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</si>
  <si>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</si>
  <si>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</si>
  <si>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</si>
  <si>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</si>
  <si>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</si>
  <si>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</si>
  <si>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</si>
  <si>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</si>
  <si>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</si>
  <si>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</si>
  <si>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</si>
  <si>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</si>
  <si>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</si>
  <si>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</si>
  <si>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</si>
  <si>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</si>
  <si>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</si>
  <si>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</si>
  <si>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</si>
  <si>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</si>
  <si>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</si>
  <si>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</si>
  <si>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</si>
  <si>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</si>
  <si>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</si>
  <si>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</si>
  <si>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</si>
  <si>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</si>
  <si>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</si>
  <si>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</si>
  <si>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</si>
  <si>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</si>
  <si>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</si>
  <si>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</si>
  <si>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</si>
  <si>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</si>
  <si>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</si>
  <si>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</si>
  <si>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</si>
  <si>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</si>
  <si>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</si>
  <si>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</si>
  <si>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</si>
  <si>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</si>
  <si>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</si>
  <si>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</si>
  <si>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</si>
  <si>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</si>
  <si>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</si>
  <si>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</si>
  <si>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</si>
  <si>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</si>
  <si>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</si>
  <si>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</si>
  <si>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</si>
  <si>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</si>
  <si>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</si>
  <si>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</si>
  <si>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</si>
  <si>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</si>
  <si>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</si>
  <si>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</si>
  <si>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</si>
  <si>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</si>
  <si>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</si>
  <si>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</si>
  <si>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</si>
  <si>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</si>
  <si>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</si>
  <si>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</si>
  <si>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</si>
  <si>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</si>
  <si>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</si>
  <si>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</si>
  <si>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</si>
  <si>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</si>
  <si>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</si>
  <si>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</si>
  <si>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</si>
  <si>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</si>
  <si>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</si>
  <si>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</si>
  <si>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</si>
  <si>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</si>
  <si>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</si>
  <si>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</si>
  <si>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</si>
  <si>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</si>
  <si>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</si>
  <si>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</si>
  <si>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</si>
  <si>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</si>
  <si>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</si>
  <si>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</si>
  <si>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</si>
  <si>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</si>
  <si>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</si>
  <si>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</si>
  <si>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</si>
  <si>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</si>
  <si>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</si>
  <si>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</si>
  <si>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</si>
  <si>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</si>
  <si>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</si>
  <si>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</si>
  <si>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</si>
  <si>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</si>
  <si>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</si>
  <si>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</si>
  <si>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</si>
  <si>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</si>
  <si>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</si>
  <si>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</si>
  <si>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</si>
  <si>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</si>
  <si>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</si>
  <si>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</si>
  <si>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</si>
  <si>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</si>
  <si>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</si>
  <si>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</si>
  <si>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</si>
  <si>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</si>
  <si>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</si>
  <si>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</si>
  <si>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</si>
  <si>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</si>
  <si>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</si>
  <si>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</si>
  <si>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</si>
  <si>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</si>
  <si>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</si>
  <si>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</si>
  <si>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</si>
  <si>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</si>
  <si>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</si>
  <si>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</si>
  <si>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</si>
  <si>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</si>
  <si>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</si>
  <si>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</si>
  <si>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</si>
  <si>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</si>
  <si>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</si>
  <si>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</si>
  <si>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</si>
  <si>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</si>
  <si>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</si>
  <si>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</si>
  <si>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</si>
  <si>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</si>
  <si>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</si>
  <si>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</si>
  <si>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</si>
  <si>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</si>
  <si>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</si>
  <si>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</si>
  <si>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</si>
  <si>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</si>
  <si>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</si>
  <si>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</si>
  <si>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</si>
  <si>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</si>
  <si>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</si>
  <si>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</si>
  <si>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</si>
  <si>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</si>
  <si>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</si>
  <si>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</si>
  <si>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</si>
  <si>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</si>
  <si>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</si>
  <si>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</si>
  <si>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</si>
  <si>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</si>
  <si>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</si>
  <si>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</si>
  <si>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</si>
  <si>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</si>
  <si>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</si>
  <si>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</si>
  <si>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</si>
  <si>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</si>
  <si>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</si>
  <si>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</si>
  <si>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</si>
  <si>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</si>
  <si>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</si>
  <si>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</si>
  <si>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</si>
  <si>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</si>
  <si>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</si>
  <si>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</si>
  <si>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</si>
  <si>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</si>
  <si>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</si>
  <si>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</si>
  <si>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</si>
  <si>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</si>
  <si>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</si>
  <si>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</si>
  <si>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</si>
  <si>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</si>
  <si>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</si>
  <si>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</si>
  <si>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</si>
  <si>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</si>
  <si>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</si>
  <si>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</si>
  <si>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</si>
  <si>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</si>
  <si>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</si>
  <si>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</si>
  <si>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</si>
  <si>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</si>
  <si>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</si>
  <si>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</si>
  <si>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</si>
  <si>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</si>
  <si>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</si>
  <si>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</si>
  <si>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</si>
  <si>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</si>
  <si>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</si>
  <si>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</si>
  <si>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</si>
  <si>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</si>
  <si>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</si>
  <si>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</si>
  <si>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</si>
  <si>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</si>
  <si>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</si>
  <si>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</si>
  <si>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</si>
  <si>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</si>
  <si>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</si>
  <si>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</si>
  <si>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</si>
  <si>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</si>
  <si>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</si>
  <si>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</si>
  <si>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</si>
  <si>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</si>
  <si>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</si>
  <si>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</si>
  <si>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</si>
  <si>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</si>
  <si>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</si>
  <si>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</si>
  <si>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</si>
  <si>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</si>
  <si>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</si>
  <si>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</si>
  <si>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</si>
  <si>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</si>
  <si>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</si>
  <si>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</si>
  <si>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</si>
  <si>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</si>
  <si>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</si>
  <si>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</si>
  <si>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</si>
  <si>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</si>
  <si>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>PARTLY SUNNY.</t>
  </si>
  <si>
    <t xml:space="preserve"> AT NIGHT, CLEAR AND COLD. </t>
  </si>
  <si>
    <t xml:space="preserve">SUNNY. COOLER NEAR THE LAKE. WINDS BECOMING SOUTHEAST 5 TO 10 MPH. </t>
  </si>
  <si>
    <t>AT NIGHT, CLEAR. LIGHT SOUTHEAST WINDS.</t>
  </si>
  <si>
    <t>INCREASING CLOUDINESS. AT NIGHT, MOSTLY CLOUDY.</t>
  </si>
  <si>
    <t xml:space="preserve">A CHANCE OF SHOWERS EARLY… THEN PARTLY SUNNY. </t>
  </si>
  <si>
    <t>MOSTLY CLOUDY. A CHANCE OF RAIN OR SNOW 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</si>
</sst>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E345F97A-85EC-8430-21C5-51A62AC392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CAB04DE1-A2B9-3E44-D062-EF82381A1D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333F9B05-43AA-BC3B-F938-4B98C6354D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CD20E58D-5A86-6588-A2A5-276EAB3493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85CECAD-CB1F-5C26-1DC1-7750C8D93E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F69D3B45-4375-CF1C-9832-BC7F1DD2C7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AC40EE6-1084-A73A-7F7C-B30DC334B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B31AE5B5-3900-407B-9739-CD8B4415B5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9C91D2A-5069-CB72-D1A7-6A160CC3F5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10A630BC-1E84-EAD9-7817-4111425CCA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1D5BBC5E-9954-8586-CC89-9FA38870BD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1EF12051-492F-F8C3-EFD6-1FFE3B6E0B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5175FDA-C2B4-35C6-A919-E4BE30D76E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4600B73C-FAC3-9131-A180-81760A8D58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43B605D1-9FCE-C9F1-4F94-7607726E78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F7D15BD6-DD18-252F-5AC4-A466072B68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D8DC1236-10CB-971A-F266-8E90B59C89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FD52A50B-AFAB-6340-126F-DA5FA9DE64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7CB7EF3E-F6EE-6CF4-3A8F-90132D3AC9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81F0F616-58E3-96E4-3288-82BA4D57E0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F61476DE-6ED0-585C-189A-FDF807D14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188E2B88-F82D-C573-B46E-4E90A780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DC491DBF-D55D-3BF8-B8D3-A37DD4604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E0EBBF71-8A84-BBF8-52D1-FA35D3D18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13668A29-8AC4-C649-6AEB-D24C39772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847BDAA0-B3F2-B065-B51E-B48208442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4A3CABB7-BAC6-8DFD-DEA0-5B9A4F756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7749BF82-4781-A5AF-B7F8-3DAE6F36F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A99EAD36-D5FA-DAED-71AA-48D3059FA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606A2AE2-6C3B-0FF7-D3E8-E2D5B8634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8942C0A5-6105-E050-9141-7DF9F2FD3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F4A13680-3DDE-0D96-7F18-32A44529E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FC9E7634-6FA4-B7DF-85E5-9AAAD375A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E84A2C42-F8C9-A30F-1B3D-E19517485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6332B1ED-BC00-6593-6F73-8524F2450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AD5E4694-D760-62A4-845F-E81FAF60F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36E3AA67-75D0-B500-B452-645842027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D34329A2-D7D9-60FA-BF43-49569AF54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5BE43549-9465-3F66-2785-38B2FD93E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87CD0AB9-BCFF-D801-EC2C-FCC603D7A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BD1976BA-A406-93D9-5EB3-195FBB309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C2A7D363-C40F-40BA-877F-5901F762D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A0D2E89B-5650-2D3F-814F-7CDBF0338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CB5C6258-A46A-53B3-92D7-6AF8A5685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329" name="Day_1">
          <a:extLst>
            <a:ext uri="{FF2B5EF4-FFF2-40B4-BE49-F238E27FC236}">
              <a16:creationId xmlns:a16="http://schemas.microsoft.com/office/drawing/2014/main" id="{94C0CF9D-BDFC-0A87-0620-4ECDDD1D1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330" name="Day_2">
          <a:extLst>
            <a:ext uri="{FF2B5EF4-FFF2-40B4-BE49-F238E27FC236}">
              <a16:creationId xmlns:a16="http://schemas.microsoft.com/office/drawing/2014/main" id="{49377FF7-2DD4-AD6A-3C9C-6D14BF0CA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331" name="Day_3">
          <a:extLst>
            <a:ext uri="{FF2B5EF4-FFF2-40B4-BE49-F238E27FC236}">
              <a16:creationId xmlns:a16="http://schemas.microsoft.com/office/drawing/2014/main" id="{1F049929-A51C-DD9A-CD3E-F7BFC9ABD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332" name="Day_4">
          <a:extLst>
            <a:ext uri="{FF2B5EF4-FFF2-40B4-BE49-F238E27FC236}">
              <a16:creationId xmlns:a16="http://schemas.microsoft.com/office/drawing/2014/main" id="{B2C20F36-7C05-6255-B5CF-4484DA963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333" name="Day_5">
          <a:extLst>
            <a:ext uri="{FF2B5EF4-FFF2-40B4-BE49-F238E27FC236}">
              <a16:creationId xmlns:a16="http://schemas.microsoft.com/office/drawing/2014/main" id="{D8473C9E-4C97-503A-334F-5A1E7D132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334" name="Day_6">
          <a:extLst>
            <a:ext uri="{FF2B5EF4-FFF2-40B4-BE49-F238E27FC236}">
              <a16:creationId xmlns:a16="http://schemas.microsoft.com/office/drawing/2014/main" id="{E541532F-6520-35E4-3C81-0AA4127D1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6DD581CF-330A-CED0-E310-0D26BBDBCA6C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8AB4B8F0-B4A1-4C68-A3FF-8498CC192028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01498219-1798-AD0F-15B8-7C6D513FC65C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4AEE1756-649B-1325-0DCC-392475CAC20D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F8AF3FB2-F76F-45EF-A9A3-A1F14868E8F3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1985ADE8-2FEC-C807-3990-AB6C17417DFA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333E52AB-8F3E-0F2D-EB6D-2BEB07E2B5D7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7D238D51-6C20-44BF-7185-0676ABFE15E1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675F13F3-39CE-BFAC-5BEB-30F2A84A45E1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25595C95-5AE8-E4CE-302E-E7DEAB196C91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0781CE2F-4B50-8C0C-C6D2-CC925DAFB6CD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E15FDF6C-52E3-273E-23C5-DD0FB89EBAC4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9B4AC14D-A7DB-61EF-0781-A5FDA0B07A91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45720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32037650-EE68-D64D-A2EF-B3ED8D44640B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6DD1F1D3-D064-03C7-BDB5-763A103DA55E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17C1A45A-FA98-111D-12C8-7BF640D2CDE5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B8BEAC05-F5F3-E206-AC0A-3904CAD98DFE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DE1C1DA8-FB50-4A8B-7433-82236E8110F2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505DDAE3-FDF0-6C42-209C-0E4A1EA62386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51B6394E-792E-AA7C-8CFF-71ECAD14203F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C11E24FE-0951-55C4-24D0-A321D07CDED2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51641926-22EB-B780-A128-C1E2B3174294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18EB018F-3D3B-1265-292A-34C116823366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4D5D41D0-2D69-0DE8-4CFE-AE1A7FC12C89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BC6660BA-4A0A-ED81-CF1F-5F6ED7E39BA0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16CA6348-8ED8-3B2C-2D9D-636681942FCD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2E90721E-D11C-68F0-BFBE-F932076982C2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6095D2B1-780D-34FC-93B3-30226E89A9AF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2379CE30-1BF5-D38B-7111-6FD03DAF0FCE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B75D600A-ABE0-8BE9-C30D-1ABCA92194FA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3615D048-2DD8-2215-17B4-CED27DECC90A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EE302778-42C4-C247-1D41-828FC049EDE4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5D2B4F2C-8A79-9376-0857-EAC79656A6CC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16812654-A9C1-3744-2562-3FCAD0DE3BC4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DBCB5042-4780-FF56-0541-24917F6B2ED3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6BD33887-01B7-C93E-CCC2-488103E76E2B}"/>
            </a:ext>
          </a:extLst>
        </xdr:cNvPr>
        <xdr:cNvSpPr>
          <a:spLocks noChangeShapeType="1"/>
        </xdr:cNvSpPr>
      </xdr:nvSpPr>
      <xdr:spPr bwMode="auto">
        <a:xfrm rot="3026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654E4984-750A-718F-6C75-E217983ADE41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E66229F6-858A-D614-04AC-14B544026ADC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4EF70A7E-6E19-3144-2FE6-D2D3A9A1130F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459A1BDA-3125-3E6C-DEB9-4A98E2A452F3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1F6CAC9C-DF8B-EA06-B872-6BC0C521A227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FC592F82-E38D-7BB3-1E9B-7702896526DD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6A464569-F1C4-728F-A443-D32F11128509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3A902FC1-61B8-349D-C9D1-F7A89BF393AD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B645BDA5-461B-4192-986C-300847E34C54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3FA16DFC-8F7E-9088-248B-C56ECC4130EC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9D7C9FB1-CF69-260D-0B64-7241DC9E8D05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A65E5BA7-DEC4-CBFC-39AB-922CCAB88937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AC89A889-5EE0-F104-1972-B55F34E06310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ECAAC98F-ED28-552A-EA18-D277C12CD4DB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6E40CBAC-0CE5-40B8-9FF0-4F6CA449EF78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4BA20EE9-965F-B3BD-96F4-DC1EE088EC01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11ED83BC-50B0-5854-B4F4-605003DAC018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A24DFEAD-84B5-5566-DD81-1BC796BECB8F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E58E201D-0BA7-19C5-2BE9-9E3D9872BB18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A88E7C88-F5DD-204E-BD93-BA578055EF7F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838B204B-40A2-536F-F5F3-66EA552A1798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57C7F15B-3778-5071-88FC-8BB2FA22BD3D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A34F4A54-6294-6824-243D-E2E5BA7DAA5B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6EBBBFB8-8D9E-20B6-DB67-E59F9C08D07B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D064C60E-B4F9-6C16-39EF-81D5FD819B29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C0480998-244B-60F0-F10D-212EB776FB6A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6BC49084-4E7E-3F0F-AE55-3D6B67FB170A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873DF4D0-1132-899A-91E6-16F7D9B28B81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C6EFE815-D1A6-7A22-59A7-2B80339528FA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D3C75515-CF65-B5BA-3053-D6EE0F5E7012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83B67922-A688-A835-1556-12561D0BC954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87DA3D32-6288-1D59-46DB-28B14BB23967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90CBC582-C295-F296-0504-860F5AB2EF15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AD3144FC-9DC9-4EB6-F94F-0F4C1BE8476E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14431F93-803D-D772-BCBC-7A2CD14402F2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740694C7-AAEE-33F8-5E0D-56F3A145504F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6B7A7F07-9A93-0E37-B93D-CB5A95732C2C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4DAF3187-F7DF-C181-1FF6-50B8C107E49B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0149B462-6630-6363-2563-9000BBF63476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32385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59D17C95-ADC8-3142-2E6C-BE435F61C875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514E1A77-953E-FA76-A338-6455BA9E8B32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07C4608C-22B0-95DB-F6D6-5DA1D16E9434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0A8D93DF-33A3-5C84-A690-083F729E12DF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67C5751D-218C-2225-1CC4-E5C2467B8BB0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1EEB1D0D-F818-8CF3-6967-32FA4D480A24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EF0C5380-2B9E-425B-7975-E5669F667A6C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A0152A34-28D8-43CD-D94C-84EBBB2EF2A1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D0EC3D55-9B73-FF84-0B40-F4E49849EA89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2C7DBC7F-AF33-7539-B939-661A8382EE42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AAACAC90-DC0C-BB2E-5C33-585F7B7AA32D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3416033D-5CB7-06E8-4ACA-C78678424588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219075</xdr:rowOff>
    </xdr:from>
    <xdr:to>
      <xdr:col>2</xdr:col>
      <xdr:colOff>666750</xdr:colOff>
      <xdr:row>9</xdr:row>
      <xdr:rowOff>219075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F0A513B8-DA1C-991E-9557-86B094D4F002}"/>
            </a:ext>
          </a:extLst>
        </xdr:cNvPr>
        <xdr:cNvSpPr>
          <a:spLocks noChangeShapeType="1"/>
        </xdr:cNvSpPr>
      </xdr:nvSpPr>
      <xdr:spPr bwMode="auto">
        <a:xfrm>
          <a:off x="742950" y="215265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1C41231A-E02E-27E1-8C86-48B438C8AB0E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1FE99132-955B-936D-8453-377F17329284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A90F7F1E-6656-14B8-5E6D-8F7A1F2F5DAE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E8A750CE-9B1B-CF10-6CD4-D5451117AE91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931B8994-D7EE-16D1-C928-BC4833E38ED8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DF1867DC-E765-6481-CDB4-8DF50D6F429F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E9B91D9D-D09B-749C-B71A-96F33E0F3B71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F33795F3-A218-B84E-8E8A-D3240970F2C8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3C99443A-51FB-7767-C105-D426135432C5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F1B43CAC-CA60-76E8-E04F-4187F3B66257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A0608EB5-3EFA-1126-3298-851DD9214DFC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274F5B78-2930-4FDF-4306-D6EF9D261811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56325FED-2ED3-F4B6-D3D3-AB81B87EA934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5087C2B4-2805-EBA4-5B12-BE2CDC3B75D3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9AAC0911-852F-FEC8-A80C-861B3A007C51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32385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1BDEA456-361B-62E2-5A96-6F0F347C0FE2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F3B29F66-D925-C088-7563-E755D077E33E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209550</xdr:colOff>
      <xdr:row>17</xdr:row>
      <xdr:rowOff>180975</xdr:rowOff>
    </xdr:from>
    <xdr:to>
      <xdr:col>5</xdr:col>
      <xdr:colOff>180975</xdr:colOff>
      <xdr:row>18</xdr:row>
      <xdr:rowOff>0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F768517A-F24C-58CC-977D-51556D4C2FF6}"/>
            </a:ext>
          </a:extLst>
        </xdr:cNvPr>
        <xdr:cNvSpPr>
          <a:spLocks noChangeShapeType="1"/>
        </xdr:cNvSpPr>
      </xdr:nvSpPr>
      <xdr:spPr bwMode="auto">
        <a:xfrm rot="307948828" flipH="1" flipV="1">
          <a:off x="3000375" y="4114800"/>
          <a:ext cx="9525" cy="352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C557FAD5-99DE-E944-69F7-398F4B2B5C5C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EF432C46-483E-3CC3-5E94-F7148BBD0140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6D946914-60E7-5FBB-F33C-8068B939B0FE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2B3A6B20-6FF2-CDFD-1DA0-A627FA4E7D6A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C1E08966-2B82-2CA2-2F40-B86C745725A1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898DBD71-23A9-69B3-6CF2-424AB6F07ECB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FE53D63E-4720-F677-A059-8D340DE3D23F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D88633A7-4521-3D42-EFB0-B12CE343C57B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EF493610-A1B4-3B3B-D230-677B1633BB26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A858BD78-A446-1BDC-B786-038C29098818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03E5CD90-43B5-0D28-6236-6B45419A0E9B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AA17D4D2-9B89-D4C5-0A90-CA5DF112B8F6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DA151999-FA4E-8441-BECD-000D34C5B61E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A4D4993B-E863-E56D-B456-B0CB73C933A3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3C7319D9-0FD0-4D41-1CD8-69D6499B3527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95250</xdr:rowOff>
    </xdr:from>
    <xdr:to>
      <xdr:col>8</xdr:col>
      <xdr:colOff>752475</xdr:colOff>
      <xdr:row>10</xdr:row>
      <xdr:rowOff>114300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613B4EDF-B2AC-BB9F-526D-921E6802CA99}"/>
            </a:ext>
          </a:extLst>
        </xdr:cNvPr>
        <xdr:cNvSpPr>
          <a:spLocks noChangeShapeType="1"/>
        </xdr:cNvSpPr>
      </xdr:nvSpPr>
      <xdr:spPr bwMode="auto">
        <a:xfrm flipV="1">
          <a:off x="4981575" y="2028825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D7E06E99-3BBF-377C-1C31-3F06FFBD6B52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A6AE6A36-4D6D-390F-504E-4D2529A70803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C42544EA-F2E0-2ED6-70D8-5F5967D615C4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B3DBE59E-9C72-074F-A624-039B4981734D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D2B88F5D-2789-71F8-33B1-AAF13C323E8F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C468E4EA-F542-8291-2820-B528501EF9C2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38DA861B-DDD8-83DC-3221-569385EF9DCD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593AE57B-8975-8D0B-6569-C995EF8BD27D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3" t="s">
        <v>11</v>
      </c>
      <c r="B1" s="813" t="s">
        <v>11</v>
      </c>
    </row>
    <row r="2" spans="1:88">
      <c r="A2" s="1113" t="s">
        <v>11</v>
      </c>
      <c r="B2" t="s">
        <v>11</v>
      </c>
    </row>
    <row r="3" spans="1:88" ht="15.75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791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SAT</v>
      </c>
      <c r="I1" s="881">
        <f>D4</f>
        <v>36967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SAT</v>
      </c>
      <c r="E3" s="844" t="str">
        <f t="shared" si="0"/>
        <v>SUN</v>
      </c>
      <c r="F3" s="844" t="str">
        <f t="shared" si="0"/>
        <v>MON</v>
      </c>
      <c r="G3" s="844" t="str">
        <f t="shared" si="0"/>
        <v>TUE</v>
      </c>
      <c r="H3" s="844" t="str">
        <f t="shared" si="0"/>
        <v>WED</v>
      </c>
      <c r="I3" s="845" t="str">
        <f t="shared" si="0"/>
        <v>THU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36967</v>
      </c>
      <c r="E4" s="848">
        <f>Weather_Input!A6</f>
        <v>36968</v>
      </c>
      <c r="F4" s="848">
        <f>Weather_Input!A7</f>
        <v>36969</v>
      </c>
      <c r="G4" s="848">
        <f>Weather_Input!A8</f>
        <v>36970</v>
      </c>
      <c r="H4" s="848">
        <f>Weather_Input!A9</f>
        <v>36971</v>
      </c>
      <c r="I4" s="849">
        <f>Weather_Input!A10</f>
        <v>36972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37/23/30</v>
      </c>
      <c r="E5" s="882" t="str">
        <f>TEXT(Weather_Input!B6,"0")&amp;"/"&amp;TEXT(Weather_Input!C6,"0") &amp; "/" &amp; TEXT((Weather_Input!B6+Weather_Input!C6)/2,"0")</f>
        <v>44/27/36</v>
      </c>
      <c r="F5" s="882" t="str">
        <f>TEXT(Weather_Input!B7,"0")&amp;"/"&amp;TEXT(Weather_Input!C7,"0") &amp; "/" &amp; TEXT((Weather_Input!B7+Weather_Input!C7)/2,"0")</f>
        <v>47/32/40</v>
      </c>
      <c r="G5" s="882" t="str">
        <f>TEXT(Weather_Input!B8,"0")&amp;"/"&amp;TEXT(Weather_Input!C8,"0") &amp; "/" &amp; TEXT((Weather_Input!B8+Weather_Input!C8)/2,"0")</f>
        <v>51/35/43</v>
      </c>
      <c r="H5" s="882" t="str">
        <f>TEXT(Weather_Input!B9,"0")&amp;"/"&amp;TEXT(Weather_Input!C9,"0") &amp; "/" &amp; TEXT((Weather_Input!B9+Weather_Input!C9)/2,"0")</f>
        <v>49/31/40</v>
      </c>
      <c r="I5" s="883" t="str">
        <f>TEXT(Weather_Input!B10,"0")&amp;"/"&amp;TEXT(Weather_Input!C10,"0") &amp; "/" &amp; TEXT((Weather_Input!B10+Weather_Input!C10)/2,"0")</f>
        <v>45/27/36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153</v>
      </c>
      <c r="E6" s="851">
        <f ca="1">VLOOKUP(E4,NSG_Sendouts,CELL("Col",NSG_Deliveries!C6),FALSE)/1000</f>
        <v>130</v>
      </c>
      <c r="F6" s="851">
        <f ca="1">VLOOKUP(F4,NSG_Sendouts,CELL("Col",NSG_Deliveries!C7),FALSE)/1000</f>
        <v>120</v>
      </c>
      <c r="G6" s="851">
        <f ca="1">VLOOKUP(G4,NSG_Sendouts,CELL("Col",NSG_Deliveries!C8),FALSE)/1000</f>
        <v>110</v>
      </c>
      <c r="H6" s="851">
        <f ca="1">VLOOKUP(H4,NSG_Sendouts,CELL("Col",NSG_Deliveries!C9),FALSE)/1000</f>
        <v>116</v>
      </c>
      <c r="I6" s="856">
        <f ca="1">VLOOKUP(I4,NSG_Sendouts,CELL("Col",NSG_Deliveries!C10),FALSE)/1000</f>
        <v>124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3.08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11.170999999999999</v>
      </c>
      <c r="E13" s="851">
        <f>NSG_Requirements!H8/1000</f>
        <v>16.25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167.251</v>
      </c>
      <c r="E19" s="860">
        <f t="shared" ca="1" si="1"/>
        <v>146.25</v>
      </c>
      <c r="F19" s="860">
        <f t="shared" ca="1" si="1"/>
        <v>120</v>
      </c>
      <c r="G19" s="860">
        <f t="shared" ca="1" si="1"/>
        <v>110</v>
      </c>
      <c r="H19" s="860">
        <f t="shared" ca="1" si="1"/>
        <v>116</v>
      </c>
      <c r="I19" s="861">
        <f t="shared" ca="1" si="1"/>
        <v>124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60</v>
      </c>
      <c r="E23" s="851">
        <f>NSG_Supplies!L8/1000</f>
        <v>40</v>
      </c>
      <c r="F23" s="851">
        <f>NSG_Supplies!L9/1000</f>
        <v>20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86.248999999999995</v>
      </c>
      <c r="E32" s="851">
        <f>NSG_Supplies!R8/1000</f>
        <v>86.248999999999995</v>
      </c>
      <c r="F32" s="851">
        <f>NSG_Supplies!R9/1000</f>
        <v>86.248999999999995</v>
      </c>
      <c r="G32" s="851">
        <f>NSG_Supplies!R10/1000</f>
        <v>86.248999999999995</v>
      </c>
      <c r="H32" s="851">
        <f>NSG_Supplies!R11/1000</f>
        <v>86.248999999999995</v>
      </c>
      <c r="I32" s="852">
        <f>NSG_Supplies!R12/1000</f>
        <v>86.248999999999995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0.1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166.34899999999999</v>
      </c>
      <c r="E37" s="891">
        <f t="shared" si="2"/>
        <v>146.249</v>
      </c>
      <c r="F37" s="891">
        <f t="shared" si="2"/>
        <v>126.249</v>
      </c>
      <c r="G37" s="891">
        <f t="shared" si="2"/>
        <v>126.249</v>
      </c>
      <c r="H37" s="891">
        <f t="shared" si="2"/>
        <v>126.249</v>
      </c>
      <c r="I37" s="892">
        <f t="shared" si="2"/>
        <v>126.249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0</v>
      </c>
      <c r="E38" s="895">
        <f t="shared" ca="1" si="3"/>
        <v>0</v>
      </c>
      <c r="F38" s="895">
        <f t="shared" ca="1" si="3"/>
        <v>6.2489999999999952</v>
      </c>
      <c r="G38" s="895">
        <f t="shared" ca="1" si="3"/>
        <v>16.248999999999995</v>
      </c>
      <c r="H38" s="895">
        <f t="shared" ca="1" si="3"/>
        <v>10.248999999999995</v>
      </c>
      <c r="I38" s="896">
        <f t="shared" ca="1" si="3"/>
        <v>2.2489999999999952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0.90200000000001523</v>
      </c>
      <c r="E39" s="877">
        <f t="shared" ca="1" si="4"/>
        <v>1.0000000000047748E-3</v>
      </c>
      <c r="F39" s="877">
        <f t="shared" ca="1" si="4"/>
        <v>0</v>
      </c>
      <c r="G39" s="877">
        <f t="shared" ca="1" si="4"/>
        <v>0</v>
      </c>
      <c r="H39" s="877">
        <f t="shared" ca="1" si="4"/>
        <v>0</v>
      </c>
      <c r="I39" s="878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36.24</v>
      </c>
      <c r="E40" s="1175">
        <f>NSG_Supplies!S8/1000</f>
        <v>36.24</v>
      </c>
      <c r="F40" s="1175">
        <f>NSG_Supplies!S9/1000</f>
        <v>36.24</v>
      </c>
      <c r="G40" s="1175">
        <f>NSG_Supplies!S10/1000</f>
        <v>36.24</v>
      </c>
      <c r="H40" s="1175">
        <f>NSG_Supplies!S11/1000</f>
        <v>36.24</v>
      </c>
      <c r="I40" s="1176">
        <f>NSG_Supplies!S12/1000</f>
        <v>36.24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6.6</v>
      </c>
      <c r="E42" s="902">
        <f>Weather_Input!D6</f>
        <v>6</v>
      </c>
      <c r="F42" s="902">
        <f>Weather_Input!D7</f>
        <v>12</v>
      </c>
      <c r="G42" s="903"/>
      <c r="H42" s="898"/>
      <c r="I42" s="898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10" zoomScale="75" workbookViewId="0">
      <selection activeCell="A19" sqref="A19"/>
    </sheetView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8" t="s">
        <v>172</v>
      </c>
      <c r="B1" s="589"/>
      <c r="C1" s="589"/>
      <c r="D1" s="589"/>
      <c r="E1" s="590" t="s">
        <v>173</v>
      </c>
      <c r="F1" s="591">
        <f>Weather_Input!A5</f>
        <v>36967</v>
      </c>
      <c r="G1" s="771" t="str">
        <f>CHOOSE(WEEKDAY(F1),"SUN","MON","TUE","WED","THU","FRI","SAT")</f>
        <v>SAT</v>
      </c>
      <c r="H1" s="593" t="s">
        <v>258</v>
      </c>
      <c r="I1" s="594"/>
    </row>
    <row r="2" spans="1:9" ht="15.75">
      <c r="A2" s="258" t="s">
        <v>11</v>
      </c>
      <c r="B2" s="610" t="s">
        <v>697</v>
      </c>
      <c r="C2" s="963">
        <v>27.8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75">
      <c r="A4" s="258" t="s">
        <v>11</v>
      </c>
      <c r="B4" s="964">
        <f>Weather_Input!B5</f>
        <v>37</v>
      </c>
      <c r="C4" s="965">
        <f>Weather_Input!C5</f>
        <v>23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75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75">
      <c r="A6" s="262" t="s">
        <v>424</v>
      </c>
      <c r="B6" s="1165" t="s">
        <v>11</v>
      </c>
      <c r="C6" s="968">
        <f>PGL_Deliveries!C5/1000</f>
        <v>946</v>
      </c>
      <c r="D6" s="1165" t="s">
        <v>11</v>
      </c>
      <c r="E6" s="269"/>
      <c r="F6" s="603"/>
      <c r="G6" s="269"/>
      <c r="H6" s="603"/>
      <c r="I6" s="267"/>
    </row>
    <row r="7" spans="1:9" ht="15.75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5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210.47499999999999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70.400000000000006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-251.44399999999999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153.91500000000002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238.672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0.41699999999999998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149.75399999999999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75" thickBot="1">
      <c r="A18" s="292" t="s">
        <v>573</v>
      </c>
      <c r="B18" s="616" t="s">
        <v>11</v>
      </c>
      <c r="C18" s="1138">
        <f>PGL_Requirements!G7/1000</f>
        <v>4.8810000000000002</v>
      </c>
      <c r="D18" s="602"/>
      <c r="E18" s="269"/>
      <c r="F18" s="603"/>
      <c r="G18" s="269"/>
      <c r="H18" s="603"/>
      <c r="I18" s="267"/>
    </row>
    <row r="19" spans="1:12" ht="16.5" thickBot="1">
      <c r="A19" s="617" t="s">
        <v>706</v>
      </c>
      <c r="B19" s="618" t="s">
        <v>11</v>
      </c>
      <c r="C19" s="512">
        <f>SUM(C9:C17)-C18</f>
        <v>567.30799999999999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5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378.69200000000001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5" thickBot="1">
      <c r="A24" s="494" t="s">
        <v>432</v>
      </c>
      <c r="B24" s="974" t="s">
        <v>11</v>
      </c>
      <c r="C24" s="975">
        <f>SUM(B54+B56+B57)</f>
        <v>3.7729499999999998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7.25" thickTop="1" thickBot="1">
      <c r="A25" s="638" t="s">
        <v>433</v>
      </c>
      <c r="B25" s="979" t="s">
        <v>11</v>
      </c>
      <c r="C25" s="980">
        <f>SUM(C22:C24)</f>
        <v>382.46494999999999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75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14.733000000000001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0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-378.49099999999999</v>
      </c>
      <c r="D29" s="987" t="s">
        <v>11</v>
      </c>
      <c r="E29" s="986">
        <f>-PGL_Supplies!AC7/1000</f>
        <v>-378.49099999999999</v>
      </c>
      <c r="F29" s="307"/>
      <c r="G29" s="986">
        <f>-PGL_Supplies!AC7/1000</f>
        <v>-378.49099999999999</v>
      </c>
      <c r="H29" s="515"/>
      <c r="I29" s="988">
        <f>-PGL_Supplies!AC7/1000</f>
        <v>-378.49099999999999</v>
      </c>
      <c r="L29" s="1104"/>
    </row>
    <row r="30" spans="1:12" ht="16.5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10.5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75" thickBot="1">
      <c r="A33" s="1135" t="s">
        <v>4</v>
      </c>
      <c r="B33" s="324">
        <f>PGL_Supplies!Y7/1000</f>
        <v>220.97499999999999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5" thickBot="1">
      <c r="A34" s="560" t="s">
        <v>448</v>
      </c>
      <c r="B34" s="1126">
        <f>+B33+B32-B31</f>
        <v>210.47499999999999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5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0.4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75" thickBot="1">
      <c r="A40" s="639" t="s">
        <v>704</v>
      </c>
      <c r="B40" s="324">
        <f>PGL_Supplies!Z7/1000</f>
        <v>70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5" thickBot="1">
      <c r="A41" s="560" t="s">
        <v>448</v>
      </c>
      <c r="B41" s="567">
        <f>B40+B37-B36-B38+B39</f>
        <v>70.400000000000006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5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153.61500000000001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75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5" thickBot="1">
      <c r="A46" s="425" t="s">
        <v>452</v>
      </c>
      <c r="B46" s="324">
        <f>PGL_Supplies!D7/1000</f>
        <v>0.3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5" thickBot="1">
      <c r="A47" s="560" t="s">
        <v>448</v>
      </c>
      <c r="B47" s="1001">
        <f>B43+B44-B45+B46</f>
        <v>153.91500000000002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5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251.53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75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5" thickBot="1">
      <c r="A52" s="425" t="s">
        <v>455</v>
      </c>
      <c r="B52" s="324">
        <f>PGL_Supplies!H7/1000</f>
        <v>0.83599999999999997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0.75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5" thickBot="1">
      <c r="A54" s="425" t="s">
        <v>749</v>
      </c>
      <c r="B54" s="324">
        <f>PGL_Requirements!Q7/1000</f>
        <v>3.7729499999999998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9" t="s">
        <v>457</v>
      </c>
      <c r="B55" s="520">
        <f>-B49+B50+B52+B56+B57-B53-B51</f>
        <v>-251.44399999999999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2</v>
      </c>
      <c r="I56" s="1008" t="s">
        <v>11</v>
      </c>
    </row>
    <row r="57" spans="1:9" ht="15.75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236.672</v>
      </c>
      <c r="I57" s="1008" t="s">
        <v>11</v>
      </c>
    </row>
    <row r="58" spans="1:9" ht="16.5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5" thickBot="1">
      <c r="A60" s="425" t="s">
        <v>460</v>
      </c>
      <c r="B60" s="388">
        <f>PGL_Requirements!F7/1000</f>
        <v>6.3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238.672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75" thickBot="1">
      <c r="A62" s="425" t="s">
        <v>109</v>
      </c>
      <c r="B62" s="1018">
        <f>PGL_Supplies!AD7/1000</f>
        <v>156.054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236.672</v>
      </c>
    </row>
    <row r="63" spans="1:9" ht="16.5" thickBot="1">
      <c r="A63" s="800" t="s">
        <v>565</v>
      </c>
      <c r="B63" s="1020">
        <f>+B62+B61-B60+B59</f>
        <v>149.75399999999999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75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788</v>
      </c>
      <c r="G64" s="434"/>
      <c r="H64" s="1118"/>
      <c r="I64" s="1012"/>
    </row>
    <row r="65" spans="1:9" ht="15.75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5" thickBot="1">
      <c r="A66" s="1191" t="s">
        <v>790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5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5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5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5" thickBot="1">
      <c r="A70" s="1190" t="s">
        <v>789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topLeftCell="A21" zoomScale="75" workbookViewId="0">
      <selection activeCell="A27" sqref="A27"/>
    </sheetView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SAT</v>
      </c>
      <c r="G1" s="1084">
        <f>Weather_Input!A5</f>
        <v>36967</v>
      </c>
      <c r="H1" s="590" t="s">
        <v>258</v>
      </c>
      <c r="I1" s="594"/>
    </row>
    <row r="2" spans="1:9" ht="20.25">
      <c r="A2" s="643" t="s">
        <v>11</v>
      </c>
      <c r="B2" s="794" t="s">
        <v>561</v>
      </c>
      <c r="C2" s="954">
        <v>27.8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0.25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37</v>
      </c>
      <c r="C4" s="759">
        <f>Weather_Input!C5</f>
        <v>23</v>
      </c>
      <c r="D4" s="653"/>
      <c r="E4" s="654"/>
      <c r="F4" s="653"/>
      <c r="G4" s="654"/>
      <c r="H4" s="655"/>
      <c r="I4" s="656"/>
    </row>
    <row r="5" spans="1:9" ht="24" thickBot="1">
      <c r="A5" s="657" t="s">
        <v>139</v>
      </c>
      <c r="B5" s="658"/>
      <c r="C5" s="659">
        <f>NSG_Deliveries!C5/1000</f>
        <v>153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4" thickBot="1">
      <c r="A7" s="667" t="s">
        <v>86</v>
      </c>
      <c r="B7" s="658"/>
      <c r="C7" s="764">
        <f>C5-C9-C11-C12</f>
        <v>75.97999999999999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16.920000000000002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3.25">
      <c r="A11" s="671" t="s">
        <v>503</v>
      </c>
      <c r="B11" s="672"/>
      <c r="C11" s="673">
        <f>B38</f>
        <v>60.1</v>
      </c>
      <c r="D11" s="674"/>
      <c r="E11" s="675"/>
      <c r="F11" s="674"/>
      <c r="G11" s="674" t="s">
        <v>11</v>
      </c>
      <c r="H11" s="676"/>
      <c r="I11" s="677"/>
    </row>
    <row r="12" spans="1:9" ht="23.25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4" thickBot="1">
      <c r="A19" s="704" t="s">
        <v>433</v>
      </c>
      <c r="B19" s="705"/>
      <c r="C19" s="706">
        <f>C7+C12</f>
        <v>75.97999999999999</v>
      </c>
      <c r="D19" s="707"/>
      <c r="E19" s="708"/>
      <c r="F19" s="707"/>
      <c r="G19" s="707" t="s">
        <v>11</v>
      </c>
      <c r="H19" s="705"/>
      <c r="I19" s="709"/>
    </row>
    <row r="20" spans="1:9" ht="20.25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25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25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25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10" t="s">
        <v>441</v>
      </c>
      <c r="B24" s="718"/>
      <c r="C24" s="712">
        <f>NSG_Requirements!H7/1000</f>
        <v>11.170999999999999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25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25">
      <c r="A26" s="710" t="s">
        <v>197</v>
      </c>
      <c r="B26" s="718"/>
      <c r="C26" s="712">
        <f>-NSG_Supplies!R7/1000</f>
        <v>-86.248999999999995</v>
      </c>
      <c r="D26" s="719"/>
      <c r="E26" s="712">
        <f>-NSG_Supplies!R7/1000</f>
        <v>-86.248999999999995</v>
      </c>
      <c r="F26" s="719"/>
      <c r="G26" s="712">
        <f>-NSG_Supplies!R7/1000</f>
        <v>-86.248999999999995</v>
      </c>
      <c r="H26" s="718"/>
      <c r="I26" s="777">
        <f>-NSG_Supplies!R7/1000</f>
        <v>-86.248999999999995</v>
      </c>
    </row>
    <row r="27" spans="1:9" ht="20.25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0.25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25">
      <c r="A31" s="785" t="s">
        <v>538</v>
      </c>
      <c r="B31" s="760">
        <f>NSG_Supplies!L7/1000+PGL_Requirements!V7/1000</f>
        <v>60</v>
      </c>
      <c r="C31" s="719"/>
      <c r="D31" s="737"/>
      <c r="E31" s="720"/>
      <c r="F31" s="644"/>
      <c r="G31" s="716"/>
      <c r="H31" s="716"/>
      <c r="I31" s="735"/>
    </row>
    <row r="32" spans="1:9" ht="20.25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25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25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25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25">
      <c r="A36" s="785" t="s">
        <v>522</v>
      </c>
      <c r="B36" s="762">
        <f>NSG_Supplies!B7/1000</f>
        <v>0.1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" thickBot="1">
      <c r="A38" s="742" t="s">
        <v>510</v>
      </c>
      <c r="B38" s="763">
        <f>-B30+B31+B32-B33-B34-B35+B36+B37</f>
        <v>60.1</v>
      </c>
      <c r="C38" s="644"/>
      <c r="D38" s="743"/>
      <c r="E38" s="744"/>
      <c r="F38" s="644"/>
      <c r="G38" s="716"/>
      <c r="H38" s="716"/>
      <c r="I38" s="735"/>
    </row>
    <row r="39" spans="1:9" ht="2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25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25">
      <c r="A41" s="710" t="s">
        <v>512</v>
      </c>
      <c r="B41" s="823">
        <f>NSG_Requirements!J7/1000</f>
        <v>3.08</v>
      </c>
      <c r="C41" s="719"/>
      <c r="D41" s="737"/>
      <c r="E41" s="720"/>
      <c r="F41" s="644"/>
      <c r="G41" s="716"/>
      <c r="H41" s="716"/>
      <c r="I41" s="735"/>
    </row>
    <row r="42" spans="1:9" ht="20.25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25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25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" thickBot="1">
      <c r="A46" s="742" t="s">
        <v>510</v>
      </c>
      <c r="B46" s="825">
        <f>B45+B42-B41</f>
        <v>16.920000000000002</v>
      </c>
      <c r="C46" s="750"/>
      <c r="D46" s="749"/>
      <c r="E46" s="751"/>
      <c r="F46" s="644"/>
      <c r="G46" s="716"/>
      <c r="H46" s="716"/>
      <c r="I46" s="735"/>
    </row>
    <row r="47" spans="1:9" ht="2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25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25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25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25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36967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37</v>
      </c>
      <c r="C5" s="266">
        <f>Weather_Input!C5</f>
        <v>23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946</v>
      </c>
      <c r="C8" s="274">
        <f>NSG_Deliveries!C5/1000</f>
        <v>153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70.400000000000006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482.91500000000002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0.41699999999999998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119.19899999999998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0.83599999999999997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4.8810000000000002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-668.88600000000008</v>
      </c>
      <c r="C18" s="289">
        <f>-I63</f>
        <v>-60.1</v>
      </c>
      <c r="D18" s="290" t="s">
        <v>11</v>
      </c>
      <c r="E18" s="289">
        <f>-I63</f>
        <v>-60.1</v>
      </c>
      <c r="F18" s="290" t="s">
        <v>11</v>
      </c>
      <c r="G18" s="289">
        <f>-I63</f>
        <v>-60.1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277.11399999999992</v>
      </c>
      <c r="C20" s="295">
        <f>C8+C18+C19</f>
        <v>92.9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3.7729499999999998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280.8869499999999</v>
      </c>
      <c r="C23" s="301">
        <f>C20</f>
        <v>92.9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0.75</v>
      </c>
      <c r="C27" s="310">
        <f>NSG_Requirements!P7/1000</f>
        <v>0</v>
      </c>
      <c r="D27" s="310">
        <f>PGL_Requirements!R7/1000</f>
        <v>0.75</v>
      </c>
      <c r="E27" s="310">
        <f>NSG_Requirements!P7/1000</f>
        <v>0</v>
      </c>
      <c r="F27" s="310">
        <f>PGL_Requirements!R7/1000</f>
        <v>0.75</v>
      </c>
      <c r="G27" s="310">
        <f>NSG_Requirements!P7/1000</f>
        <v>0</v>
      </c>
      <c r="H27" s="311">
        <f>+B27</f>
        <v>0.75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-378.49099999999999</v>
      </c>
      <c r="C32" s="315">
        <f>-NSG_Supplies!R7/1000</f>
        <v>-86.248999999999995</v>
      </c>
      <c r="D32" s="315">
        <f>B32</f>
        <v>-378.49099999999999</v>
      </c>
      <c r="E32" s="315">
        <f>C32</f>
        <v>-86.248999999999995</v>
      </c>
      <c r="F32" s="315">
        <f>B32</f>
        <v>-378.49099999999999</v>
      </c>
      <c r="G32" s="315">
        <f>C32</f>
        <v>-86.248999999999995</v>
      </c>
      <c r="H32" s="320">
        <f>B32</f>
        <v>-378.49099999999999</v>
      </c>
      <c r="I32" s="321">
        <f>C32</f>
        <v>-86.248999999999995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-36.24</v>
      </c>
      <c r="D33" s="315">
        <f>B33</f>
        <v>0</v>
      </c>
      <c r="E33" s="315">
        <f>C33</f>
        <v>-36.24</v>
      </c>
      <c r="F33" s="315">
        <f>B33</f>
        <v>0</v>
      </c>
      <c r="G33" s="315">
        <f>C33</f>
        <v>-36.24</v>
      </c>
      <c r="H33" s="320">
        <f>B33</f>
        <v>0</v>
      </c>
      <c r="I33" s="321">
        <f>C33</f>
        <v>-36.24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14.733000000000001</v>
      </c>
      <c r="C35" s="310">
        <f>NSG_Requirements!H7/1000</f>
        <v>11.170999999999999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251.53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0.83599999999999997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3.7729499999999998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3.7729499999999998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0.83599999999999997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339.8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153.61500000000001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10.5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482.91500000000002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0.1</v>
      </c>
    </row>
    <row r="57" spans="1:9" ht="17.100000000000001" customHeight="1">
      <c r="A57" s="332" t="s">
        <v>500</v>
      </c>
      <c r="B57" s="324">
        <f>PGL_Supplies!Z7/1000+PGL_Supplies!C7/1000-PGL_Requirements!C7/1000</f>
        <v>70.400000000000006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60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70.400000000000006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60.1</v>
      </c>
    </row>
    <row r="64" spans="1:9" ht="17.100000000000001" customHeight="1" thickBot="1">
      <c r="A64" s="425" t="s">
        <v>394</v>
      </c>
      <c r="B64" s="324">
        <f>PGL_Supplies!Y7/1000</f>
        <v>220.97499999999999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149.75399999999999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251.53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6.3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119.19899999999998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SAT</v>
      </c>
      <c r="H73" s="406">
        <f>Weather_Input!A5</f>
        <v>36967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75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75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5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5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84.733000000000004</v>
      </c>
      <c r="D97" s="603"/>
      <c r="E97" s="615">
        <f>+C97</f>
        <v>84.733000000000004</v>
      </c>
      <c r="F97" s="603"/>
      <c r="G97" s="615">
        <f>+C97</f>
        <v>84.733000000000004</v>
      </c>
      <c r="H97" s="603"/>
      <c r="I97" s="285">
        <f>+C97</f>
        <v>84.733000000000004</v>
      </c>
    </row>
    <row r="98" spans="1:9" ht="15">
      <c r="A98" s="494" t="s">
        <v>60</v>
      </c>
      <c r="B98" s="282" t="s">
        <v>11</v>
      </c>
      <c r="C98" s="624">
        <f>B149</f>
        <v>0.83599999999999997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-10006.585000000001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370.72899999999998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4.8810000000000002</v>
      </c>
      <c r="D103" s="621"/>
      <c r="E103" s="269"/>
      <c r="F103" s="603"/>
      <c r="G103" s="269"/>
      <c r="H103" s="603"/>
      <c r="I103" s="267"/>
    </row>
    <row r="104" spans="1:9" ht="15.75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5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5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-70</v>
      </c>
      <c r="C116" s="419">
        <f>-NSG_Supplies!W7/1000</f>
        <v>0</v>
      </c>
      <c r="D116" s="315">
        <f>-PGL_Supplies!Z7/1000</f>
        <v>-70</v>
      </c>
      <c r="E116" s="315">
        <f>-NSG_Supplies!W7/1000</f>
        <v>0</v>
      </c>
      <c r="F116" s="315">
        <f>-PGL_Supplies!Z7/1000</f>
        <v>-70</v>
      </c>
      <c r="G116" s="315">
        <f>-NSG_Supplies!W7/1000</f>
        <v>0</v>
      </c>
      <c r="H116" s="320">
        <f>-PGL_Supplies!Z7/1000</f>
        <v>-70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-153.61500000000001</v>
      </c>
      <c r="C117" s="315">
        <f>-NSG_Supplies!X7/1000</f>
        <v>0</v>
      </c>
      <c r="D117" s="315">
        <f>-PGL_Supplies!AA7/1000</f>
        <v>-153.61500000000001</v>
      </c>
      <c r="E117" s="315">
        <f>-NSG_Supplies!X7/1000</f>
        <v>0</v>
      </c>
      <c r="F117" s="315">
        <f>-PGL_Supplies!AA7/1000</f>
        <v>-153.61500000000001</v>
      </c>
      <c r="G117" s="315">
        <f>-NSG_Supplies!X7/1000</f>
        <v>0</v>
      </c>
      <c r="H117" s="320">
        <f>-PGL_Supplies!AA7/1000</f>
        <v>-153.61500000000001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-36.24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14.733000000000001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70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5" thickBot="1">
      <c r="A133" s="560" t="s">
        <v>448</v>
      </c>
      <c r="B133" s="567">
        <f>B126+B127+B130+B131+B132-B125-B128-B129</f>
        <v>84.733000000000004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5.75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10500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153.61500000000001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0.3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75" thickBot="1">
      <c r="A140" s="425" t="s">
        <v>394</v>
      </c>
      <c r="B140" s="324">
        <f>PGL_Supplies!V7/1000</f>
        <v>339.5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5" thickBot="1">
      <c r="A141" s="560" t="s">
        <v>448</v>
      </c>
      <c r="B141" s="562">
        <f>-B135+B136+B137-B138+B139+B140</f>
        <v>-10006.585000000001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5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251.53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75" thickBot="1">
      <c r="A146" s="425" t="s">
        <v>455</v>
      </c>
      <c r="B146" s="324">
        <f>PGL_Supplies!H7/1000</f>
        <v>0.83599999999999997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3.7729499999999998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5" thickBot="1">
      <c r="A149" s="519" t="s">
        <v>457</v>
      </c>
      <c r="B149" s="520">
        <f>B144+B146</f>
        <v>0.83599999999999997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75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5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6.3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5" thickBot="1">
      <c r="A159" s="425" t="s">
        <v>109</v>
      </c>
      <c r="B159" s="324">
        <f>PGL_Supplies!AD7/1000</f>
        <v>156.054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75" thickBot="1">
      <c r="A160" s="425" t="s">
        <v>394</v>
      </c>
      <c r="B160" s="612">
        <f>PGL_Supplies!Y7/1000</f>
        <v>220.97499999999999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5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5" thickBot="1">
      <c r="A162" s="399" t="s">
        <v>457</v>
      </c>
      <c r="B162" s="613">
        <f>B154+B156+B158+B159+B160-B153-B155-B157-B161</f>
        <v>370.72899999999998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.75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36968.462004398149</v>
      </c>
      <c r="F22" s="164" t="s">
        <v>272</v>
      </c>
      <c r="G22" s="191">
        <f ca="1">NOW()</f>
        <v>36968.462004398149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36968.462004398149</v>
      </c>
      <c r="F22" s="164" t="s">
        <v>272</v>
      </c>
      <c r="G22" s="191">
        <f ca="1">NOW()</f>
        <v>36968.462004398149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36967</v>
      </c>
      <c r="C5" s="15"/>
      <c r="D5" s="22" t="s">
        <v>290</v>
      </c>
      <c r="E5" s="23">
        <f>Weather_Input!B5</f>
        <v>37</v>
      </c>
      <c r="F5" s="24" t="s">
        <v>291</v>
      </c>
      <c r="G5" s="25">
        <f>Weather_Input!H5</f>
        <v>33</v>
      </c>
      <c r="H5" s="26" t="s">
        <v>292</v>
      </c>
      <c r="I5" s="27">
        <f ca="1">G5-(VLOOKUP(B5,DD_Normal_Data,CELL("Col",B6),FALSE))</f>
        <v>6</v>
      </c>
    </row>
    <row r="6" spans="1:109" ht="15">
      <c r="A6" s="18"/>
      <c r="B6" s="21"/>
      <c r="C6" s="15"/>
      <c r="D6" s="22" t="s">
        <v>176</v>
      </c>
      <c r="E6" s="23">
        <f>Weather_Input!C5</f>
        <v>23</v>
      </c>
      <c r="F6" s="24" t="s">
        <v>293</v>
      </c>
      <c r="G6" s="25">
        <f>Weather_Input!F5</f>
        <v>542</v>
      </c>
      <c r="H6" s="26" t="s">
        <v>294</v>
      </c>
      <c r="I6" s="27">
        <f ca="1">G6-(VLOOKUP(B5,DD_Normal_Data,CELL("Col",C7),FALSE))</f>
        <v>29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30.5</v>
      </c>
      <c r="F7" s="24" t="s">
        <v>296</v>
      </c>
      <c r="G7" s="25">
        <f>Weather_Input!G5</f>
        <v>5627</v>
      </c>
      <c r="H7" s="26" t="s">
        <v>296</v>
      </c>
      <c r="I7" s="123">
        <f ca="1">G7-(VLOOKUP(B5,DD_Normal_Data,CELL("Col",D4),FALSE))</f>
        <v>319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AT NIGHT, CLEAR AND COLD.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36968</v>
      </c>
      <c r="C10" s="15"/>
      <c r="D10" s="153" t="s">
        <v>290</v>
      </c>
      <c r="E10" s="23">
        <f>Weather_Input!B6</f>
        <v>44</v>
      </c>
      <c r="F10" s="24" t="s">
        <v>291</v>
      </c>
      <c r="G10" s="25">
        <f>IF(E12&lt;65,65-(Weather_Input!B6+Weather_Input!C6)/2,0)</f>
        <v>29.5</v>
      </c>
      <c r="H10" s="26" t="s">
        <v>292</v>
      </c>
      <c r="I10" s="27">
        <f ca="1">G10-(VLOOKUP(B10,DD_Normal_Data,CELL("Col",B11),FALSE))</f>
        <v>2.5</v>
      </c>
    </row>
    <row r="11" spans="1:109" ht="15">
      <c r="A11" s="18"/>
      <c r="B11" s="21"/>
      <c r="C11" s="15"/>
      <c r="D11" s="22" t="s">
        <v>176</v>
      </c>
      <c r="E11" s="23">
        <f>Weather_Input!C6</f>
        <v>27</v>
      </c>
      <c r="F11" s="24" t="s">
        <v>293</v>
      </c>
      <c r="G11" s="25">
        <f>IF(DAY(B10)=1,G10,G6+G10)</f>
        <v>571.5</v>
      </c>
      <c r="H11" s="30" t="s">
        <v>294</v>
      </c>
      <c r="I11" s="27">
        <f ca="1">G11-(VLOOKUP(B10,DD_Normal_Data,CELL("Col",C12),FALSE))</f>
        <v>31.5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35.5</v>
      </c>
      <c r="F12" s="24" t="s">
        <v>296</v>
      </c>
      <c r="G12" s="25">
        <f>IF(AND(DAY(B10)=1,MONTH(B10)=8),G10,G7+G10)</f>
        <v>5656.5</v>
      </c>
      <c r="H12" s="26" t="s">
        <v>296</v>
      </c>
      <c r="I12" s="27">
        <f ca="1">G12-(VLOOKUP(B10,DD_Normal_Data,CELL("Col",D9),FALSE))</f>
        <v>321.5</v>
      </c>
    </row>
    <row r="13" spans="1:109" ht="15">
      <c r="A13" s="18"/>
      <c r="B13" s="21"/>
      <c r="C13" s="15"/>
      <c r="D13" s="32" t="str">
        <f>IF(Weather_Input!I6=""," ",Weather_Input!I6)</f>
        <v xml:space="preserve">SUNNY. COOLER NEAR THE LAKE. WINDS BECOMING SOUTHEAST 5 TO 10 MPH.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AT NIGHT, CLEAR. LIGHT SOUTHEAST WINDS.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36969</v>
      </c>
      <c r="C15" s="15"/>
      <c r="D15" s="22" t="s">
        <v>290</v>
      </c>
      <c r="E15" s="23">
        <f>Weather_Input!B7</f>
        <v>47</v>
      </c>
      <c r="F15" s="24" t="s">
        <v>291</v>
      </c>
      <c r="G15" s="25">
        <f>IF(E17&lt;65,65-(Weather_Input!B7+Weather_Input!C7)/2,0)</f>
        <v>25.5</v>
      </c>
      <c r="H15" s="26" t="s">
        <v>292</v>
      </c>
      <c r="I15" s="27">
        <f ca="1">G15-(VLOOKUP(B15,DD_Normal_Data,CELL("Col",B16),FALSE))</f>
        <v>-0.5</v>
      </c>
    </row>
    <row r="16" spans="1:109" ht="15">
      <c r="A16" s="18"/>
      <c r="B16" s="20"/>
      <c r="C16" s="15"/>
      <c r="D16" s="22" t="s">
        <v>176</v>
      </c>
      <c r="E16" s="23">
        <f>Weather_Input!C7</f>
        <v>32</v>
      </c>
      <c r="F16" s="24" t="s">
        <v>293</v>
      </c>
      <c r="G16" s="25">
        <f>IF(DAY(B15)=1,G15,G11+G15)</f>
        <v>597</v>
      </c>
      <c r="H16" s="30" t="s">
        <v>294</v>
      </c>
      <c r="I16" s="27">
        <f ca="1">G16-(VLOOKUP(B15,DD_Normal_Data,CELL("Col",C17),FALSE))</f>
        <v>31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39.5</v>
      </c>
      <c r="F17" s="24" t="s">
        <v>296</v>
      </c>
      <c r="G17" s="25">
        <f>IF(AND(DAY(B15)=1,MONTH(B15)=8),G15,G12+G15)</f>
        <v>5682</v>
      </c>
      <c r="H17" s="26" t="s">
        <v>296</v>
      </c>
      <c r="I17" s="27">
        <f ca="1">G17-(VLOOKUP(B15,DD_Normal_Data,CELL("Col",D14),FALSE))</f>
        <v>321</v>
      </c>
    </row>
    <row r="18" spans="1:109" ht="15">
      <c r="A18" s="18"/>
      <c r="B18" s="20"/>
      <c r="C18" s="15"/>
      <c r="D18" s="32" t="str">
        <f>IF(Weather_Input!I7=""," ",Weather_Input!I7)</f>
        <v>INCREASING CLOUDINESS. AT NIGHT, MOSTLY CLOUDY.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36970</v>
      </c>
      <c r="C20" s="15"/>
      <c r="D20" s="22" t="s">
        <v>290</v>
      </c>
      <c r="E20" s="23">
        <f>Weather_Input!B8</f>
        <v>51</v>
      </c>
      <c r="F20" s="24" t="s">
        <v>291</v>
      </c>
      <c r="G20" s="25">
        <f>IF(E22&lt;65,65-(Weather_Input!B8+Weather_Input!C8)/2,0)</f>
        <v>22</v>
      </c>
      <c r="H20" s="26" t="s">
        <v>292</v>
      </c>
      <c r="I20" s="27">
        <f ca="1">G20-(VLOOKUP(B20,DD_Normal_Data,CELL("Col",B21),FALSE))</f>
        <v>-4</v>
      </c>
    </row>
    <row r="21" spans="1:109" ht="15">
      <c r="A21" s="18"/>
      <c r="B21" s="21"/>
      <c r="C21" s="15"/>
      <c r="D21" s="22" t="s">
        <v>176</v>
      </c>
      <c r="E21" s="23">
        <f>Weather_Input!C8</f>
        <v>35</v>
      </c>
      <c r="F21" s="24" t="s">
        <v>293</v>
      </c>
      <c r="G21" s="25">
        <f>IF(DAY(B20)=1,G20,G16+G20)</f>
        <v>619</v>
      </c>
      <c r="H21" s="30" t="s">
        <v>294</v>
      </c>
      <c r="I21" s="27">
        <f ca="1">G21-(VLOOKUP(B20,DD_Normal_Data,CELL("Col",C22),FALSE))</f>
        <v>27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43</v>
      </c>
      <c r="F22" s="24" t="s">
        <v>296</v>
      </c>
      <c r="G22" s="25">
        <f>IF(AND(DAY(B20)=1,MONTH(B20)=8),G20,G17+G20)</f>
        <v>5704</v>
      </c>
      <c r="H22" s="26" t="s">
        <v>296</v>
      </c>
      <c r="I22" s="27">
        <f ca="1">G22-(VLOOKUP(B20,DD_Normal_Data,CELL("Col",D19),FALSE))</f>
        <v>317</v>
      </c>
    </row>
    <row r="23" spans="1:109" ht="15">
      <c r="A23" s="18"/>
      <c r="B23" s="21"/>
      <c r="C23" s="15"/>
      <c r="D23" s="32" t="str">
        <f>IF(Weather_Input!I8=""," ",Weather_Input!I8)</f>
        <v>PARTLY SUNNY.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36971</v>
      </c>
      <c r="C25" s="15"/>
      <c r="D25" s="22" t="s">
        <v>290</v>
      </c>
      <c r="E25" s="23">
        <f>Weather_Input!B9</f>
        <v>49</v>
      </c>
      <c r="F25" s="24" t="s">
        <v>291</v>
      </c>
      <c r="G25" s="25">
        <f>IF(E27&lt;65,65-(Weather_Input!B9+Weather_Input!C9)/2,0)</f>
        <v>25</v>
      </c>
      <c r="H25" s="26" t="s">
        <v>292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176</v>
      </c>
      <c r="E26" s="23">
        <f>Weather_Input!C9</f>
        <v>31</v>
      </c>
      <c r="F26" s="24" t="s">
        <v>293</v>
      </c>
      <c r="G26" s="25">
        <f>IF(DAY(B25)=1,G25,G21+G25)</f>
        <v>644</v>
      </c>
      <c r="H26" s="30" t="s">
        <v>294</v>
      </c>
      <c r="I26" s="27">
        <f ca="1">G26-(VLOOKUP(B25,DD_Normal_Data,CELL("Col",C27),FALSE))</f>
        <v>26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40</v>
      </c>
      <c r="F27" s="24" t="s">
        <v>296</v>
      </c>
      <c r="G27" s="25">
        <f>IF(AND(DAY(B25)=1,MONTH(B25)=8),G25,G22+G25)</f>
        <v>5729</v>
      </c>
      <c r="H27" s="26" t="s">
        <v>296</v>
      </c>
      <c r="I27" s="27">
        <f ca="1">G27-(VLOOKUP(B25,DD_Normal_Data,CELL("Col",D24),FALSE))</f>
        <v>316</v>
      </c>
    </row>
    <row r="28" spans="1:109" ht="15">
      <c r="A28" s="18"/>
      <c r="B28" s="20"/>
      <c r="C28" s="15"/>
      <c r="D28" s="32" t="str">
        <f>IF(Weather_Input!I9=""," ",Weather_Input!I9)</f>
        <v xml:space="preserve">A CHANCE OF SHOWERS EARLY… THEN PARTLY SUNNY.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36972</v>
      </c>
      <c r="C30" s="15"/>
      <c r="D30" s="22" t="s">
        <v>290</v>
      </c>
      <c r="E30" s="23">
        <f>Weather_Input!B10</f>
        <v>45</v>
      </c>
      <c r="F30" s="24" t="s">
        <v>291</v>
      </c>
      <c r="G30" s="25">
        <f>IF(E32&lt;65,65-(Weather_Input!B10+Weather_Input!C10)/2,0)</f>
        <v>29</v>
      </c>
      <c r="H30" s="26" t="s">
        <v>292</v>
      </c>
      <c r="I30" s="27">
        <f ca="1">G30-(VLOOKUP(B30,DD_Normal_Data,CELL("Col",B31),FALSE))</f>
        <v>4</v>
      </c>
    </row>
    <row r="31" spans="1:109" ht="15">
      <c r="A31" s="15"/>
      <c r="B31" s="15"/>
      <c r="C31" s="15"/>
      <c r="D31" s="22" t="s">
        <v>176</v>
      </c>
      <c r="E31" s="23">
        <f>Weather_Input!C10</f>
        <v>27</v>
      </c>
      <c r="F31" s="24" t="s">
        <v>293</v>
      </c>
      <c r="G31" s="25">
        <f>IF(DAY(B30)=1,G30,G26+G30)</f>
        <v>673</v>
      </c>
      <c r="H31" s="30" t="s">
        <v>294</v>
      </c>
      <c r="I31" s="27">
        <f ca="1">G31-(VLOOKUP(B30,DD_Normal_Data,CELL("Col",C32),FALSE))</f>
        <v>30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36</v>
      </c>
      <c r="F32" s="24" t="s">
        <v>296</v>
      </c>
      <c r="G32" s="25">
        <f>IF(AND(DAY(B30)=1,MONTH(B30)=8),G30,G27+G30)</f>
        <v>5758</v>
      </c>
      <c r="H32" s="26" t="s">
        <v>296</v>
      </c>
      <c r="I32" s="27">
        <f ca="1">G32-(VLOOKUP(B30,DD_Normal_Data,CELL("Col",D29),FALSE))</f>
        <v>320</v>
      </c>
    </row>
    <row r="33" spans="1:9" ht="15">
      <c r="A33" s="15"/>
      <c r="B33" s="34"/>
      <c r="C33" s="15"/>
      <c r="D33" s="32" t="str">
        <f>IF(Weather_Input!I10=""," ",Weather_Input!I10)</f>
        <v>MOSTLY CLOUDY. A CHANCE OF RAIN OR SNOW LATE.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36967</v>
      </c>
      <c r="C36" s="91">
        <f>B10</f>
        <v>36968</v>
      </c>
      <c r="D36" s="91">
        <f>B15</f>
        <v>36969</v>
      </c>
      <c r="E36" s="91">
        <f xml:space="preserve">       B20</f>
        <v>36970</v>
      </c>
      <c r="F36" s="91">
        <f>B25</f>
        <v>36971</v>
      </c>
      <c r="G36" s="91">
        <f>B30</f>
        <v>36972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946</v>
      </c>
      <c r="C37" s="41">
        <f ca="1">(VLOOKUP(C36,PGL_Sendouts,(CELL("COL",PGL_Deliveries!C7))))/1000</f>
        <v>835</v>
      </c>
      <c r="D37" s="41">
        <f ca="1">(VLOOKUP(D36,PGL_Sendouts,(CELL("COL",PGL_Deliveries!C8))))/1000</f>
        <v>770</v>
      </c>
      <c r="E37" s="41">
        <f ca="1">(VLOOKUP(E36,PGL_Sendouts,(CELL("COL",PGL_Deliveries!C9))))/1000</f>
        <v>725</v>
      </c>
      <c r="F37" s="41">
        <f ca="1">(VLOOKUP(F36,PGL_Sendouts,(CELL("COL",PGL_Deliveries!C10))))/1000</f>
        <v>775</v>
      </c>
      <c r="G37" s="41">
        <f ca="1">(VLOOKUP(G36,PGL_Sendouts,(CELL("COL",PGL_Deliveries!C10))))/1000</f>
        <v>830</v>
      </c>
      <c r="H37" s="14"/>
      <c r="I37" s="15"/>
    </row>
    <row r="38" spans="1:9" ht="15">
      <c r="A38" s="15" t="s">
        <v>301</v>
      </c>
      <c r="B38" s="41">
        <f>PGL_6_Day_Report!D30</f>
        <v>1238.46695</v>
      </c>
      <c r="C38" s="41">
        <f>PGL_6_Day_Report!E30</f>
        <v>1135.0300000000002</v>
      </c>
      <c r="D38" s="41">
        <f>PGL_6_Day_Report!F30</f>
        <v>1024.3900000000001</v>
      </c>
      <c r="E38" s="41">
        <f>PGL_6_Day_Report!G30</f>
        <v>979.39</v>
      </c>
      <c r="F38" s="41">
        <f>PGL_6_Day_Report!H30</f>
        <v>1029.3900000000001</v>
      </c>
      <c r="G38" s="41">
        <f>PGL_6_Day_Report!I30</f>
        <v>1084.3900000000001</v>
      </c>
      <c r="H38" s="14"/>
      <c r="I38" s="15"/>
    </row>
    <row r="39" spans="1:9" ht="15">
      <c r="A39" s="42" t="s">
        <v>109</v>
      </c>
      <c r="B39" s="41">
        <f>SUM(PGL_Supplies!Z7:AE7)/1000</f>
        <v>994.83199999999999</v>
      </c>
      <c r="C39" s="41">
        <f>SUM(PGL_Supplies!Z8:AE8)/1000</f>
        <v>910.02300000000002</v>
      </c>
      <c r="D39" s="41">
        <f>SUM(PGL_Supplies!Z9:AE9)/1000</f>
        <v>852.23099999999999</v>
      </c>
      <c r="E39" s="41">
        <f>SUM(PGL_Supplies!Z10:AE10)/1000</f>
        <v>852.77800000000002</v>
      </c>
      <c r="F39" s="41">
        <f>SUM(PGL_Supplies!Z11:AE11)/1000</f>
        <v>852.77800000000002</v>
      </c>
      <c r="G39" s="41">
        <f>SUM(PGL_Supplies!Z12:AE12)/1000</f>
        <v>852.77800000000002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0.75</v>
      </c>
      <c r="C41" s="41">
        <f>SUM(PGL_Requirements!R7:U7)/1000</f>
        <v>0.75</v>
      </c>
      <c r="D41" s="41">
        <f>SUM(PGL_Requirements!R7:U7)/1000</f>
        <v>0.75</v>
      </c>
      <c r="E41" s="41">
        <f>SUM(PGL_Requirements!R7:U7)/1000</f>
        <v>0.75</v>
      </c>
      <c r="F41" s="41">
        <f>SUM(PGL_Requirements!R7:U7)/1000</f>
        <v>0.75</v>
      </c>
      <c r="G41" s="41">
        <f>SUM(PGL_Requirements!R7:U7)/1000</f>
        <v>0.75</v>
      </c>
      <c r="H41" s="14"/>
      <c r="I41" s="15"/>
    </row>
    <row r="42" spans="1:9" ht="15">
      <c r="A42" s="15" t="s">
        <v>132</v>
      </c>
      <c r="B42" s="41">
        <f>PGL_Supplies!V7/1000</f>
        <v>339.5</v>
      </c>
      <c r="C42" s="41">
        <f>PGL_Supplies!V8/1000</f>
        <v>339.5</v>
      </c>
      <c r="D42" s="41">
        <f>PGL_Supplies!V9/1000</f>
        <v>339.5</v>
      </c>
      <c r="E42" s="41">
        <f>PGL_Supplies!V10/1000</f>
        <v>339.5</v>
      </c>
      <c r="F42" s="41">
        <f>PGL_Supplies!V11/1000</f>
        <v>339.5</v>
      </c>
      <c r="G42" s="41">
        <f>PGL_Supplies!V12/1000</f>
        <v>339.5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36967</v>
      </c>
      <c r="C44" s="91">
        <f t="shared" si="0"/>
        <v>36968</v>
      </c>
      <c r="D44" s="91">
        <f t="shared" si="0"/>
        <v>36969</v>
      </c>
      <c r="E44" s="91">
        <f t="shared" si="0"/>
        <v>36970</v>
      </c>
      <c r="F44" s="91">
        <f t="shared" si="0"/>
        <v>36971</v>
      </c>
      <c r="G44" s="91">
        <f t="shared" si="0"/>
        <v>36972</v>
      </c>
      <c r="H44" s="14"/>
      <c r="I44" s="15"/>
    </row>
    <row r="45" spans="1:9" ht="15">
      <c r="A45" s="15" t="s">
        <v>56</v>
      </c>
      <c r="B45" s="41">
        <f ca="1">NSG_6_Day_Report!D6</f>
        <v>153</v>
      </c>
      <c r="C45" s="41">
        <f ca="1">NSG_6_Day_Report!E6</f>
        <v>130</v>
      </c>
      <c r="D45" s="41">
        <f ca="1">NSG_6_Day_Report!F6</f>
        <v>120</v>
      </c>
      <c r="E45" s="41">
        <f ca="1">NSG_6_Day_Report!G6</f>
        <v>110</v>
      </c>
      <c r="F45" s="41">
        <f ca="1">NSG_6_Day_Report!H6</f>
        <v>116</v>
      </c>
      <c r="G45" s="41">
        <f ca="1">NSG_6_Day_Report!I6</f>
        <v>124</v>
      </c>
      <c r="H45" s="14"/>
      <c r="I45" s="15"/>
    </row>
    <row r="46" spans="1:9" ht="15">
      <c r="A46" s="42" t="s">
        <v>301</v>
      </c>
      <c r="B46" s="41">
        <f ca="1">NSG_6_Day_Report!D19</f>
        <v>167.251</v>
      </c>
      <c r="C46" s="41">
        <f ca="1">NSG_6_Day_Report!E19</f>
        <v>146.25</v>
      </c>
      <c r="D46" s="41">
        <f ca="1">NSG_6_Day_Report!F19</f>
        <v>120</v>
      </c>
      <c r="E46" s="41">
        <f ca="1">NSG_6_Day_Report!G19</f>
        <v>110</v>
      </c>
      <c r="F46" s="41">
        <f ca="1">NSG_6_Day_Report!H19</f>
        <v>116</v>
      </c>
      <c r="G46" s="41">
        <f ca="1">NSG_6_Day_Report!I19</f>
        <v>124</v>
      </c>
      <c r="H46" s="14"/>
      <c r="I46" s="15"/>
    </row>
    <row r="47" spans="1:9" ht="15">
      <c r="A47" s="42" t="s">
        <v>109</v>
      </c>
      <c r="B47" s="41">
        <f>SUM(NSG_Supplies!P7:R7)/1000</f>
        <v>106.249</v>
      </c>
      <c r="C47" s="41">
        <f>SUM(NSG_Supplies!P8:R8)/1000</f>
        <v>106.249</v>
      </c>
      <c r="D47" s="41">
        <f>SUM(NSG_Supplies!P9:R9)/1000</f>
        <v>106.249</v>
      </c>
      <c r="E47" s="41">
        <f>SUM(NSG_Supplies!P10:R10)/1000</f>
        <v>106.249</v>
      </c>
      <c r="F47" s="41">
        <f>SUM(NSG_Supplies!P11:R11)/1000</f>
        <v>106.249</v>
      </c>
      <c r="G47" s="41">
        <f>SUM(NSG_Supplies!P12:R12)/1000</f>
        <v>106.249</v>
      </c>
      <c r="H47" s="14"/>
      <c r="I47" s="15"/>
    </row>
    <row r="48" spans="1:9" ht="15">
      <c r="A48" s="42" t="s">
        <v>302</v>
      </c>
      <c r="B48" s="41">
        <f>SUM(NSG_Supplies!I7:M7)/1000</f>
        <v>60</v>
      </c>
      <c r="C48" s="41">
        <f>SUM(NSG_Supplies!I8:M8)/1000</f>
        <v>40</v>
      </c>
      <c r="D48" s="41">
        <f>SUM(NSG_Supplies!I9:M9)/1000</f>
        <v>20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36.24</v>
      </c>
      <c r="C50" s="41">
        <f>NSG_Supplies!S8/1000</f>
        <v>36.24</v>
      </c>
      <c r="D50" s="41">
        <f>NSG_Supplies!S9/1000</f>
        <v>36.24</v>
      </c>
      <c r="E50" s="41">
        <f>NSG_Supplies!S10/1000</f>
        <v>36.24</v>
      </c>
      <c r="F50" s="41">
        <f>NSG_Supplies!S11/1000</f>
        <v>36.24</v>
      </c>
      <c r="G50" s="41">
        <f>NSG_Supplies!S12/1000</f>
        <v>36.24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36967</v>
      </c>
      <c r="C52" s="91">
        <f t="shared" si="1"/>
        <v>36968</v>
      </c>
      <c r="D52" s="91">
        <f t="shared" si="1"/>
        <v>36969</v>
      </c>
      <c r="E52" s="91">
        <f t="shared" si="1"/>
        <v>36970</v>
      </c>
      <c r="F52" s="91">
        <f t="shared" si="1"/>
        <v>36971</v>
      </c>
      <c r="G52" s="91">
        <f t="shared" si="1"/>
        <v>36972</v>
      </c>
      <c r="H52" s="14"/>
      <c r="I52" s="15"/>
    </row>
    <row r="53" spans="1:9" ht="15">
      <c r="A53" s="94" t="s">
        <v>305</v>
      </c>
      <c r="B53" s="41">
        <f>PGL_Requirements!P7/1000</f>
        <v>251.53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2"/>
    </row>
    <row r="3" spans="1:8" ht="15.75" thickBot="1">
      <c r="A3" s="98" t="s">
        <v>311</v>
      </c>
    </row>
    <row r="4" spans="1:8">
      <c r="A4" s="99"/>
      <c r="B4" s="1143" t="str">
        <f>Six_Day_Summary!A10</f>
        <v>Sunday</v>
      </c>
      <c r="C4" s="1144" t="str">
        <f>Six_Day_Summary!A15</f>
        <v>Monday</v>
      </c>
      <c r="D4" s="1144" t="str">
        <f>Six_Day_Summary!A20</f>
        <v>Tuesday</v>
      </c>
      <c r="E4" s="1144" t="str">
        <f>Six_Day_Summary!A25</f>
        <v>Wednesday</v>
      </c>
      <c r="F4" s="1145" t="str">
        <f>Six_Day_Summary!A30</f>
        <v>Thursday</v>
      </c>
      <c r="G4" s="100"/>
    </row>
    <row r="5" spans="1:8">
      <c r="A5" s="103" t="s">
        <v>312</v>
      </c>
      <c r="B5" s="1146">
        <f>Weather_Input!A6</f>
        <v>36968</v>
      </c>
      <c r="C5" s="1147">
        <f>Weather_Input!A7</f>
        <v>36969</v>
      </c>
      <c r="D5" s="1147">
        <f>Weather_Input!A8</f>
        <v>36970</v>
      </c>
      <c r="E5" s="1147">
        <f>Weather_Input!A9</f>
        <v>36971</v>
      </c>
      <c r="F5" s="1148">
        <f>Weather_Input!A10</f>
        <v>36972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297.89600000000002</v>
      </c>
      <c r="C6" s="1149">
        <f>PGL_Supplies!AC9/1000+PGL_Supplies!L9/1000-PGL_Requirements!O9/1000+C15-PGL_Requirements!T9/1000</f>
        <v>298.01900000000001</v>
      </c>
      <c r="D6" s="1149">
        <f>PGL_Supplies!AC10/1000+PGL_Supplies!L10/1000-PGL_Requirements!O10/1000+D15-PGL_Requirements!T10/1000</f>
        <v>298.56599999999997</v>
      </c>
      <c r="E6" s="1149">
        <f>PGL_Supplies!AC11/1000+PGL_Supplies!L11/1000-PGL_Requirements!O11/1000+E15-PGL_Requirements!T11/1000</f>
        <v>298.56599999999997</v>
      </c>
      <c r="F6" s="1150">
        <f>PGL_Supplies!AC12/1000+PGL_Supplies!L12/1000-PGL_Requirements!O12/1000+F15-PGL_Requirements!T12/1000</f>
        <v>298.56599999999997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75" thickBot="1">
      <c r="A17" s="102" t="s">
        <v>542</v>
      </c>
      <c r="B17" s="1156">
        <v>250</v>
      </c>
      <c r="C17" s="1157"/>
      <c r="D17" s="1157"/>
      <c r="E17" s="1157"/>
      <c r="F17" s="1158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Sunday</v>
      </c>
      <c r="C21" s="1159" t="str">
        <f t="shared" si="0"/>
        <v>Monday</v>
      </c>
      <c r="D21" s="1159" t="str">
        <f t="shared" si="0"/>
        <v>Tuesday</v>
      </c>
      <c r="E21" s="1159" t="str">
        <f t="shared" si="0"/>
        <v>Wednesday</v>
      </c>
      <c r="F21" s="1160" t="str">
        <f t="shared" si="0"/>
        <v>Thursday</v>
      </c>
      <c r="G21" s="100"/>
    </row>
    <row r="22" spans="1:7">
      <c r="A22" s="107" t="s">
        <v>312</v>
      </c>
      <c r="B22" s="1161">
        <f t="shared" si="0"/>
        <v>36968</v>
      </c>
      <c r="C22" s="1161">
        <f t="shared" si="0"/>
        <v>36969</v>
      </c>
      <c r="D22" s="1161">
        <f t="shared" si="0"/>
        <v>36970</v>
      </c>
      <c r="E22" s="1161">
        <f t="shared" si="0"/>
        <v>36971</v>
      </c>
      <c r="F22" s="1162">
        <f t="shared" si="0"/>
        <v>36972</v>
      </c>
      <c r="G22" s="100"/>
    </row>
    <row r="23" spans="1:7">
      <c r="A23" s="100" t="s">
        <v>313</v>
      </c>
      <c r="B23" s="1155">
        <f>NSG_Supplies!R8/1000+NSG_Supplies!F8/1000-NSG_Requirements!H8/1000</f>
        <v>69.998999999999995</v>
      </c>
      <c r="C23" s="1155">
        <f>NSG_Supplies!R9/1000+NSG_Supplies!F9/1000-NSG_Requirements!H9/1000</f>
        <v>86.248999999999995</v>
      </c>
      <c r="D23" s="1155">
        <f>NSG_Supplies!R10/1000+NSG_Supplies!F10/1000-NSG_Requirements!H10/1000</f>
        <v>86.248999999999995</v>
      </c>
      <c r="E23" s="1155">
        <f>NSG_Supplies!R12/1000+NSG_Supplies!F11/1000-NSG_Requirements!H11/1000</f>
        <v>86.248999999999995</v>
      </c>
      <c r="F23" s="1150">
        <f>NSG_Supplies!R12/1000+NSG_Supplies!F12/1000-NSG_Requirements!H12/1000</f>
        <v>86.248999999999995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75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1" t="s">
        <v>382</v>
      </c>
      <c r="C1" s="910">
        <f>Weather_Input!A6</f>
        <v>36968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787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40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40</v>
      </c>
      <c r="D10" s="438"/>
      <c r="E10" s="440">
        <f>AVERAGE(C10/24)</f>
        <v>1.6666666666666667</v>
      </c>
      <c r="F10" s="172" t="s">
        <v>450</v>
      </c>
      <c r="G10" s="154">
        <f>PGL_Supplies!AB8/1000</f>
        <v>236.672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221.005</v>
      </c>
      <c r="D11" s="790"/>
      <c r="E11" s="1132"/>
      <c r="F11" s="435" t="s">
        <v>379</v>
      </c>
      <c r="G11" s="447">
        <f>G8+G10</f>
        <v>236.672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221.005</v>
      </c>
      <c r="D14" s="438"/>
      <c r="E14" s="440">
        <f>AVERAGE(C14/24)</f>
        <v>9.2085416666666671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70</v>
      </c>
      <c r="D15" s="60"/>
      <c r="E15" s="161"/>
      <c r="F15" s="783" t="s">
        <v>564</v>
      </c>
      <c r="G15" s="447">
        <f>G8+G10</f>
        <v>236.672</v>
      </c>
      <c r="H15" s="438"/>
      <c r="I15" s="440">
        <f>AVERAGE(G15/24)</f>
        <v>9.8613333333333326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70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70</v>
      </c>
      <c r="D20" s="441" t="s">
        <v>11</v>
      </c>
      <c r="E20" s="440">
        <f>AVERAGE(C20/24)</f>
        <v>2.9166666666666665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153.61500000000001</v>
      </c>
      <c r="D21" s="154" t="s">
        <v>11</v>
      </c>
      <c r="E21" s="161"/>
      <c r="F21" s="172" t="s">
        <v>109</v>
      </c>
      <c r="G21" s="154">
        <f>PGL_Supplies!AD8/1000</f>
        <v>106.2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153.61500000000001</v>
      </c>
      <c r="D22" s="434"/>
      <c r="E22" s="436"/>
      <c r="F22" s="435" t="s">
        <v>379</v>
      </c>
      <c r="G22" s="447">
        <f>G21</f>
        <v>106.2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153.61500000000001</v>
      </c>
      <c r="D25" s="438"/>
      <c r="E25" s="440">
        <f>AVERAGE(C25/24)</f>
        <v>6.4006250000000007</v>
      </c>
      <c r="F25" s="552" t="s">
        <v>556</v>
      </c>
      <c r="G25" s="906">
        <f>G22+G23-H24+G20</f>
        <v>106.2</v>
      </c>
      <c r="H25" s="430"/>
      <c r="I25" s="907">
        <f>AVERAGE(G25/24)</f>
        <v>4.4249999999999998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RowHeight="11.25"/>
  <cols>
    <col min="1" max="1" width="8.6640625" style="1047" customWidth="1"/>
    <col min="2" max="2" width="8.109375" style="1047" customWidth="1"/>
    <col min="3" max="3" width="7.88671875" style="1047" customWidth="1"/>
    <col min="4" max="4" width="5.88671875" style="1047" customWidth="1"/>
    <col min="5" max="5" width="4.44140625" style="1047" customWidth="1"/>
    <col min="6" max="6" width="5.21875" style="1047" customWidth="1"/>
    <col min="7" max="7" width="9" style="1047" customWidth="1"/>
    <col min="8" max="11" width="8.88671875" style="1047"/>
    <col min="12" max="12" width="14.88671875" style="1047" customWidth="1"/>
    <col min="13" max="13" width="5.6640625" style="1047" customWidth="1"/>
    <col min="14" max="16384" width="8.88671875" style="1047"/>
  </cols>
  <sheetData>
    <row r="1" spans="1:22" ht="22.5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36968</v>
      </c>
      <c r="I1" s="933"/>
      <c r="J1" s="935"/>
      <c r="K1" s="935"/>
    </row>
    <row r="2" spans="1:22" ht="16.5" customHeight="1">
      <c r="A2" s="953" t="s">
        <v>688</v>
      </c>
      <c r="C2" s="1048">
        <v>318</v>
      </c>
      <c r="F2" s="1049">
        <v>285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5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5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130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5" customHeight="1">
      <c r="A11" s="955">
        <f>Billy_Sheet!C20</f>
        <v>70</v>
      </c>
      <c r="B11" s="1053"/>
      <c r="H11" s="955">
        <f>NSG_Supplies!U8/1000</f>
        <v>0</v>
      </c>
      <c r="K11" s="936" t="s">
        <v>693</v>
      </c>
      <c r="L11" s="961">
        <f>SUM(K4+K17+K19+H11+H9-L9)</f>
        <v>-1.0000000000047748E-3</v>
      </c>
      <c r="N11" s="936"/>
      <c r="O11" s="961"/>
      <c r="U11" s="935"/>
      <c r="V11" s="949"/>
    </row>
    <row r="12" spans="1:22" ht="14.45" customHeight="1">
      <c r="A12" s="933" t="s">
        <v>754</v>
      </c>
      <c r="H12" s="955"/>
      <c r="U12" s="935"/>
      <c r="V12" s="955"/>
    </row>
    <row r="13" spans="1:22" ht="14.45" customHeight="1">
      <c r="A13" s="1051">
        <f>PGL_Supplies!Y8/1000</f>
        <v>221.005</v>
      </c>
      <c r="H13" s="955"/>
      <c r="U13" s="935"/>
      <c r="V13" s="955"/>
    </row>
    <row r="14" spans="1:22" ht="14.45" customHeight="1">
      <c r="H14" s="955"/>
      <c r="U14" s="935"/>
      <c r="V14" s="955"/>
    </row>
    <row r="15" spans="1:22" ht="15.6" customHeight="1">
      <c r="B15" s="1047" t="s">
        <v>11</v>
      </c>
      <c r="C15" s="1054">
        <v>335</v>
      </c>
      <c r="F15" s="1054">
        <v>335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40</v>
      </c>
      <c r="N17" s="955"/>
    </row>
    <row r="18" spans="1:17" ht="15" customHeight="1">
      <c r="A18" s="941"/>
      <c r="C18" s="1054">
        <v>351</v>
      </c>
      <c r="D18" s="1056"/>
      <c r="E18" s="1056"/>
      <c r="F18" s="1049">
        <v>803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69.998999999999995</v>
      </c>
      <c r="N19" s="1059"/>
    </row>
    <row r="20" spans="1:17" ht="17.25" customHeight="1">
      <c r="A20" s="955">
        <f>Billy_Sheet!G15</f>
        <v>236.672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153.61500000000001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106.2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835</v>
      </c>
      <c r="L26" s="933" t="s">
        <v>692</v>
      </c>
      <c r="M26" s="955">
        <f>NSG_Deliveries!C6/1000</f>
        <v>130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541.49200000000008</v>
      </c>
      <c r="L28" s="936" t="s">
        <v>746</v>
      </c>
      <c r="M28" s="961">
        <f>SUM(J2+K17+K19+H11+H9-M26)</f>
        <v>-1.0000000000047748E-3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36967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297.89600000000002</v>
      </c>
    </row>
    <row r="30" spans="1:17" ht="10.5" customHeight="1">
      <c r="A30" s="938"/>
      <c r="B30" s="955"/>
      <c r="C30" s="936"/>
      <c r="D30" s="955"/>
      <c r="F30" s="1114">
        <f>PGL_Requirements!A8</f>
        <v>36968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4.3880000000001473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391</v>
      </c>
      <c r="F38" s="1054">
        <v>751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791.49200000000008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541.49200000000008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250</v>
      </c>
      <c r="C45" s="1067">
        <v>500</v>
      </c>
      <c r="D45" s="1068">
        <f>SUM(F2+F15)/2</f>
        <v>310</v>
      </c>
      <c r="E45" s="1069"/>
      <c r="F45" s="1070">
        <v>6.7000000000000004E-2</v>
      </c>
      <c r="G45" s="1071">
        <f>(C45-D45)*F45</f>
        <v>12.73</v>
      </c>
      <c r="H45" s="1071">
        <f>(D45-B45)*F45</f>
        <v>4.0200000000000005</v>
      </c>
      <c r="I45" s="955"/>
      <c r="J45" s="1072"/>
    </row>
    <row r="46" spans="1:11">
      <c r="A46" s="935" t="s">
        <v>673</v>
      </c>
      <c r="B46" s="1073">
        <v>700</v>
      </c>
      <c r="C46" s="1067">
        <v>800</v>
      </c>
      <c r="D46" s="1068">
        <f>SUM(F18+F38)/2</f>
        <v>777</v>
      </c>
      <c r="E46" s="1069"/>
      <c r="F46" s="1070">
        <v>0.13900000000000001</v>
      </c>
      <c r="G46" s="1071">
        <f>(C46-D46)*F46</f>
        <v>3.1970000000000001</v>
      </c>
      <c r="H46" s="1071">
        <f>(D46-B46)*F46</f>
        <v>10.703000000000001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326.5</v>
      </c>
      <c r="E47" s="1069"/>
      <c r="F47" s="1070">
        <v>0.14099999999999999</v>
      </c>
      <c r="G47" s="1071">
        <f>(C47-D47)*F47</f>
        <v>24.463499999999996</v>
      </c>
      <c r="H47" s="1071">
        <f>(D47-B47)*F47</f>
        <v>10.786499999999998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371</v>
      </c>
      <c r="E48" s="1069"/>
      <c r="F48" s="1070">
        <v>0.161</v>
      </c>
      <c r="G48" s="1071">
        <f>(C48-D48)*F48</f>
        <v>69.069000000000003</v>
      </c>
      <c r="H48" s="1071">
        <f>(D48-B48)*F48</f>
        <v>-4.6690000000000005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109.45949999999999</v>
      </c>
      <c r="H49" s="1071">
        <f>SUM(H45:H48)</f>
        <v>20.840500000000002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B5" sqref="B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36967</v>
      </c>
      <c r="B5" s="11">
        <v>37</v>
      </c>
      <c r="C5" s="49">
        <v>23</v>
      </c>
      <c r="D5" s="49">
        <v>6.6</v>
      </c>
      <c r="E5" s="11">
        <v>30.5</v>
      </c>
      <c r="F5" s="11">
        <v>542</v>
      </c>
      <c r="G5" s="11">
        <v>5627</v>
      </c>
      <c r="H5" s="11">
        <v>33</v>
      </c>
      <c r="I5" s="912" t="s">
        <v>794</v>
      </c>
      <c r="J5" s="912"/>
      <c r="K5" s="11">
        <v>3</v>
      </c>
      <c r="L5" s="11">
        <v>1</v>
      </c>
      <c r="N5" s="15" t="str">
        <f>I5&amp;" "&amp;I5</f>
        <v xml:space="preserve"> AT NIGHT, CLEAR AND COLD.   AT NIGHT, CLEAR AND COLD. </v>
      </c>
      <c r="AE5" s="15">
        <v>1</v>
      </c>
      <c r="AH5" s="15" t="s">
        <v>34</v>
      </c>
    </row>
    <row r="6" spans="1:34" ht="16.5" customHeight="1">
      <c r="A6" s="88">
        <f>A5+1</f>
        <v>36968</v>
      </c>
      <c r="B6" s="11">
        <v>44</v>
      </c>
      <c r="C6" s="49">
        <v>27</v>
      </c>
      <c r="D6" s="49">
        <v>6</v>
      </c>
      <c r="E6" s="11" t="s">
        <v>11</v>
      </c>
      <c r="F6" s="11" t="s">
        <v>11</v>
      </c>
      <c r="G6" s="11"/>
      <c r="H6" s="11" t="s">
        <v>11</v>
      </c>
      <c r="I6" s="912" t="s">
        <v>795</v>
      </c>
      <c r="J6" s="912" t="s">
        <v>796</v>
      </c>
      <c r="K6" s="11">
        <v>1</v>
      </c>
      <c r="L6" s="11" t="s">
        <v>634</v>
      </c>
      <c r="N6" s="15" t="str">
        <f>I6&amp;" "&amp;J6</f>
        <v>SUNNY. COOLER NEAR THE LAKE. WINDS BECOMING SOUTHEAST 5 TO 10 MPH.  AT NIGHT, CLEAR. LIGHT SOUTHEAST WINDS.</v>
      </c>
      <c r="AE6" s="15">
        <v>1</v>
      </c>
      <c r="AH6" s="15" t="s">
        <v>35</v>
      </c>
    </row>
    <row r="7" spans="1:34" ht="16.5" customHeight="1">
      <c r="A7" s="88">
        <f>A6+1</f>
        <v>36969</v>
      </c>
      <c r="B7" s="11">
        <v>47</v>
      </c>
      <c r="C7" s="49">
        <v>32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12" t="s">
        <v>797</v>
      </c>
      <c r="J7" s="912" t="s">
        <v>11</v>
      </c>
      <c r="K7" s="11">
        <v>2</v>
      </c>
      <c r="L7" s="11" t="s">
        <v>22</v>
      </c>
      <c r="N7" s="15" t="str">
        <f>I7&amp;" "&amp;J7</f>
        <v xml:space="preserve">INCREASING CLOUDINESS. AT NIGHT, MOSTLY CLOUDY.  </v>
      </c>
    </row>
    <row r="8" spans="1:34" ht="16.5" customHeight="1">
      <c r="A8" s="88">
        <f>A7+1</f>
        <v>36970</v>
      </c>
      <c r="B8" s="11">
        <v>51</v>
      </c>
      <c r="C8" s="49">
        <v>35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12" t="s">
        <v>793</v>
      </c>
      <c r="J8" s="912" t="s">
        <v>11</v>
      </c>
      <c r="K8" s="11">
        <v>3</v>
      </c>
      <c r="L8" s="11">
        <v>0</v>
      </c>
      <c r="N8" s="15" t="str">
        <f>I8&amp;" "&amp;J8</f>
        <v xml:space="preserve">PARTLY SUNNY.  </v>
      </c>
    </row>
    <row r="9" spans="1:34" ht="16.5" customHeight="1">
      <c r="A9" s="88">
        <f>A8+1</f>
        <v>36971</v>
      </c>
      <c r="B9" s="11">
        <v>49</v>
      </c>
      <c r="C9" s="49">
        <v>31</v>
      </c>
      <c r="D9" s="49">
        <v>12</v>
      </c>
      <c r="E9" s="11" t="s">
        <v>11</v>
      </c>
      <c r="F9" s="11" t="s">
        <v>11</v>
      </c>
      <c r="G9" s="11"/>
      <c r="H9" s="11" t="s">
        <v>11</v>
      </c>
      <c r="I9" s="912" t="s">
        <v>798</v>
      </c>
      <c r="J9" s="912" t="s">
        <v>11</v>
      </c>
      <c r="K9" s="11">
        <v>5</v>
      </c>
      <c r="L9" s="11">
        <v>0</v>
      </c>
      <c r="M9" s="89"/>
      <c r="N9" s="15" t="str">
        <f>I10&amp;" "&amp;J9</f>
        <v xml:space="preserve">MOSTLY CLOUDY. A CHANCE OF RAIN OR SNOW LATE.  </v>
      </c>
    </row>
    <row r="10" spans="1:34" ht="16.5" customHeight="1">
      <c r="A10" s="88">
        <f>A9+1</f>
        <v>36972</v>
      </c>
      <c r="B10" s="11">
        <v>45</v>
      </c>
      <c r="C10" s="49">
        <v>27</v>
      </c>
      <c r="D10" s="49">
        <v>14</v>
      </c>
      <c r="E10" s="11" t="s">
        <v>11</v>
      </c>
      <c r="F10" s="11" t="s">
        <v>11</v>
      </c>
      <c r="G10" s="11"/>
      <c r="H10" s="11" t="s">
        <v>11</v>
      </c>
      <c r="I10" s="912" t="s">
        <v>799</v>
      </c>
      <c r="J10" s="912" t="s">
        <v>11</v>
      </c>
      <c r="K10" s="11">
        <v>2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923.92399999999998</v>
      </c>
      <c r="C2" s="60"/>
      <c r="D2" s="121" t="s">
        <v>325</v>
      </c>
      <c r="E2" s="426">
        <f>Weather_Input!A5</f>
        <v>36967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268.12200000000001</v>
      </c>
      <c r="C5" s="64"/>
      <c r="D5" s="59" t="s">
        <v>582</v>
      </c>
      <c r="E5" s="154">
        <f>PGL_Deliveries!O5/1000</f>
        <v>6.0000000000000001E-3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295.83600000000001</v>
      </c>
      <c r="C6" s="169"/>
      <c r="D6" s="59" t="s">
        <v>583</v>
      </c>
      <c r="E6" s="154">
        <f>PGL_Deliveries!P5/1000</f>
        <v>0.68600000000000005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563.95800000000008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210.233</v>
      </c>
      <c r="C8" s="632"/>
      <c r="D8" s="117" t="s">
        <v>585</v>
      </c>
      <c r="E8" s="154">
        <f>PGL_Deliveries!N5/1000</f>
        <v>0.123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69.966999999999999</v>
      </c>
      <c r="C9" s="64"/>
      <c r="D9" s="117" t="s">
        <v>211</v>
      </c>
      <c r="E9" s="154">
        <f>PGL_Deliveries!Q5/1000</f>
        <v>0.27300000000000002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153.517</v>
      </c>
      <c r="C10" s="64"/>
      <c r="D10" s="117" t="s">
        <v>213</v>
      </c>
      <c r="E10" s="154">
        <f>PGL_Deliveries!S5/1000</f>
        <v>4.7030000000000003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0.41699999999999998</v>
      </c>
      <c r="C11" s="64"/>
      <c r="D11" s="117" t="s">
        <v>587</v>
      </c>
      <c r="E11" s="154">
        <f>PGL_Deliveries!R5/1000</f>
        <v>4.1219999999999999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1.2E-2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235.691</v>
      </c>
      <c r="C13" s="64"/>
      <c r="D13" s="117" t="s">
        <v>219</v>
      </c>
      <c r="E13" s="154">
        <f>PGL_Deliveries!F5/1000</f>
        <v>18.54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150.458</v>
      </c>
      <c r="C14" s="64"/>
      <c r="D14" s="117" t="s">
        <v>220</v>
      </c>
      <c r="E14" s="154">
        <f>PGL_Deliveries!H5/1000</f>
        <v>5.9459999999999997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-251.44399999999999</v>
      </c>
      <c r="C15" s="64"/>
      <c r="D15" s="59" t="s">
        <v>407</v>
      </c>
      <c r="E15" s="154">
        <f>PGL_Deliveries!K5/1000</f>
        <v>316.02100000000002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4.8810000000000002</v>
      </c>
      <c r="D16" s="117" t="s">
        <v>223</v>
      </c>
      <c r="E16" s="154">
        <f>PGL_Deliveries!L5/1000</f>
        <v>3.8849999999999998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5.649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6">
        <f>SUM(B8:B17)-C16</f>
        <v>563.95799999999997</v>
      </c>
      <c r="C18" s="169"/>
      <c r="D18" s="179" t="s">
        <v>592</v>
      </c>
      <c r="E18" s="178">
        <f>SUM(E5:E17)</f>
        <v>359.96600000000001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220.97499999999999</v>
      </c>
      <c r="C19" s="632"/>
      <c r="D19" s="117" t="s">
        <v>320</v>
      </c>
      <c r="E19" s="154">
        <f>PGL_Deliveries!AI5/1000</f>
        <v>1.9E-2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PGL_Deliveries!AW5/1000+B41</f>
        <v>3.7729499999999998</v>
      </c>
      <c r="F20" s="171"/>
      <c r="H20"/>
      <c r="I20"/>
      <c r="J20"/>
      <c r="K20"/>
      <c r="L20"/>
      <c r="M20"/>
    </row>
    <row r="21" spans="1:13" ht="16.5" thickBot="1">
      <c r="A21" s="172" t="s">
        <v>761</v>
      </c>
      <c r="C21" s="176">
        <f>PGL_Requirements!J7/1000</f>
        <v>10.5</v>
      </c>
      <c r="D21" s="631" t="s">
        <v>593</v>
      </c>
      <c r="E21" s="211">
        <f>SUM(E18:E20)</f>
        <v>363.75794999999999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210.47499999999999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70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153.61500000000001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156.054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14.733000000000001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150.458</v>
      </c>
      <c r="C34" s="64"/>
      <c r="D34" s="60" t="s">
        <v>197</v>
      </c>
      <c r="E34" s="154">
        <f>PGL_Supplies!AC7/1000</f>
        <v>378.49099999999999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251.53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0.83599999999999997</v>
      </c>
      <c r="C40" s="64"/>
      <c r="D40" s="212" t="s">
        <v>224</v>
      </c>
      <c r="E40" s="211">
        <f>SUM(E22:E37)-SUM(F23:F39)-E33</f>
        <v>363.75799999999998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9">
        <f>PGL_Supplies!AB7/1000</f>
        <v>236.672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3.7729499999999998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751</v>
      </c>
      <c r="B44" s="210" t="s">
        <v>11</v>
      </c>
      <c r="C44" s="226">
        <f>PGL_Requirements!R7/1000</f>
        <v>0.75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37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23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>
        <f>Weather_Input!E5</f>
        <v>30.5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6.6</v>
      </c>
      <c r="C48" s="162"/>
      <c r="D48" s="251" t="s">
        <v>245</v>
      </c>
      <c r="E48" s="154">
        <f>PGL_Deliveries!AI5/1000</f>
        <v>1.9E-2</v>
      </c>
      <c r="F48" s="161"/>
    </row>
    <row r="49" spans="1:6" ht="15">
      <c r="A49" s="172" t="s">
        <v>624</v>
      </c>
      <c r="B49" s="154">
        <f>PGL_Deliveries!AM5/1000</f>
        <v>1.0229999999999999</v>
      </c>
      <c r="C49" s="162"/>
      <c r="D49" s="60" t="s">
        <v>625</v>
      </c>
      <c r="E49" s="154">
        <f>PGL_Deliveries!AJ5/1000</f>
        <v>0.41699999999999998</v>
      </c>
      <c r="F49" s="161"/>
    </row>
    <row r="50" spans="1:6" ht="15.75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0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7" t="s">
        <v>5</v>
      </c>
      <c r="B3" s="244">
        <f>NSG_Deliveries!H5/1000</f>
        <v>151.273</v>
      </c>
      <c r="C3" s="120"/>
      <c r="D3" s="230" t="s">
        <v>325</v>
      </c>
      <c r="E3" s="429">
        <f>Weather_Input!A5</f>
        <v>36967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75.078000000000003</v>
      </c>
      <c r="C5" s="146"/>
      <c r="D5" s="222" t="s">
        <v>327</v>
      </c>
      <c r="E5" s="217">
        <f>NSG_Deliveries!D5/1000</f>
        <v>59.274999999999999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75.078000000000003</v>
      </c>
      <c r="C8" s="161"/>
      <c r="D8" s="821" t="s">
        <v>649</v>
      </c>
      <c r="E8" s="815">
        <f>NSG_Deliveries!F5/1000</f>
        <v>16.920000000000002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3.08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0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86.248999999999995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11.170999999999999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60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75.078000000000003</v>
      </c>
      <c r="C27" s="148"/>
      <c r="D27" s="241" t="s">
        <v>355</v>
      </c>
      <c r="E27" s="221">
        <f>SUM(E18:E26)-SUM(F18:F26)</f>
        <v>60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36967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36966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266668</v>
      </c>
      <c r="O6" s="204">
        <v>0</v>
      </c>
      <c r="P6" s="204">
        <v>36669327</v>
      </c>
      <c r="Q6" s="204">
        <v>15045098</v>
      </c>
      <c r="R6" s="204">
        <v>21624229</v>
      </c>
      <c r="S6" s="204">
        <v>0</v>
      </c>
    </row>
    <row r="7" spans="1:19">
      <c r="A7" s="4">
        <f>B1</f>
        <v>36967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226571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36895898</v>
      </c>
      <c r="Q7">
        <f>IF(O7&gt;0,Q6+O7,Q6)</f>
        <v>15045098</v>
      </c>
      <c r="R7">
        <f>IF(P7&gt;Q7,P7-Q7,0)</f>
        <v>21850800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C5" sqref="C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36967</v>
      </c>
      <c r="B5" s="1">
        <f>(Weather_Input!B5+Weather_Input!C5)/2</f>
        <v>30</v>
      </c>
      <c r="C5" s="913">
        <v>946000</v>
      </c>
      <c r="D5" s="914">
        <v>268122</v>
      </c>
      <c r="E5" s="914">
        <v>0</v>
      </c>
      <c r="F5" s="914">
        <v>18540</v>
      </c>
      <c r="G5" s="914">
        <v>12</v>
      </c>
      <c r="H5" s="914">
        <v>5946</v>
      </c>
      <c r="I5" s="914">
        <v>295836</v>
      </c>
      <c r="J5" s="914">
        <v>0</v>
      </c>
      <c r="K5" s="914">
        <v>316021</v>
      </c>
      <c r="L5" s="914">
        <v>3885</v>
      </c>
      <c r="M5" s="914">
        <v>5649</v>
      </c>
      <c r="N5" s="914">
        <v>123</v>
      </c>
      <c r="O5" s="914">
        <v>6</v>
      </c>
      <c r="P5" s="914">
        <v>686</v>
      </c>
      <c r="Q5" s="914">
        <v>273</v>
      </c>
      <c r="R5" s="914">
        <v>4122</v>
      </c>
      <c r="S5" s="919">
        <v>4703</v>
      </c>
      <c r="T5" s="1163">
        <v>0</v>
      </c>
      <c r="U5" s="913">
        <f>SUM(D5:S5)-T5</f>
        <v>923924</v>
      </c>
      <c r="V5" s="913">
        <v>210233</v>
      </c>
      <c r="W5" s="11">
        <v>69967</v>
      </c>
      <c r="X5" s="11">
        <v>153517</v>
      </c>
      <c r="Y5" s="11">
        <v>0</v>
      </c>
      <c r="Z5" s="11">
        <v>235691</v>
      </c>
      <c r="AA5" s="11">
        <v>0</v>
      </c>
      <c r="AB5" s="11">
        <v>0</v>
      </c>
      <c r="AC5" s="11">
        <v>0</v>
      </c>
      <c r="AD5" s="11">
        <v>150458</v>
      </c>
      <c r="AE5" s="11">
        <v>0</v>
      </c>
      <c r="AF5" s="11">
        <v>0</v>
      </c>
      <c r="AG5" s="11">
        <v>0</v>
      </c>
      <c r="AH5" s="11">
        <v>0</v>
      </c>
      <c r="AI5" s="11">
        <v>19</v>
      </c>
      <c r="AJ5" s="11">
        <v>417</v>
      </c>
      <c r="AK5" s="11">
        <v>0</v>
      </c>
      <c r="AL5" s="11">
        <v>0</v>
      </c>
      <c r="AM5" s="1">
        <v>1023</v>
      </c>
      <c r="AN5" s="1"/>
      <c r="AO5" s="1">
        <v>4881</v>
      </c>
      <c r="AP5" s="1">
        <v>0</v>
      </c>
      <c r="AQ5" s="1">
        <v>14733</v>
      </c>
      <c r="AR5" s="1">
        <v>0</v>
      </c>
      <c r="AS5" s="1">
        <v>0</v>
      </c>
      <c r="AT5" s="1">
        <v>836</v>
      </c>
      <c r="AU5" s="1">
        <v>251530</v>
      </c>
      <c r="AV5" s="1">
        <v>750</v>
      </c>
      <c r="AW5" s="628">
        <f>AU5*0.015</f>
        <v>3772.95</v>
      </c>
      <c r="AX5" s="1">
        <v>0</v>
      </c>
      <c r="AY5" s="1"/>
      <c r="AZ5" s="1">
        <v>12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36968</v>
      </c>
      <c r="B6" s="1">
        <f>(Weather_Input!B6+Weather_Input!C6)/2</f>
        <v>35.5</v>
      </c>
      <c r="C6" s="913">
        <v>835000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36969</v>
      </c>
      <c r="B7" s="932">
        <f>(Weather_Input!B7+Weather_Input!C7)/2</f>
        <v>39.5</v>
      </c>
      <c r="C7" s="913">
        <v>770000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36970</v>
      </c>
      <c r="B8" s="932">
        <f>(Weather_Input!B8+Weather_Input!C8)/2</f>
        <v>43</v>
      </c>
      <c r="C8" s="913">
        <v>725000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36971</v>
      </c>
      <c r="B9" s="932">
        <f>(Weather_Input!B9+Weather_Input!C9)/2</f>
        <v>40</v>
      </c>
      <c r="C9" s="913">
        <v>775000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36972</v>
      </c>
      <c r="B10" s="932">
        <f>(Weather_Input!B10+Weather_Input!C10)/2</f>
        <v>36</v>
      </c>
      <c r="C10" s="913">
        <v>830000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E1" zoomScale="75" workbookViewId="0">
      <selection activeCell="M5" sqref="M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36967</v>
      </c>
      <c r="B5" s="1">
        <f>(Weather_Input!B5+Weather_Input!C5)/2</f>
        <v>30</v>
      </c>
      <c r="C5" s="913">
        <v>153000</v>
      </c>
      <c r="D5" s="913">
        <v>59275</v>
      </c>
      <c r="E5" s="913">
        <v>75078</v>
      </c>
      <c r="F5" s="913">
        <v>16920</v>
      </c>
      <c r="G5" s="913">
        <v>0</v>
      </c>
      <c r="H5" s="921">
        <f>SUM(D5:G5)</f>
        <v>151273</v>
      </c>
      <c r="I5" s="1">
        <v>1019</v>
      </c>
      <c r="J5" s="1" t="s">
        <v>11</v>
      </c>
      <c r="K5" s="1">
        <v>11171</v>
      </c>
      <c r="L5" s="1">
        <v>0</v>
      </c>
      <c r="M5" s="1">
        <v>3080</v>
      </c>
      <c r="N5" s="1">
        <v>0</v>
      </c>
    </row>
    <row r="6" spans="1:14">
      <c r="A6" s="12">
        <f>A5+1</f>
        <v>36968</v>
      </c>
      <c r="B6" s="1">
        <f>(Weather_Input!B6+Weather_Input!C6)/2</f>
        <v>35.5</v>
      </c>
      <c r="C6" s="913">
        <v>130000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36969</v>
      </c>
      <c r="B7" s="932">
        <f>(Weather_Input!B7+Weather_Input!C7)/2</f>
        <v>39.5</v>
      </c>
      <c r="C7" s="913">
        <v>120000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36970</v>
      </c>
      <c r="B8" s="932">
        <f>(Weather_Input!B8+Weather_Input!C8)/2</f>
        <v>43</v>
      </c>
      <c r="C8" s="913">
        <v>110000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36971</v>
      </c>
      <c r="B9" s="932">
        <f>(Weather_Input!B9+Weather_Input!C9)/2</f>
        <v>40</v>
      </c>
      <c r="C9" s="913">
        <v>116000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36972</v>
      </c>
      <c r="B10" s="932">
        <f>(Weather_Input!B10+Weather_Input!C10)/2</f>
        <v>36</v>
      </c>
      <c r="C10" s="913">
        <v>124000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H7" sqref="H7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4">
        <f>Weather_Input!A5</f>
        <v>36967</v>
      </c>
      <c r="B7" s="922">
        <v>0</v>
      </c>
      <c r="C7" s="923">
        <v>0</v>
      </c>
      <c r="D7" s="626">
        <v>0</v>
      </c>
      <c r="E7" s="626">
        <v>0</v>
      </c>
      <c r="F7" s="922">
        <v>6300</v>
      </c>
      <c r="G7" s="922">
        <v>4881</v>
      </c>
      <c r="H7" s="924">
        <v>0</v>
      </c>
      <c r="I7" s="625">
        <v>0</v>
      </c>
      <c r="J7" s="625">
        <v>10500</v>
      </c>
      <c r="K7" s="626">
        <v>0</v>
      </c>
      <c r="L7" s="625">
        <v>0</v>
      </c>
      <c r="M7" s="626">
        <v>0</v>
      </c>
      <c r="N7" s="626">
        <v>0</v>
      </c>
      <c r="O7" s="627">
        <v>14733</v>
      </c>
      <c r="P7" s="626">
        <v>251530</v>
      </c>
      <c r="Q7" s="628">
        <f t="shared" ref="Q7:Q12" si="0">P7*0.015</f>
        <v>3772.95</v>
      </c>
      <c r="R7" s="626">
        <v>750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36967</v>
      </c>
    </row>
    <row r="8" spans="1:89" s="1" customFormat="1" ht="12.75">
      <c r="A8" s="834">
        <f>A7+1</f>
        <v>36968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45640</v>
      </c>
      <c r="P8" s="626">
        <v>250000</v>
      </c>
      <c r="Q8" s="628">
        <f t="shared" si="0"/>
        <v>3750</v>
      </c>
      <c r="R8" s="626">
        <v>640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36968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2.75">
      <c r="A9" s="834">
        <f>A8+1</f>
        <v>36969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640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36969</v>
      </c>
      <c r="AN9" s="625"/>
    </row>
    <row r="10" spans="1:89" s="1" customFormat="1" ht="12.75">
      <c r="A10" s="834">
        <f>A9+1</f>
        <v>36970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640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36970</v>
      </c>
    </row>
    <row r="11" spans="1:89" s="1" customFormat="1" ht="12.75">
      <c r="A11" s="834">
        <f>A10+1</f>
        <v>36971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640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36971</v>
      </c>
    </row>
    <row r="12" spans="1:89" s="1" customFormat="1" ht="12.75">
      <c r="A12" s="834">
        <f>A11+1</f>
        <v>36972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640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36972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B1" zoomScale="75" workbookViewId="0">
      <selection activeCell="B7" sqref="B7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36967</v>
      </c>
      <c r="B7" s="628">
        <v>0</v>
      </c>
      <c r="C7" s="629">
        <v>400</v>
      </c>
      <c r="D7" s="628">
        <v>300</v>
      </c>
      <c r="E7" s="628">
        <v>2000</v>
      </c>
      <c r="F7" s="628">
        <v>0</v>
      </c>
      <c r="G7" s="922">
        <v>0</v>
      </c>
      <c r="H7" s="626">
        <v>836</v>
      </c>
      <c r="I7" s="626">
        <v>417</v>
      </c>
      <c r="J7" s="626">
        <v>0</v>
      </c>
      <c r="K7" s="925">
        <v>0</v>
      </c>
      <c r="L7" s="627">
        <v>0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339500</v>
      </c>
      <c r="W7" s="627">
        <v>0</v>
      </c>
      <c r="X7" s="625">
        <v>0</v>
      </c>
      <c r="Y7" s="925">
        <v>220975</v>
      </c>
      <c r="Z7" s="627">
        <v>70000</v>
      </c>
      <c r="AA7" s="1">
        <v>153615</v>
      </c>
      <c r="AB7" s="625">
        <v>236672</v>
      </c>
      <c r="AC7" s="625">
        <v>378491</v>
      </c>
      <c r="AD7" s="625">
        <v>156054</v>
      </c>
      <c r="AE7" s="925">
        <v>0</v>
      </c>
      <c r="AF7" s="51">
        <f>Weather_Input!A5</f>
        <v>36967</v>
      </c>
      <c r="AI7" s="625"/>
      <c r="AJ7" s="625"/>
      <c r="AK7" s="625"/>
    </row>
    <row r="8" spans="1:37">
      <c r="A8" s="834">
        <f>A7+1</f>
        <v>36968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339500</v>
      </c>
      <c r="W8" s="627">
        <v>0</v>
      </c>
      <c r="X8" s="625">
        <v>0</v>
      </c>
      <c r="Y8" s="925">
        <v>221005</v>
      </c>
      <c r="Z8" s="627">
        <v>70000</v>
      </c>
      <c r="AA8" s="1">
        <v>153615</v>
      </c>
      <c r="AB8" s="625">
        <v>236672</v>
      </c>
      <c r="AC8" s="625">
        <v>343536</v>
      </c>
      <c r="AD8" s="625">
        <v>106200</v>
      </c>
      <c r="AE8" s="925">
        <v>0</v>
      </c>
      <c r="AF8" s="834">
        <f>AF7+1</f>
        <v>36968</v>
      </c>
      <c r="AI8" s="625"/>
      <c r="AJ8" s="625"/>
      <c r="AK8" s="625"/>
    </row>
    <row r="9" spans="1:37" s="625" customFormat="1">
      <c r="A9" s="834">
        <f>A8+1</f>
        <v>36969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339500</v>
      </c>
      <c r="W9" s="627">
        <v>0</v>
      </c>
      <c r="X9" s="625">
        <v>0</v>
      </c>
      <c r="Y9" s="925">
        <v>233460</v>
      </c>
      <c r="Z9" s="627">
        <v>70000</v>
      </c>
      <c r="AA9" s="1">
        <v>153615</v>
      </c>
      <c r="AB9" s="625">
        <v>224397</v>
      </c>
      <c r="AC9" s="625">
        <v>298019</v>
      </c>
      <c r="AD9" s="625">
        <v>106200</v>
      </c>
      <c r="AE9" s="925">
        <v>0</v>
      </c>
      <c r="AF9" s="834">
        <f>AF8+1</f>
        <v>36969</v>
      </c>
    </row>
    <row r="10" spans="1:37">
      <c r="A10" s="834">
        <f>A9+1</f>
        <v>36970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339500</v>
      </c>
      <c r="W10" s="627">
        <v>0</v>
      </c>
      <c r="X10" s="625">
        <v>0</v>
      </c>
      <c r="Y10" s="925">
        <v>223250</v>
      </c>
      <c r="Z10" s="627">
        <v>70000</v>
      </c>
      <c r="AA10" s="1">
        <v>153615</v>
      </c>
      <c r="AB10" s="625">
        <v>224397</v>
      </c>
      <c r="AC10" s="625">
        <v>298566</v>
      </c>
      <c r="AD10" s="625">
        <v>106200</v>
      </c>
      <c r="AE10" s="925">
        <v>0</v>
      </c>
      <c r="AF10" s="834">
        <f>AF9+1</f>
        <v>36970</v>
      </c>
      <c r="AI10" s="625"/>
      <c r="AJ10" s="625"/>
      <c r="AK10" s="625"/>
    </row>
    <row r="11" spans="1:37">
      <c r="A11" s="834">
        <f>A10+1</f>
        <v>36971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339500</v>
      </c>
      <c r="W11" s="627">
        <v>0</v>
      </c>
      <c r="X11" s="625">
        <v>0</v>
      </c>
      <c r="Y11" s="925">
        <v>223250</v>
      </c>
      <c r="Z11" s="627">
        <v>70000</v>
      </c>
      <c r="AA11" s="1">
        <v>153615</v>
      </c>
      <c r="AB11" s="625">
        <v>224397</v>
      </c>
      <c r="AC11" s="625">
        <v>298566</v>
      </c>
      <c r="AD11" s="625">
        <v>106200</v>
      </c>
      <c r="AE11" s="925">
        <v>0</v>
      </c>
      <c r="AF11" s="834">
        <f>AF10+1</f>
        <v>36971</v>
      </c>
    </row>
    <row r="12" spans="1:37">
      <c r="A12" s="834">
        <f>A11+1</f>
        <v>36972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339500</v>
      </c>
      <c r="W12" s="627">
        <v>0</v>
      </c>
      <c r="X12" s="625">
        <v>0</v>
      </c>
      <c r="Y12" s="925">
        <v>223250</v>
      </c>
      <c r="Z12" s="627">
        <v>70000</v>
      </c>
      <c r="AA12" s="1">
        <v>153615</v>
      </c>
      <c r="AB12" s="625">
        <v>224397</v>
      </c>
      <c r="AC12" s="625">
        <v>298566</v>
      </c>
      <c r="AD12" s="625">
        <v>106200</v>
      </c>
      <c r="AE12" s="925">
        <v>0</v>
      </c>
      <c r="AF12" s="834">
        <f>AF11+1</f>
        <v>36972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K7" sqref="K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5">
        <f>Weather_Input!A5</f>
        <v>36967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11171</v>
      </c>
      <c r="I7" s="923">
        <v>7197</v>
      </c>
      <c r="J7" s="923">
        <v>3080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36967</v>
      </c>
      <c r="AG7" s="625"/>
      <c r="AH7" s="625"/>
      <c r="AI7" s="625"/>
      <c r="AJ7" s="625"/>
      <c r="AK7" s="625"/>
    </row>
    <row r="8" spans="1:128" s="1" customFormat="1" ht="12.75">
      <c r="A8" s="835">
        <f>Weather_Input!A6</f>
        <v>36968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16250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36968</v>
      </c>
      <c r="AG8" s="625"/>
      <c r="AH8" s="625"/>
      <c r="AI8" s="625"/>
      <c r="AJ8" s="625"/>
      <c r="AK8" s="625"/>
    </row>
    <row r="9" spans="1:128" s="1" customFormat="1" ht="12.75">
      <c r="A9" s="834">
        <f>A8+1</f>
        <v>36969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36969</v>
      </c>
      <c r="AG9" s="625"/>
      <c r="AH9" s="625"/>
      <c r="AI9" s="625"/>
      <c r="AJ9" s="625"/>
      <c r="AK9" s="625"/>
    </row>
    <row r="10" spans="1:128" s="1" customFormat="1" ht="12.75">
      <c r="A10" s="834">
        <f>A9+1</f>
        <v>36970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36970</v>
      </c>
      <c r="AG10" s="625"/>
      <c r="AH10" s="625"/>
      <c r="AI10" s="625"/>
      <c r="AJ10" s="625"/>
      <c r="AK10" s="625"/>
    </row>
    <row r="11" spans="1:128" s="1" customFormat="1" ht="12.75">
      <c r="A11" s="834">
        <f>A10+1</f>
        <v>36971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36971</v>
      </c>
      <c r="AG11" s="625"/>
      <c r="AH11" s="625"/>
      <c r="AI11" s="625"/>
      <c r="AJ11" s="625"/>
      <c r="AK11" s="625"/>
    </row>
    <row r="12" spans="1:128" s="1" customFormat="1" ht="12.75">
      <c r="A12" s="834">
        <f>A11+1</f>
        <v>36972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36972</v>
      </c>
      <c r="AG12" s="625"/>
      <c r="AH12" s="625"/>
      <c r="AI12" s="625"/>
      <c r="AJ12" s="625"/>
      <c r="AK12" s="625"/>
    </row>
    <row r="13" spans="1:128" s="1" customFormat="1" ht="12.75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2.75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F7" sqref="F7"/>
    </sheetView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36967</v>
      </c>
      <c r="B7" s="628">
        <v>100</v>
      </c>
      <c r="C7" s="629">
        <v>0</v>
      </c>
      <c r="D7" s="628">
        <v>0</v>
      </c>
      <c r="E7" s="628">
        <v>0</v>
      </c>
      <c r="F7" s="628">
        <v>0</v>
      </c>
      <c r="G7" s="628">
        <f>(R7+S7+C7+PGL_Requirements!Y7+PGL_Requirements!Z7-NSG_Requirements!C7)*0.05</f>
        <v>6124.4500000000007</v>
      </c>
      <c r="H7" s="629">
        <v>0</v>
      </c>
      <c r="I7" s="628">
        <v>0</v>
      </c>
      <c r="J7" s="628">
        <v>0</v>
      </c>
      <c r="K7" s="628">
        <v>0</v>
      </c>
      <c r="L7" s="628">
        <v>60000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86249</v>
      </c>
      <c r="S7" s="628">
        <v>36240</v>
      </c>
      <c r="T7" s="628">
        <v>0</v>
      </c>
      <c r="U7" s="628">
        <v>0</v>
      </c>
      <c r="V7" s="834">
        <f>Weather_Input!A5</f>
        <v>36967</v>
      </c>
      <c r="W7" s="625"/>
      <c r="X7" s="625"/>
    </row>
    <row r="8" spans="1:24">
      <c r="A8" s="834">
        <f>A7+1</f>
        <v>36968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6124.4500000000007</v>
      </c>
      <c r="H8" s="629">
        <v>0</v>
      </c>
      <c r="I8" s="628">
        <v>0</v>
      </c>
      <c r="J8" s="628">
        <v>0</v>
      </c>
      <c r="K8" s="628">
        <v>0</v>
      </c>
      <c r="L8" s="628">
        <v>40000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86249</v>
      </c>
      <c r="S8" s="628">
        <v>36240</v>
      </c>
      <c r="T8" s="628">
        <v>0</v>
      </c>
      <c r="U8" s="628">
        <v>0</v>
      </c>
      <c r="V8" s="834">
        <f>V7+1</f>
        <v>36968</v>
      </c>
      <c r="W8" s="625"/>
      <c r="X8" s="625"/>
    </row>
    <row r="9" spans="1:24">
      <c r="A9" s="834">
        <f>A8+1</f>
        <v>36969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6124.4500000000007</v>
      </c>
      <c r="H9" s="629">
        <v>0</v>
      </c>
      <c r="I9" s="628">
        <v>0</v>
      </c>
      <c r="J9" s="628">
        <v>0</v>
      </c>
      <c r="K9" s="628">
        <v>0</v>
      </c>
      <c r="L9" s="628">
        <v>20000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86249</v>
      </c>
      <c r="S9" s="628">
        <v>36240</v>
      </c>
      <c r="T9" s="628">
        <v>0</v>
      </c>
      <c r="U9" s="628">
        <v>0</v>
      </c>
      <c r="V9" s="834">
        <f>V8+1</f>
        <v>36969</v>
      </c>
      <c r="W9" s="625"/>
      <c r="X9" s="625"/>
    </row>
    <row r="10" spans="1:24">
      <c r="A10" s="834">
        <f>A9+1</f>
        <v>36970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6124.4500000000007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86249</v>
      </c>
      <c r="S10" s="628">
        <v>36240</v>
      </c>
      <c r="T10" s="628">
        <v>0</v>
      </c>
      <c r="U10" s="628">
        <v>0</v>
      </c>
      <c r="V10" s="834">
        <f>V9+1</f>
        <v>36970</v>
      </c>
      <c r="W10" s="625"/>
      <c r="X10" s="625"/>
    </row>
    <row r="11" spans="1:24">
      <c r="A11" s="834">
        <f>A10+1</f>
        <v>36971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6124.4500000000007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86249</v>
      </c>
      <c r="S11" s="628">
        <v>36240</v>
      </c>
      <c r="T11" s="628">
        <v>0</v>
      </c>
      <c r="U11" s="628">
        <v>0</v>
      </c>
      <c r="V11" s="834">
        <f>V10+1</f>
        <v>36971</v>
      </c>
      <c r="W11" s="625"/>
      <c r="X11" s="625"/>
    </row>
    <row r="12" spans="1:24">
      <c r="A12" s="834">
        <f>A11+1</f>
        <v>36972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6124.4500000000007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86249</v>
      </c>
      <c r="S12" s="628">
        <v>36240</v>
      </c>
      <c r="T12" s="628">
        <v>0</v>
      </c>
      <c r="U12" s="628">
        <v>0</v>
      </c>
      <c r="V12" s="834">
        <f>V11+1</f>
        <v>36972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SAT</v>
      </c>
      <c r="I1" s="839">
        <f>D4</f>
        <v>36967</v>
      </c>
    </row>
    <row r="2" spans="1:256" ht="15.75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5" thickBot="1">
      <c r="A3" s="843"/>
      <c r="B3" s="841"/>
      <c r="C3" s="841"/>
      <c r="D3" s="844" t="str">
        <f t="shared" ref="D3:I3" si="0">CHOOSE(WEEKDAY(D4),"SUN","MON","TUE","WED","THU","FRI","SAT")</f>
        <v>SAT</v>
      </c>
      <c r="E3" s="844" t="str">
        <f t="shared" si="0"/>
        <v>SUN</v>
      </c>
      <c r="F3" s="844" t="str">
        <f t="shared" si="0"/>
        <v>MON</v>
      </c>
      <c r="G3" s="844" t="str">
        <f t="shared" si="0"/>
        <v>TUE</v>
      </c>
      <c r="H3" s="844" t="str">
        <f t="shared" si="0"/>
        <v>WED</v>
      </c>
      <c r="I3" s="845" t="str">
        <f t="shared" si="0"/>
        <v>THU</v>
      </c>
    </row>
    <row r="4" spans="1:256" ht="15.75" thickBot="1">
      <c r="A4" s="846"/>
      <c r="B4" s="847"/>
      <c r="C4" s="847"/>
      <c r="D4" s="466">
        <f>Weather_Input!A5</f>
        <v>36967</v>
      </c>
      <c r="E4" s="466">
        <f>Weather_Input!A6</f>
        <v>36968</v>
      </c>
      <c r="F4" s="466">
        <f>Weather_Input!A7</f>
        <v>36969</v>
      </c>
      <c r="G4" s="466">
        <f>Weather_Input!A8</f>
        <v>36970</v>
      </c>
      <c r="H4" s="466">
        <f>Weather_Input!A9</f>
        <v>36971</v>
      </c>
      <c r="I4" s="467">
        <f>Weather_Input!A10</f>
        <v>36972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37/23/30</v>
      </c>
      <c r="E5" s="468" t="str">
        <f>TEXT(Weather_Input!B6,"0")&amp;"/"&amp;TEXT(Weather_Input!C6,"0") &amp; "/" &amp; TEXT((Weather_Input!B6+Weather_Input!C6)/2,"0")</f>
        <v>44/27/36</v>
      </c>
      <c r="F5" s="468" t="str">
        <f>TEXT(Weather_Input!B7,"0")&amp;"/"&amp;TEXT(Weather_Input!C7,"0") &amp; "/" &amp; TEXT((Weather_Input!B7+Weather_Input!C7)/2,"0")</f>
        <v>47/32/40</v>
      </c>
      <c r="G5" s="468" t="str">
        <f>TEXT(Weather_Input!B8,"0")&amp;"/"&amp;TEXT(Weather_Input!C8,"0") &amp; "/" &amp; TEXT((Weather_Input!B8+Weather_Input!C8)/2,"0")</f>
        <v>51/35/43</v>
      </c>
      <c r="H5" s="468" t="str">
        <f>TEXT(Weather_Input!B9,"0")&amp;"/"&amp;TEXT(Weather_Input!C9,"0") &amp; "/" &amp; TEXT((Weather_Input!B9+Weather_Input!C9)/2,"0")</f>
        <v>49/31/40</v>
      </c>
      <c r="I5" s="469" t="str">
        <f>TEXT(Weather_Input!B10,"0")&amp;"/"&amp;TEXT(Weather_Input!C10,"0") &amp; "/" &amp; TEXT((Weather_Input!B10+Weather_Input!C10)/2,"0")</f>
        <v>45/27/36</v>
      </c>
    </row>
    <row r="6" spans="1:256" ht="15.75">
      <c r="A6" s="853" t="s">
        <v>139</v>
      </c>
      <c r="B6" s="841"/>
      <c r="C6" s="841"/>
      <c r="D6" s="468">
        <f>PGL_Deliveries!C5/1000</f>
        <v>946</v>
      </c>
      <c r="E6" s="468">
        <f>PGL_Deliveries!C6/1000</f>
        <v>835</v>
      </c>
      <c r="F6" s="468">
        <f>PGL_Deliveries!C7/1000</f>
        <v>770</v>
      </c>
      <c r="G6" s="468">
        <f>PGL_Deliveries!C8/1000</f>
        <v>725</v>
      </c>
      <c r="H6" s="468">
        <f>PGL_Deliveries!C9/1000</f>
        <v>775</v>
      </c>
      <c r="I6" s="469">
        <f>PGL_Deliveries!C10/1000</f>
        <v>830</v>
      </c>
    </row>
    <row r="7" spans="1:256" ht="15.75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50" t="s">
        <v>144</v>
      </c>
      <c r="B13" s="841" t="s">
        <v>145</v>
      </c>
      <c r="C13" s="841" t="s">
        <v>60</v>
      </c>
      <c r="D13" s="468">
        <f>PGL_Requirements!P7/1000</f>
        <v>251.53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 ht="15.75">
      <c r="A14" s="850"/>
      <c r="B14" s="841"/>
      <c r="C14" s="841" t="s">
        <v>101</v>
      </c>
      <c r="D14" s="468">
        <f>PGL_Requirements!Q7/1000</f>
        <v>3.7729499999999998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 ht="15.75">
      <c r="A15" s="850"/>
      <c r="C15" s="841" t="s">
        <v>747</v>
      </c>
      <c r="D15" s="468">
        <f>PGL_Requirements!R7/1000</f>
        <v>0.75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 ht="15.75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 ht="15.75">
      <c r="A19" s="850"/>
      <c r="B19" s="841" t="s">
        <v>141</v>
      </c>
      <c r="C19" s="841" t="s">
        <v>90</v>
      </c>
      <c r="D19" s="468">
        <f>PGL_Requirements!O7/1000</f>
        <v>14.733000000000001</v>
      </c>
      <c r="E19" s="468">
        <f>PGL_Requirements!O8/1000</f>
        <v>45.64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 ht="15.75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 ht="15.75">
      <c r="A24" s="853" t="s">
        <v>149</v>
      </c>
      <c r="B24" s="841"/>
      <c r="C24" s="841"/>
      <c r="D24" s="468">
        <f>PGL_Requirements!G7/1000</f>
        <v>4.8810000000000002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50" t="s">
        <v>150</v>
      </c>
      <c r="B25" s="841" t="s">
        <v>765</v>
      </c>
      <c r="C25" s="841"/>
      <c r="D25" s="468">
        <f>PGL_Requirements!J7/1000</f>
        <v>10.5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50"/>
      <c r="B29" s="841" t="s">
        <v>96</v>
      </c>
      <c r="C29" s="841"/>
      <c r="D29" s="470">
        <f>PGL_Requirements!F7/1000</f>
        <v>6.3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8" t="s">
        <v>151</v>
      </c>
      <c r="B30" s="859"/>
      <c r="C30" s="859"/>
      <c r="D30" s="472">
        <f t="shared" ref="D30:I30" si="1">SUM(D6:D29)</f>
        <v>1238.46695</v>
      </c>
      <c r="E30" s="472">
        <f t="shared" si="1"/>
        <v>1135.0300000000002</v>
      </c>
      <c r="F30" s="472">
        <f t="shared" si="1"/>
        <v>1024.3900000000001</v>
      </c>
      <c r="G30" s="472">
        <f t="shared" si="1"/>
        <v>979.39</v>
      </c>
      <c r="H30" s="472">
        <f t="shared" si="1"/>
        <v>1029.3900000000001</v>
      </c>
      <c r="I30" s="1177">
        <f t="shared" si="1"/>
        <v>1084.3900000000001</v>
      </c>
    </row>
    <row r="31" spans="1:10" ht="17.25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5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6.5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50"/>
      <c r="B34" s="841"/>
      <c r="C34" s="841" t="s">
        <v>94</v>
      </c>
      <c r="D34" s="468">
        <f>PGL_Supplies!H7/1000</f>
        <v>0.83599999999999997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50"/>
      <c r="B37" s="841" t="s">
        <v>141</v>
      </c>
      <c r="C37" s="841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7" t="s">
        <v>775</v>
      </c>
      <c r="B47" s="841" t="s">
        <v>753</v>
      </c>
      <c r="C47" s="841"/>
      <c r="D47" s="468">
        <f>PGL_Supplies!Y7/1000</f>
        <v>220.97499999999999</v>
      </c>
      <c r="E47" s="468">
        <f>PGL_Supplies!Y8/1000</f>
        <v>221.005</v>
      </c>
      <c r="F47" s="468">
        <f>PGL_Supplies!Y9/1000</f>
        <v>233.46</v>
      </c>
      <c r="G47" s="468">
        <f>PGL_Supplies!Y10/1000</f>
        <v>223.25</v>
      </c>
      <c r="H47" s="468">
        <f>PGL_Supplies!Y11/1000</f>
        <v>223.25</v>
      </c>
      <c r="I47" s="469">
        <f>PGL_Supplies!Y12/1000</f>
        <v>223.25</v>
      </c>
    </row>
    <row r="48" spans="1:9" ht="15.75">
      <c r="A48" s="853"/>
      <c r="B48" s="841" t="s">
        <v>143</v>
      </c>
      <c r="C48" s="854"/>
      <c r="D48" s="468">
        <f>PGL_Supplies!Z7/1000</f>
        <v>70</v>
      </c>
      <c r="E48" s="468">
        <f>PGL_Supplies!Z8/1000</f>
        <v>70</v>
      </c>
      <c r="F48" s="468">
        <f>PGL_Supplies!Z9/1000</f>
        <v>70</v>
      </c>
      <c r="G48" s="468">
        <f>PGL_Supplies!Z10/1000</f>
        <v>70</v>
      </c>
      <c r="H48" s="468">
        <f>PGL_Supplies!Z11/1000</f>
        <v>70</v>
      </c>
      <c r="I48" s="469">
        <f>PGL_Supplies!Z12/1000</f>
        <v>70</v>
      </c>
    </row>
    <row r="49" spans="1:10" ht="15.75">
      <c r="A49" s="853"/>
      <c r="B49" s="841" t="s">
        <v>147</v>
      </c>
      <c r="C49" s="854"/>
      <c r="D49" s="468">
        <f>PGL_Supplies!AA7/1000</f>
        <v>153.61500000000001</v>
      </c>
      <c r="E49" s="468">
        <f>PGL_Supplies!AA8/1000</f>
        <v>153.61500000000001</v>
      </c>
      <c r="F49" s="468">
        <f>PGL_Supplies!AA9/1000</f>
        <v>153.61500000000001</v>
      </c>
      <c r="G49" s="468">
        <f>PGL_Supplies!AA10/1000</f>
        <v>153.61500000000001</v>
      </c>
      <c r="H49" s="468">
        <f>PGL_Supplies!AA11/1000</f>
        <v>153.61500000000001</v>
      </c>
      <c r="I49" s="469">
        <f>PGL_Supplies!AA12/1000</f>
        <v>153.61500000000001</v>
      </c>
    </row>
    <row r="50" spans="1:10" ht="15.75">
      <c r="A50" s="853"/>
      <c r="B50" s="841" t="s">
        <v>421</v>
      </c>
      <c r="C50" s="854"/>
      <c r="D50" s="468">
        <f>PGL_Supplies!AB7/1000</f>
        <v>236.672</v>
      </c>
      <c r="E50" s="468">
        <f>PGL_Supplies!AB8/1000</f>
        <v>236.672</v>
      </c>
      <c r="F50" s="468">
        <f>PGL_Supplies!AB9/1000</f>
        <v>224.39699999999999</v>
      </c>
      <c r="G50" s="468">
        <f>PGL_Supplies!AB10/1000</f>
        <v>224.39699999999999</v>
      </c>
      <c r="H50" s="468">
        <f>PGL_Supplies!AB11/1000</f>
        <v>224.39699999999999</v>
      </c>
      <c r="I50" s="469">
        <f>PGL_Supplies!AB12/1000</f>
        <v>224.39699999999999</v>
      </c>
    </row>
    <row r="51" spans="1:10" ht="15.75">
      <c r="A51" s="853"/>
      <c r="B51" s="841" t="s">
        <v>141</v>
      </c>
      <c r="C51" s="841"/>
      <c r="D51" s="468">
        <f>PGL_Supplies!AC7/1000</f>
        <v>378.49099999999999</v>
      </c>
      <c r="E51" s="468">
        <f>PGL_Supplies!AC8/1000</f>
        <v>343.536</v>
      </c>
      <c r="F51" s="468">
        <f>PGL_Supplies!AC9/1000</f>
        <v>298.01900000000001</v>
      </c>
      <c r="G51" s="468">
        <f>PGL_Supplies!AC10/1000</f>
        <v>298.56599999999997</v>
      </c>
      <c r="H51" s="468">
        <f>PGL_Supplies!AC11/1000</f>
        <v>298.56599999999997</v>
      </c>
      <c r="I51" s="469">
        <f>PGL_Supplies!AC12/1000</f>
        <v>298.56599999999997</v>
      </c>
    </row>
    <row r="52" spans="1:10" ht="15.75">
      <c r="A52" s="853"/>
      <c r="B52" s="841" t="s">
        <v>142</v>
      </c>
      <c r="C52" s="841"/>
      <c r="D52" s="468">
        <f>PGL_Supplies!AD7/1000</f>
        <v>156.054</v>
      </c>
      <c r="E52" s="468">
        <f>PGL_Supplies!AD8/1000</f>
        <v>106.2</v>
      </c>
      <c r="F52" s="468">
        <f>PGL_Supplies!AD9/1000</f>
        <v>106.2</v>
      </c>
      <c r="G52" s="468">
        <f>PGL_Supplies!AD10/1000</f>
        <v>106.2</v>
      </c>
      <c r="H52" s="468">
        <f>PGL_Supplies!AD11/1000</f>
        <v>106.2</v>
      </c>
      <c r="I52" s="469">
        <f>PGL_Supplies!AD12/1000</f>
        <v>106.2</v>
      </c>
    </row>
    <row r="53" spans="1:10" ht="15.75">
      <c r="A53" s="867"/>
      <c r="B53" s="841" t="s">
        <v>158</v>
      </c>
      <c r="C53" s="841"/>
      <c r="D53" s="468">
        <f>PGL_Supplies!I7/1000</f>
        <v>0.41699999999999998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 ht="15.75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3" t="s">
        <v>792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50"/>
      <c r="B57" s="841" t="s">
        <v>143</v>
      </c>
      <c r="C57" s="841"/>
      <c r="D57" s="468">
        <f>PGL_Supplies!C7/1000</f>
        <v>0.4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50"/>
      <c r="B58" s="855" t="s">
        <v>147</v>
      </c>
      <c r="C58" s="841"/>
      <c r="D58" s="468">
        <f>PGL_Supplies!D7/1000</f>
        <v>0.3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50"/>
      <c r="B59" s="841" t="s">
        <v>421</v>
      </c>
      <c r="C59" s="841"/>
      <c r="D59" s="468">
        <f>PGL_Supplies!E7/1000</f>
        <v>2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1" t="s">
        <v>160</v>
      </c>
      <c r="B61" s="872"/>
      <c r="C61" s="872"/>
      <c r="D61" s="478">
        <f t="shared" ref="D61:I61" si="2">SUM(D33:D60)</f>
        <v>1219.76</v>
      </c>
      <c r="E61" s="478">
        <f t="shared" si="2"/>
        <v>1135.028</v>
      </c>
      <c r="F61" s="478">
        <f t="shared" si="2"/>
        <v>1089.691</v>
      </c>
      <c r="G61" s="478">
        <f t="shared" si="2"/>
        <v>1080.028</v>
      </c>
      <c r="H61" s="478">
        <f t="shared" si="2"/>
        <v>1080.028</v>
      </c>
      <c r="I61" s="1179">
        <f t="shared" si="2"/>
        <v>1080.028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0</v>
      </c>
      <c r="E62" s="479">
        <f t="shared" si="3"/>
        <v>0</v>
      </c>
      <c r="F62" s="479">
        <f t="shared" si="3"/>
        <v>65.300999999999931</v>
      </c>
      <c r="G62" s="479">
        <f t="shared" si="3"/>
        <v>100.63800000000003</v>
      </c>
      <c r="H62" s="479">
        <f t="shared" si="3"/>
        <v>50.63799999999992</v>
      </c>
      <c r="I62" s="1180">
        <f t="shared" si="3"/>
        <v>0</v>
      </c>
    </row>
    <row r="63" spans="1:10" ht="15.75" thickBot="1">
      <c r="A63" s="875" t="s">
        <v>162</v>
      </c>
      <c r="B63" s="859"/>
      <c r="C63" s="876"/>
      <c r="D63" s="480">
        <f t="shared" ref="D63:I63" si="4">IF(D30-D61&lt;0,0,D30-D61)</f>
        <v>18.706950000000006</v>
      </c>
      <c r="E63" s="480">
        <f t="shared" si="4"/>
        <v>2.00000000018008E-3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81">
        <f t="shared" si="4"/>
        <v>4.36200000000008</v>
      </c>
    </row>
    <row r="64" spans="1:10" ht="16.5" thickTop="1" thickBot="1">
      <c r="A64" s="1168" t="s">
        <v>779</v>
      </c>
      <c r="B64" s="1169"/>
      <c r="C64" s="1169"/>
      <c r="D64" s="1170">
        <f>PGL_Supplies!V7/1000</f>
        <v>339.5</v>
      </c>
      <c r="E64" s="1170">
        <f>PGL_Supplies!V8/1000</f>
        <v>339.5</v>
      </c>
      <c r="F64" s="1170">
        <f>PGL_Supplies!V9/1000</f>
        <v>339.5</v>
      </c>
      <c r="G64" s="1170">
        <f>PGL_Supplies!V10/1000</f>
        <v>339.5</v>
      </c>
      <c r="H64" s="1170">
        <f>PGL_Supplies!V11/1000</f>
        <v>339.5</v>
      </c>
      <c r="I64" s="1171">
        <f>PGL_Supplies!V12/1000</f>
        <v>339.5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2001-03-18T17:05:18Z</cp:lastPrinted>
  <dcterms:created xsi:type="dcterms:W3CDTF">1997-07-16T16:14:22Z</dcterms:created>
  <dcterms:modified xsi:type="dcterms:W3CDTF">2023-09-10T17:10:41Z</dcterms:modified>
</cp:coreProperties>
</file>