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9983213-00F2-4E7E-A9BD-30FE0EC8ADC0}" xr6:coauthVersionLast="47" xr6:coauthVersionMax="47" xr10:uidLastSave="{00000000-0000-0000-0000-000000000000}"/>
  <bookViews>
    <workbookView xWindow="-120" yWindow="-120" windowWidth="38640" windowHeight="15720"/>
  </bookViews>
  <sheets>
    <sheet name="DAILY" sheetId="9" r:id="rId1"/>
    <sheet name="WEEKEND" sheetId="11" r:id="rId2"/>
  </sheets>
  <externalReferences>
    <externalReference r:id="rId3"/>
  </externalReferences>
  <definedNames>
    <definedName name="_xlnm.Print_Area" localSheetId="0">DAILY!$A$1:$J$79</definedName>
    <definedName name="_xlnm.Print_Area" localSheetId="1">WEEKEND!$A$1:$L$64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Z2" i="9"/>
  <c r="AD2" i="9"/>
  <c r="AG2" i="9"/>
  <c r="AH2" i="9"/>
  <c r="AJ2" i="9"/>
  <c r="AK2" i="9"/>
  <c r="K3" i="9"/>
  <c r="L3" i="9"/>
  <c r="P3" i="9"/>
  <c r="T3" i="9"/>
  <c r="W3" i="9"/>
  <c r="Z3" i="9"/>
  <c r="AD3" i="9"/>
  <c r="AF3" i="9"/>
  <c r="AG3" i="9"/>
  <c r="AH3" i="9"/>
  <c r="AJ3" i="9"/>
  <c r="AK3" i="9"/>
  <c r="D4" i="9"/>
  <c r="M4" i="9"/>
  <c r="W4" i="9"/>
  <c r="Z4" i="9"/>
  <c r="AD4" i="9"/>
  <c r="AF4" i="9"/>
  <c r="AG4" i="9"/>
  <c r="AH4" i="9"/>
  <c r="AJ4" i="9"/>
  <c r="AK4" i="9"/>
  <c r="M5" i="9"/>
  <c r="W5" i="9"/>
  <c r="Z5" i="9"/>
  <c r="AD5" i="9"/>
  <c r="AF5" i="9"/>
  <c r="AG5" i="9"/>
  <c r="AH5" i="9"/>
  <c r="AJ5" i="9"/>
  <c r="AK5" i="9"/>
  <c r="K6" i="9"/>
  <c r="L6" i="9"/>
  <c r="M6" i="9"/>
  <c r="Q6" i="9"/>
  <c r="U6" i="9"/>
  <c r="W6" i="9"/>
  <c r="Z6" i="9"/>
  <c r="AD6" i="9"/>
  <c r="AF6" i="9"/>
  <c r="AG6" i="9"/>
  <c r="AH6" i="9"/>
  <c r="AJ6" i="9"/>
  <c r="AK6" i="9"/>
  <c r="W7" i="9"/>
  <c r="Z7" i="9"/>
  <c r="AD7" i="9"/>
  <c r="AF7" i="9"/>
  <c r="AG7" i="9"/>
  <c r="AH7" i="9"/>
  <c r="AJ7" i="9"/>
  <c r="AK7" i="9"/>
  <c r="W8" i="9"/>
  <c r="Z8" i="9"/>
  <c r="AD8" i="9"/>
  <c r="AF8" i="9"/>
  <c r="AG8" i="9"/>
  <c r="AH8" i="9"/>
  <c r="AJ8" i="9"/>
  <c r="AK8" i="9"/>
  <c r="W9" i="9"/>
  <c r="Z9" i="9"/>
  <c r="AD9" i="9"/>
  <c r="AF9" i="9"/>
  <c r="AG9" i="9"/>
  <c r="AH9" i="9"/>
  <c r="AJ9" i="9"/>
  <c r="AK9" i="9"/>
  <c r="W10" i="9"/>
  <c r="Z10" i="9"/>
  <c r="AD10" i="9"/>
  <c r="AF10" i="9"/>
  <c r="AG10" i="9"/>
  <c r="AH10" i="9"/>
  <c r="AJ10" i="9"/>
  <c r="AK10" i="9"/>
  <c r="B11" i="9"/>
  <c r="W11" i="9"/>
  <c r="Z11" i="9"/>
  <c r="AD11" i="9"/>
  <c r="AF11" i="9"/>
  <c r="AG11" i="9"/>
  <c r="AH11" i="9"/>
  <c r="AJ11" i="9"/>
  <c r="AK11" i="9"/>
  <c r="W12" i="9"/>
  <c r="Z12" i="9"/>
  <c r="AD12" i="9"/>
  <c r="AF12" i="9"/>
  <c r="AG12" i="9"/>
  <c r="AH12" i="9"/>
  <c r="AJ12" i="9"/>
  <c r="AK12" i="9"/>
  <c r="W13" i="9"/>
  <c r="Z13" i="9"/>
  <c r="AD13" i="9"/>
  <c r="AF13" i="9"/>
  <c r="AG13" i="9"/>
  <c r="AH13" i="9"/>
  <c r="AJ13" i="9"/>
  <c r="AK13" i="9"/>
  <c r="E14" i="9"/>
  <c r="W14" i="9"/>
  <c r="Z14" i="9"/>
  <c r="AD14" i="9"/>
  <c r="AF14" i="9"/>
  <c r="AG14" i="9"/>
  <c r="AH14" i="9"/>
  <c r="AJ14" i="9"/>
  <c r="AK14" i="9"/>
  <c r="F15" i="9"/>
  <c r="W15" i="9"/>
  <c r="Z15" i="9"/>
  <c r="AD15" i="9"/>
  <c r="AF15" i="9"/>
  <c r="AG15" i="9"/>
  <c r="AH15" i="9"/>
  <c r="AJ15" i="9"/>
  <c r="AK15" i="9"/>
  <c r="W16" i="9"/>
  <c r="Z16" i="9"/>
  <c r="AD16" i="9"/>
  <c r="AF16" i="9"/>
  <c r="AG16" i="9"/>
  <c r="AH16" i="9"/>
  <c r="AJ16" i="9"/>
  <c r="AK16" i="9"/>
  <c r="W17" i="9"/>
  <c r="Z17" i="9"/>
  <c r="AD17" i="9"/>
  <c r="AF17" i="9"/>
  <c r="AG17" i="9"/>
  <c r="AH17" i="9"/>
  <c r="AJ17" i="9"/>
  <c r="AK17" i="9"/>
  <c r="W18" i="9"/>
  <c r="Z18" i="9"/>
  <c r="AD18" i="9"/>
  <c r="AF18" i="9"/>
  <c r="AG18" i="9"/>
  <c r="AH18" i="9"/>
  <c r="AJ18" i="9"/>
  <c r="AK18" i="9"/>
  <c r="W19" i="9"/>
  <c r="Z19" i="9"/>
  <c r="AD19" i="9"/>
  <c r="AF19" i="9"/>
  <c r="AG19" i="9"/>
  <c r="AJ19" i="9"/>
  <c r="AK19" i="9"/>
  <c r="W20" i="9"/>
  <c r="Z20" i="9"/>
  <c r="AD20" i="9"/>
  <c r="AF20" i="9"/>
  <c r="AG20" i="9"/>
  <c r="AJ20" i="9"/>
  <c r="AK20" i="9"/>
  <c r="W21" i="9"/>
  <c r="Z21" i="9"/>
  <c r="AD21" i="9"/>
  <c r="AF21" i="9"/>
  <c r="AG21" i="9"/>
  <c r="AJ21" i="9"/>
  <c r="AK21" i="9"/>
  <c r="W22" i="9"/>
  <c r="Z22" i="9"/>
  <c r="AD22" i="9"/>
  <c r="AF22" i="9"/>
  <c r="AG22" i="9"/>
  <c r="AJ22" i="9"/>
  <c r="AK22" i="9"/>
  <c r="W23" i="9"/>
  <c r="Z23" i="9"/>
  <c r="AD23" i="9"/>
  <c r="AF23" i="9"/>
  <c r="AG23" i="9"/>
  <c r="AJ23" i="9"/>
  <c r="AK23" i="9"/>
  <c r="W24" i="9"/>
  <c r="Z24" i="9"/>
  <c r="AD24" i="9"/>
  <c r="AF24" i="9"/>
  <c r="AG24" i="9"/>
  <c r="AJ24" i="9"/>
  <c r="AK24" i="9"/>
  <c r="W25" i="9"/>
  <c r="Z25" i="9"/>
  <c r="AD25" i="9"/>
  <c r="AF25" i="9"/>
  <c r="AG25" i="9"/>
  <c r="AJ25" i="9"/>
  <c r="AK25" i="9"/>
  <c r="W26" i="9"/>
  <c r="Z26" i="9"/>
  <c r="AD26" i="9"/>
  <c r="AF26" i="9"/>
  <c r="AG26" i="9"/>
  <c r="AJ26" i="9"/>
  <c r="AK26" i="9"/>
  <c r="W27" i="9"/>
  <c r="Z27" i="9"/>
  <c r="AD27" i="9"/>
  <c r="AF27" i="9"/>
  <c r="AG27" i="9"/>
  <c r="AJ27" i="9"/>
  <c r="AK27" i="9"/>
  <c r="C28" i="9"/>
  <c r="W28" i="9"/>
  <c r="Z28" i="9"/>
  <c r="AD28" i="9"/>
  <c r="AF28" i="9"/>
  <c r="AG28" i="9"/>
  <c r="AJ28" i="9"/>
  <c r="B29" i="9"/>
  <c r="E29" i="9"/>
  <c r="W29" i="9"/>
  <c r="Z29" i="9"/>
  <c r="AD29" i="9"/>
  <c r="AF29" i="9"/>
  <c r="AG29" i="9"/>
  <c r="AJ29" i="9"/>
  <c r="W30" i="9"/>
  <c r="Z30" i="9"/>
  <c r="AD30" i="9"/>
  <c r="AF30" i="9"/>
  <c r="AG30" i="9"/>
  <c r="AJ30" i="9"/>
  <c r="W31" i="9"/>
  <c r="Z31" i="9"/>
  <c r="AD31" i="9"/>
  <c r="AF31" i="9"/>
  <c r="AG31" i="9"/>
  <c r="AJ31" i="9"/>
  <c r="W32" i="9"/>
  <c r="Z32" i="9"/>
  <c r="AD32" i="9"/>
  <c r="AF32" i="9"/>
  <c r="AJ32" i="9"/>
  <c r="W33" i="9"/>
  <c r="Z33" i="9"/>
  <c r="AD33" i="9"/>
  <c r="W34" i="9"/>
  <c r="Z34" i="9"/>
  <c r="AD34" i="9"/>
  <c r="W35" i="9"/>
  <c r="Z35" i="9"/>
  <c r="AD35" i="9"/>
  <c r="W36" i="9"/>
  <c r="Z36" i="9"/>
  <c r="AD36" i="9"/>
  <c r="W37" i="9"/>
  <c r="Z37" i="9"/>
  <c r="AD37" i="9"/>
  <c r="W38" i="9"/>
  <c r="Z38" i="9"/>
  <c r="AD38" i="9"/>
  <c r="W39" i="9"/>
  <c r="Z39" i="9"/>
  <c r="AD39" i="9"/>
  <c r="W40" i="9"/>
  <c r="Z40" i="9"/>
  <c r="AD40" i="9"/>
  <c r="W41" i="9"/>
  <c r="Z41" i="9"/>
  <c r="AD41" i="9"/>
  <c r="W42" i="9"/>
  <c r="Z42" i="9"/>
  <c r="AD42" i="9"/>
  <c r="W43" i="9"/>
  <c r="Z43" i="9"/>
  <c r="AD43" i="9"/>
  <c r="W44" i="9"/>
  <c r="Z44" i="9"/>
  <c r="AD44" i="9"/>
  <c r="W45" i="9"/>
  <c r="Z45" i="9"/>
  <c r="AD45" i="9"/>
  <c r="W46" i="9"/>
  <c r="Z46" i="9"/>
  <c r="AD46" i="9"/>
  <c r="W47" i="9"/>
  <c r="Z47" i="9"/>
  <c r="AD47" i="9"/>
  <c r="B63" i="9"/>
  <c r="B1" i="11"/>
  <c r="H1" i="11"/>
  <c r="N1" i="11"/>
  <c r="T1" i="11"/>
  <c r="Z1" i="11"/>
  <c r="B2" i="11"/>
  <c r="H2" i="11"/>
  <c r="N2" i="11"/>
  <c r="T2" i="11"/>
  <c r="Z2" i="11"/>
  <c r="D4" i="11"/>
  <c r="J4" i="11"/>
  <c r="P4" i="11"/>
  <c r="V4" i="11"/>
  <c r="AB4" i="11"/>
  <c r="B11" i="11"/>
  <c r="H11" i="11"/>
  <c r="N11" i="11"/>
  <c r="T11" i="11"/>
  <c r="Z11" i="11"/>
  <c r="E14" i="11"/>
  <c r="K14" i="11"/>
  <c r="Q14" i="11"/>
  <c r="W14" i="11"/>
  <c r="AC14" i="11"/>
  <c r="F15" i="11"/>
  <c r="L15" i="11"/>
  <c r="R15" i="11"/>
  <c r="X15" i="11"/>
  <c r="AD15" i="11"/>
  <c r="C28" i="11"/>
  <c r="I28" i="11"/>
  <c r="O28" i="11"/>
  <c r="U28" i="11"/>
  <c r="AA28" i="11"/>
  <c r="B29" i="11"/>
  <c r="E29" i="11"/>
  <c r="H29" i="11"/>
  <c r="K29" i="11"/>
  <c r="N29" i="11"/>
  <c r="Q29" i="11"/>
  <c r="T29" i="11"/>
  <c r="W29" i="11"/>
  <c r="Z29" i="11"/>
  <c r="AC29" i="11"/>
  <c r="B63" i="11"/>
  <c r="H63" i="11"/>
  <c r="N63" i="11"/>
  <c r="T63" i="11"/>
  <c r="Z63" i="11"/>
</calcChain>
</file>

<file path=xl/comments1.xml><?xml version="1.0" encoding="utf-8"?>
<comments xmlns="http://schemas.openxmlformats.org/spreadsheetml/2006/main">
  <authors>
    <author>dfuente2</author>
  </authors>
  <commentList>
    <comment ref="A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A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A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A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A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</commentList>
</comments>
</file>

<file path=xl/comments2.xml><?xml version="1.0" encoding="utf-8"?>
<comments xmlns="http://schemas.openxmlformats.org/spreadsheetml/2006/main">
  <authors>
    <author>dfuente2</author>
  </authors>
  <commentList>
    <comment ref="A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G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M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S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Y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A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G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M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S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Y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A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G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M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S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Y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A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G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M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S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Y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A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  <comment ref="G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  <comment ref="M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  <comment ref="S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  <comment ref="Y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</commentList>
</comments>
</file>

<file path=xl/sharedStrings.xml><?xml version="1.0" encoding="utf-8"?>
<sst xmlns="http://schemas.openxmlformats.org/spreadsheetml/2006/main" count="565" uniqueCount="95">
  <si>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</si>
  <si>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</si>
  <si>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</si>
  <si>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</si>
  <si>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</si>
  <si>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</si>
  <si>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</si>
  <si>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</si>
  <si>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</si>
  <si>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</si>
  <si>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</si>
  <si>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</si>
  <si>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</si>
  <si>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</si>
  <si>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</si>
  <si>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</si>
  <si>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</si>
  <si>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</si>
  <si>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</si>
  <si>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</si>
  <si>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</si>
  <si>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</si>
  <si>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</si>
  <si>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INJECTIONS:</t>
  </si>
  <si>
    <t>PGL Balancing:</t>
  </si>
  <si>
    <t xml:space="preserve">     MANLOVE</t>
  </si>
  <si>
    <t xml:space="preserve">     ANR </t>
  </si>
  <si>
    <t xml:space="preserve">     ANR (NO-NOTICE)</t>
  </si>
  <si>
    <t>TOTAL REQUIREMENTS</t>
  </si>
  <si>
    <t xml:space="preserve">     PANHANDLE</t>
  </si>
  <si>
    <t xml:space="preserve">     FUEL</t>
  </si>
  <si>
    <t>ENA BASELOAD</t>
  </si>
  <si>
    <t>ENA SIQ</t>
  </si>
  <si>
    <t>ENA DIQ</t>
  </si>
  <si>
    <t>RIDER GAS</t>
  </si>
  <si>
    <t>IMBALANCES</t>
  </si>
  <si>
    <t>TOTAL SOURCES</t>
  </si>
  <si>
    <t>RFG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</si>
  <si>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</si>
  <si>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</si>
  <si>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</si>
  <si>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</si>
  <si>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</si>
  <si>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</si>
  <si>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</si>
  <si>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</si>
  <si>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 xml:space="preserve">     NICOR BALANCING</t>
  </si>
  <si>
    <t>OFF SYSTEM SALES:</t>
  </si>
  <si>
    <t xml:space="preserve">     ANR</t>
  </si>
  <si>
    <t xml:space="preserve">    ENOVATE</t>
  </si>
  <si>
    <t xml:space="preserve">     MISC</t>
  </si>
  <si>
    <t>LINE PACK / IMBALANCE</t>
  </si>
  <si>
    <t xml:space="preserve">    ENA SELL BACK</t>
  </si>
  <si>
    <t>ANR IMBALANCE</t>
  </si>
  <si>
    <t>Cinergy Nomination:</t>
  </si>
  <si>
    <t>LINCOLN CENTER</t>
  </si>
  <si>
    <t>Lincoln Ctr. Burn</t>
  </si>
  <si>
    <t>Lincoln Ctr. Injection</t>
  </si>
  <si>
    <t>Lincoln Ctr. Bank Balance</t>
  </si>
  <si>
    <t xml:space="preserve">     MOBIL</t>
  </si>
  <si>
    <t>EMW</t>
  </si>
  <si>
    <t xml:space="preserve">     LINEPACK</t>
  </si>
  <si>
    <t>Percent Full</t>
  </si>
  <si>
    <t xml:space="preserve">     EMW</t>
  </si>
  <si>
    <t>Elwood MAX Bank</t>
  </si>
  <si>
    <t>Lincoln Center MAX Bank</t>
  </si>
  <si>
    <t xml:space="preserve">     NGPL- DSS</t>
  </si>
  <si>
    <t xml:space="preserve">     NGPL (NO-NOTICE)-NSS</t>
  </si>
  <si>
    <t xml:space="preserve">     NGPL AM-DSS</t>
  </si>
  <si>
    <t xml:space="preserve">     NGPL SUPPLY (NS TTP)</t>
  </si>
  <si>
    <t>MANLOVE (MAHO / HUB)</t>
  </si>
  <si>
    <t xml:space="preserve">    MISC </t>
  </si>
  <si>
    <t>TRUNKLINE IMBALANCE (OVER DEL' D)</t>
  </si>
  <si>
    <t xml:space="preserve">    TRUNKLINE IMBALANCE (UNDER DEL' D)</t>
  </si>
  <si>
    <t>ALLIANCE IMBALANCE (OVER DEL' D)</t>
  </si>
  <si>
    <t xml:space="preserve">     PGL TTP  (PGLC purch delivrd @the city gate)</t>
  </si>
  <si>
    <t xml:space="preserve">    LNG LIQUIFICATION</t>
  </si>
  <si>
    <t xml:space="preserve">     -  ADDITIONAL NGPL DSS INJECTIONS</t>
  </si>
  <si>
    <t xml:space="preserve">     -  ADDITIONAL CITYGATE PURCHASES</t>
  </si>
  <si>
    <t>HUB ACTIVITY   (PURCHASES MAHO CG )</t>
  </si>
  <si>
    <t xml:space="preserve">     - SPOT / ADD'L CITY GATE PURCHASES</t>
  </si>
  <si>
    <t>TRUNKLINE SOUTH TX (REFILL)</t>
  </si>
  <si>
    <t>TRUNKLINE QNT SPOT</t>
  </si>
  <si>
    <t xml:space="preserve">     TGC</t>
  </si>
  <si>
    <t xml:space="preserve">     NS MANLOVE TTP</t>
  </si>
  <si>
    <t xml:space="preserve">     PGL TTP-MANLOVE</t>
  </si>
  <si>
    <t xml:space="preserve">     NGPL AM</t>
  </si>
  <si>
    <t>LNG VAPORIZE A + B</t>
  </si>
  <si>
    <t xml:space="preserve">     NGPL (NO-NOTICE) TOLERANCE</t>
  </si>
  <si>
    <t>Friday</t>
  </si>
  <si>
    <t>Monday</t>
  </si>
  <si>
    <t>Sunday</t>
  </si>
  <si>
    <t>Saturday</t>
  </si>
  <si>
    <t>Tuesday</t>
  </si>
  <si>
    <t>Lorinda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</si>
</sst>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6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  <xf numFmtId="14" fontId="3" fillId="0" borderId="2" xfId="0" applyNumberFormat="1" applyFont="1" applyBorder="1"/>
    <xf numFmtId="169" fontId="2" fillId="0" borderId="0" xfId="1" applyNumberFormat="1" applyFont="1" applyBorder="1"/>
    <xf numFmtId="176" fontId="2" fillId="0" borderId="0" xfId="0" applyNumberFormat="1" applyFont="1" applyBorder="1"/>
    <xf numFmtId="9" fontId="3" fillId="0" borderId="4" xfId="3" applyNumberFormat="1" applyFont="1" applyBorder="1" applyAlignment="1">
      <alignment horizontal="center"/>
    </xf>
    <xf numFmtId="176" fontId="2" fillId="0" borderId="0" xfId="0" quotePrefix="1" applyNumberFormat="1" applyFont="1"/>
    <xf numFmtId="176" fontId="5" fillId="0" borderId="0" xfId="0" applyNumberFormat="1" applyFont="1"/>
    <xf numFmtId="176" fontId="8" fillId="0" borderId="9" xfId="1" applyNumberFormat="1" applyFont="1" applyFill="1" applyBorder="1"/>
    <xf numFmtId="176" fontId="8" fillId="0" borderId="9" xfId="1" applyNumberFormat="1" applyFont="1" applyBorder="1"/>
    <xf numFmtId="0" fontId="8" fillId="0" borderId="8" xfId="0" applyFont="1" applyBorder="1"/>
    <xf numFmtId="0" fontId="2" fillId="0" borderId="0" xfId="0" applyFont="1" applyFill="1" applyAlignment="1">
      <alignment horizontal="center"/>
    </xf>
    <xf numFmtId="176" fontId="8" fillId="0" borderId="0" xfId="0" applyNumberFormat="1" applyFont="1"/>
    <xf numFmtId="14" fontId="3" fillId="0" borderId="0" xfId="0" applyNumberFormat="1" applyFont="1"/>
    <xf numFmtId="14" fontId="3" fillId="0" borderId="0" xfId="1" applyNumberFormat="1" applyFont="1"/>
    <xf numFmtId="176" fontId="2" fillId="0" borderId="0" xfId="1" applyNumberFormat="1" applyFont="1" applyFill="1" applyBorder="1"/>
    <xf numFmtId="41" fontId="2" fillId="0" borderId="0" xfId="0" applyNumberFormat="1" applyFont="1"/>
    <xf numFmtId="0" fontId="12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A-4255-B1C4-5A6E7D4F5D3F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A-4255-B1C4-5A6E7D4F5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593952"/>
        <c:axId val="1"/>
      </c:lineChart>
      <c:catAx>
        <c:axId val="12725939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2593952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AC9-48EC-8AA0-4D541A883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417696"/>
        <c:axId val="1"/>
      </c:lineChart>
      <c:catAx>
        <c:axId val="127341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341769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BAB-46C9-AD5B-F5A9D94BE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421408"/>
        <c:axId val="1"/>
      </c:lineChart>
      <c:catAx>
        <c:axId val="127342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342140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7BA-4556-8436-A1695E735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772208"/>
        <c:axId val="1"/>
      </c:lineChart>
      <c:catAx>
        <c:axId val="127377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377220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0-433D-B705-38B25453432F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80-433D-B705-38B254534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778240"/>
        <c:axId val="1"/>
      </c:lineChart>
      <c:catAx>
        <c:axId val="12737782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377824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2-4544-BB58-4FA300D4A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779168"/>
        <c:axId val="1"/>
      </c:lineChart>
      <c:dateAx>
        <c:axId val="12737791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377916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51-4898-8DC0-DFCF903FF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774064"/>
        <c:axId val="1"/>
      </c:lineChart>
      <c:catAx>
        <c:axId val="12737740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377406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5DF-4452-B1D2-BB04DD309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774992"/>
        <c:axId val="1"/>
      </c:lineChart>
      <c:catAx>
        <c:axId val="127377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3774992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47B-4A9F-AF97-CC6DA2884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379776"/>
        <c:axId val="1"/>
      </c:lineChart>
      <c:catAx>
        <c:axId val="127437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437977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A07-4EA0-8C8B-D32BDB5D4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381168"/>
        <c:axId val="1"/>
      </c:lineChart>
      <c:catAx>
        <c:axId val="127438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438116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4-4717-A56E-B6EED5BE5E05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4-4717-A56E-B6EED5BE5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378848"/>
        <c:axId val="1"/>
      </c:lineChart>
      <c:catAx>
        <c:axId val="12743788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437884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8-4974-A821-7B50538FE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591168"/>
        <c:axId val="1"/>
      </c:lineChart>
      <c:dateAx>
        <c:axId val="12725911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259116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6-4C4E-BC00-7C25B2B0D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384416"/>
        <c:axId val="1"/>
      </c:lineChart>
      <c:dateAx>
        <c:axId val="12743844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438441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F-4EE4-8C60-C951C9D86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380704"/>
        <c:axId val="1"/>
      </c:lineChart>
      <c:catAx>
        <c:axId val="12743807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438070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D25-4DB3-9573-8F656025A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380240"/>
        <c:axId val="1"/>
      </c:lineChart>
      <c:catAx>
        <c:axId val="127438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4380240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EBD-4132-8892-552A7A7E9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463744"/>
        <c:axId val="1"/>
      </c:lineChart>
      <c:catAx>
        <c:axId val="127446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446374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BF3-4763-86DD-71B37C3A0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461888"/>
        <c:axId val="1"/>
      </c:lineChart>
      <c:catAx>
        <c:axId val="127446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446188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6-468D-96F5-FB5AF30AF210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6-468D-96F5-FB5AF30AF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464672"/>
        <c:axId val="1"/>
      </c:lineChart>
      <c:catAx>
        <c:axId val="12744646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4464672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E-4CFD-89EF-6B38DD109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620400"/>
        <c:axId val="1"/>
      </c:lineChart>
      <c:dateAx>
        <c:axId val="12746204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462040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9-466B-8FFD-1C514F77F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619008"/>
        <c:axId val="1"/>
      </c:lineChart>
      <c:catAx>
        <c:axId val="12746190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461900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725-4B2E-A2B7-0DDE198A5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619936"/>
        <c:axId val="1"/>
      </c:lineChart>
      <c:catAx>
        <c:axId val="127461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461993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6C1-42CE-A803-0214C4242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621328"/>
        <c:axId val="1"/>
      </c:lineChart>
      <c:catAx>
        <c:axId val="127462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462132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9-45DB-ADA8-D065EF1B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595808"/>
        <c:axId val="1"/>
      </c:lineChart>
      <c:catAx>
        <c:axId val="12725958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259580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A7C-4C9A-9238-128C115BB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620864"/>
        <c:axId val="1"/>
      </c:lineChart>
      <c:catAx>
        <c:axId val="127462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462086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460939373114945"/>
          <c:y val="8.3895343835726794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130714631905877E-2"/>
          <c:y val="5.033720630143608E-2"/>
          <c:w val="0.93838863960243324"/>
          <c:h val="0.82385227646683712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364453</c:v>
                </c:pt>
                <c:pt idx="1">
                  <c:v>419919</c:v>
                </c:pt>
                <c:pt idx="2">
                  <c:v>396329</c:v>
                </c:pt>
                <c:pt idx="3">
                  <c:v>563000</c:v>
                </c:pt>
                <c:pt idx="4">
                  <c:v>602000</c:v>
                </c:pt>
                <c:pt idx="5">
                  <c:v>467000</c:v>
                </c:pt>
                <c:pt idx="6">
                  <c:v>403000</c:v>
                </c:pt>
                <c:pt idx="7">
                  <c:v>744000</c:v>
                </c:pt>
                <c:pt idx="8">
                  <c:v>658000</c:v>
                </c:pt>
                <c:pt idx="9">
                  <c:v>622000</c:v>
                </c:pt>
                <c:pt idx="10">
                  <c:v>637000</c:v>
                </c:pt>
                <c:pt idx="11">
                  <c:v>647000</c:v>
                </c:pt>
                <c:pt idx="12">
                  <c:v>508000</c:v>
                </c:pt>
                <c:pt idx="13">
                  <c:v>431700</c:v>
                </c:pt>
                <c:pt idx="14">
                  <c:v>350700</c:v>
                </c:pt>
                <c:pt idx="15">
                  <c:v>374000</c:v>
                </c:pt>
                <c:pt idx="16">
                  <c:v>294000</c:v>
                </c:pt>
                <c:pt idx="17">
                  <c:v>469000</c:v>
                </c:pt>
                <c:pt idx="18">
                  <c:v>815000</c:v>
                </c:pt>
                <c:pt idx="19">
                  <c:v>900000</c:v>
                </c:pt>
                <c:pt idx="20">
                  <c:v>669000</c:v>
                </c:pt>
                <c:pt idx="21">
                  <c:v>599000</c:v>
                </c:pt>
                <c:pt idx="22">
                  <c:v>702000</c:v>
                </c:pt>
                <c:pt idx="23">
                  <c:v>700000</c:v>
                </c:pt>
                <c:pt idx="24">
                  <c:v>718000</c:v>
                </c:pt>
                <c:pt idx="25">
                  <c:v>815000</c:v>
                </c:pt>
                <c:pt idx="26">
                  <c:v>877000</c:v>
                </c:pt>
                <c:pt idx="27">
                  <c:v>936000</c:v>
                </c:pt>
                <c:pt idx="28">
                  <c:v>1007000</c:v>
                </c:pt>
                <c:pt idx="29">
                  <c:v>974000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C-4E5D-B44C-190D372C31B8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364453</c:v>
                </c:pt>
                <c:pt idx="1">
                  <c:v>419919</c:v>
                </c:pt>
                <c:pt idx="2">
                  <c:v>396329</c:v>
                </c:pt>
                <c:pt idx="3">
                  <c:v>544711</c:v>
                </c:pt>
                <c:pt idx="4">
                  <c:v>616642</c:v>
                </c:pt>
                <c:pt idx="5">
                  <c:v>509446</c:v>
                </c:pt>
                <c:pt idx="6">
                  <c:v>388546</c:v>
                </c:pt>
                <c:pt idx="7">
                  <c:v>744000</c:v>
                </c:pt>
                <c:pt idx="8">
                  <c:v>704605</c:v>
                </c:pt>
                <c:pt idx="9">
                  <c:v>583519</c:v>
                </c:pt>
                <c:pt idx="10">
                  <c:v>683517</c:v>
                </c:pt>
                <c:pt idx="11">
                  <c:v>649321</c:v>
                </c:pt>
                <c:pt idx="12">
                  <c:v>503300</c:v>
                </c:pt>
                <c:pt idx="13">
                  <c:v>430834</c:v>
                </c:pt>
                <c:pt idx="14">
                  <c:v>359764</c:v>
                </c:pt>
                <c:pt idx="15">
                  <c:v>478081</c:v>
                </c:pt>
                <c:pt idx="16">
                  <c:v>421684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C-4E5D-B44C-190D372C3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166784"/>
        <c:axId val="1"/>
      </c:lineChart>
      <c:catAx>
        <c:axId val="1284166784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4166784"/>
        <c:crosses val="autoZero"/>
        <c:crossBetween val="between"/>
        <c:majorUnit val="20000"/>
        <c:min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719463270134163"/>
          <c:y val="0.9178150615628512"/>
          <c:w val="4.8983336612678334E-2"/>
          <c:h val="7.71837163288686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9439986134860716"/>
          <c:y val="1.59241085599664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46662044953572"/>
          <c:y val="9.2359829647805453E-2"/>
          <c:w val="0.8272057017049439"/>
          <c:h val="0.55415897788683266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DAILY!$X$2:$X$42</c:f>
              <c:numCache>
                <c:formatCode>_(* #,##0_);_(* \(#,##0\);_(* "-"??_);_(@_)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52966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5-434B-AD57-8D4FB13B3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172352"/>
        <c:axId val="1"/>
      </c:lineChart>
      <c:dateAx>
        <c:axId val="1284172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5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4172352"/>
        <c:crosses val="autoZero"/>
        <c:crossBetween val="midCat"/>
        <c:majorUnit val="40000"/>
        <c:minorUnit val="4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618548789100851"/>
          <c:y val="0.92996793990204107"/>
          <c:w val="0.17873551768981824"/>
          <c:h val="5.41419691038859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954963370201022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06060292515985E-2"/>
          <c:y val="0.10057780555495467"/>
          <c:w val="0.950332813569296"/>
          <c:h val="0.64944525872627867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326942</c:v>
                </c:pt>
                <c:pt idx="1">
                  <c:v>373798</c:v>
                </c:pt>
                <c:pt idx="2">
                  <c:v>363653</c:v>
                </c:pt>
                <c:pt idx="3">
                  <c:v>364574</c:v>
                </c:pt>
                <c:pt idx="4">
                  <c:v>364495</c:v>
                </c:pt>
                <c:pt idx="5">
                  <c:v>343577</c:v>
                </c:pt>
                <c:pt idx="6">
                  <c:v>312978</c:v>
                </c:pt>
                <c:pt idx="7">
                  <c:v>318937</c:v>
                </c:pt>
                <c:pt idx="8">
                  <c:v>318685</c:v>
                </c:pt>
                <c:pt idx="9">
                  <c:v>311207</c:v>
                </c:pt>
                <c:pt idx="10">
                  <c:v>316207</c:v>
                </c:pt>
                <c:pt idx="11">
                  <c:v>316207</c:v>
                </c:pt>
                <c:pt idx="12">
                  <c:v>314203</c:v>
                </c:pt>
                <c:pt idx="13">
                  <c:v>306117</c:v>
                </c:pt>
                <c:pt idx="14">
                  <c:v>284889</c:v>
                </c:pt>
                <c:pt idx="15">
                  <c:v>300786</c:v>
                </c:pt>
                <c:pt idx="16">
                  <c:v>282317</c:v>
                </c:pt>
                <c:pt idx="17">
                  <c:v>284327</c:v>
                </c:pt>
                <c:pt idx="18">
                  <c:v>285362</c:v>
                </c:pt>
                <c:pt idx="19">
                  <c:v>273492</c:v>
                </c:pt>
                <c:pt idx="20">
                  <c:v>296128</c:v>
                </c:pt>
                <c:pt idx="21">
                  <c:v>275272</c:v>
                </c:pt>
                <c:pt idx="22">
                  <c:v>275272</c:v>
                </c:pt>
                <c:pt idx="23">
                  <c:v>275272</c:v>
                </c:pt>
                <c:pt idx="24">
                  <c:v>275272</c:v>
                </c:pt>
                <c:pt idx="25">
                  <c:v>275272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B-4279-8AA9-3DA3CE814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172816"/>
        <c:axId val="1"/>
      </c:lineChart>
      <c:catAx>
        <c:axId val="1284172816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60000"/>
          <c:min val="2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4172816"/>
        <c:crosses val="autoZero"/>
        <c:crossBetween val="between"/>
        <c:majorUnit val="20000"/>
        <c:min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475039782760762"/>
          <c:y val="0.93106311428015176"/>
          <c:w val="4.0310456357093905E-2"/>
          <c:h val="6.034668333297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141397907162756"/>
          <c:y val="3.25743066577516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43614143456472"/>
          <c:y val="0.11726750396790604"/>
          <c:w val="0.84951967561155184"/>
          <c:h val="0.56679293584487922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DAILY!$Z$2:$Z$42</c:f>
              <c:numCache>
                <c:formatCode>0</c:formatCode>
                <c:ptCount val="41"/>
                <c:pt idx="0">
                  <c:v>455527</c:v>
                </c:pt>
                <c:pt idx="1">
                  <c:v>460527</c:v>
                </c:pt>
                <c:pt idx="2">
                  <c:v>460527</c:v>
                </c:pt>
                <c:pt idx="3">
                  <c:v>460527</c:v>
                </c:pt>
                <c:pt idx="4">
                  <c:v>460527</c:v>
                </c:pt>
                <c:pt idx="5">
                  <c:v>465527</c:v>
                </c:pt>
                <c:pt idx="6">
                  <c:v>465527</c:v>
                </c:pt>
                <c:pt idx="7">
                  <c:v>470527</c:v>
                </c:pt>
                <c:pt idx="8">
                  <c:v>470527</c:v>
                </c:pt>
                <c:pt idx="9">
                  <c:v>470527</c:v>
                </c:pt>
                <c:pt idx="10">
                  <c:v>480527</c:v>
                </c:pt>
                <c:pt idx="11">
                  <c:v>484925</c:v>
                </c:pt>
                <c:pt idx="12">
                  <c:v>489925</c:v>
                </c:pt>
                <c:pt idx="13">
                  <c:v>489925</c:v>
                </c:pt>
                <c:pt idx="14">
                  <c:v>489925</c:v>
                </c:pt>
                <c:pt idx="15">
                  <c:v>489925</c:v>
                </c:pt>
                <c:pt idx="16">
                  <c:v>436959</c:v>
                </c:pt>
                <c:pt idx="17">
                  <c:v>436959</c:v>
                </c:pt>
                <c:pt idx="18">
                  <c:v>436959</c:v>
                </c:pt>
                <c:pt idx="19">
                  <c:v>436959</c:v>
                </c:pt>
                <c:pt idx="20">
                  <c:v>436959</c:v>
                </c:pt>
                <c:pt idx="21">
                  <c:v>436959</c:v>
                </c:pt>
                <c:pt idx="22">
                  <c:v>436959</c:v>
                </c:pt>
                <c:pt idx="23">
                  <c:v>436959</c:v>
                </c:pt>
                <c:pt idx="24">
                  <c:v>436959</c:v>
                </c:pt>
                <c:pt idx="25">
                  <c:v>436959</c:v>
                </c:pt>
                <c:pt idx="26">
                  <c:v>436959</c:v>
                </c:pt>
                <c:pt idx="27">
                  <c:v>436959</c:v>
                </c:pt>
                <c:pt idx="28">
                  <c:v>436959</c:v>
                </c:pt>
                <c:pt idx="29">
                  <c:v>436959</c:v>
                </c:pt>
                <c:pt idx="30">
                  <c:v>436959</c:v>
                </c:pt>
                <c:pt idx="31">
                  <c:v>436959</c:v>
                </c:pt>
                <c:pt idx="32">
                  <c:v>436959</c:v>
                </c:pt>
                <c:pt idx="33">
                  <c:v>436959</c:v>
                </c:pt>
                <c:pt idx="34">
                  <c:v>436959</c:v>
                </c:pt>
                <c:pt idx="35">
                  <c:v>436959</c:v>
                </c:pt>
                <c:pt idx="36">
                  <c:v>436959</c:v>
                </c:pt>
                <c:pt idx="37">
                  <c:v>436959</c:v>
                </c:pt>
                <c:pt idx="38">
                  <c:v>436959</c:v>
                </c:pt>
                <c:pt idx="39">
                  <c:v>436959</c:v>
                </c:pt>
                <c:pt idx="40">
                  <c:v>436959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31A-4BF3-AB12-A4652A686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167248"/>
        <c:axId val="1"/>
      </c:lineChart>
      <c:catAx>
        <c:axId val="1284167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650000"/>
          <c:min val="-20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4167248"/>
        <c:crosses val="autoZero"/>
        <c:crossBetween val="midCat"/>
        <c:majorUnit val="150000"/>
        <c:minorUnit val="1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138073552722176"/>
          <c:y val="0.92185287841437247"/>
          <c:w val="0.12301392236283118"/>
          <c:h val="5.86337519839530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BURN</a:t>
            </a:r>
          </a:p>
        </c:rich>
      </c:tx>
      <c:layout>
        <c:manualLayout>
          <c:xMode val="edge"/>
          <c:yMode val="edge"/>
          <c:x val="0.34168956679871887"/>
          <c:y val="1.59241085599664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51438955304515"/>
          <c:y val="0.10509911649577862"/>
          <c:w val="0.85422391699679712"/>
          <c:h val="0.59237683843075217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DAILY!$AB$2:$AB$42</c:f>
              <c:numCache>
                <c:formatCode>_(* #,##0_);_(* \(#,##0\);_(* "-"??_);_(@_)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02A-41C3-957B-3A687E4F5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167712"/>
        <c:axId val="1"/>
      </c:lineChart>
      <c:catAx>
        <c:axId val="1284167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2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416771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51671327596394"/>
          <c:y val="0.92041347476606117"/>
          <c:w val="9.8677590411698976E-2"/>
          <c:h val="5.73267908158792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BANK BALANCE</a:t>
            </a:r>
          </a:p>
        </c:rich>
      </c:tx>
      <c:layout>
        <c:manualLayout>
          <c:xMode val="edge"/>
          <c:yMode val="edge"/>
          <c:x val="0.31305336419155982"/>
          <c:y val="1.5823271773062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69908478873606"/>
          <c:y val="0.10126893934760166"/>
          <c:w val="0.85509946700472361"/>
          <c:h val="0.63293087092251044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DAILY!$AD$2:$AD$42</c:f>
              <c:numCache>
                <c:formatCode>_(* #,##0_);_(* \(#,##0\);_(* "-"??_);_(@_)</c:formatCode>
                <c:ptCount val="41"/>
                <c:pt idx="0">
                  <c:v>-2710</c:v>
                </c:pt>
                <c:pt idx="1">
                  <c:v>-2710</c:v>
                </c:pt>
                <c:pt idx="2">
                  <c:v>-2710</c:v>
                </c:pt>
                <c:pt idx="3">
                  <c:v>-2710</c:v>
                </c:pt>
                <c:pt idx="4">
                  <c:v>-2710</c:v>
                </c:pt>
                <c:pt idx="5">
                  <c:v>-2710</c:v>
                </c:pt>
                <c:pt idx="6">
                  <c:v>-2710</c:v>
                </c:pt>
                <c:pt idx="7">
                  <c:v>-2710</c:v>
                </c:pt>
                <c:pt idx="8">
                  <c:v>-2710</c:v>
                </c:pt>
                <c:pt idx="9">
                  <c:v>-2710</c:v>
                </c:pt>
                <c:pt idx="10">
                  <c:v>-2710</c:v>
                </c:pt>
                <c:pt idx="11">
                  <c:v>-2710</c:v>
                </c:pt>
                <c:pt idx="12">
                  <c:v>-2710</c:v>
                </c:pt>
                <c:pt idx="13">
                  <c:v>-2710</c:v>
                </c:pt>
                <c:pt idx="14">
                  <c:v>-2710</c:v>
                </c:pt>
                <c:pt idx="15">
                  <c:v>-2710</c:v>
                </c:pt>
                <c:pt idx="16">
                  <c:v>-2710</c:v>
                </c:pt>
                <c:pt idx="17">
                  <c:v>-2710</c:v>
                </c:pt>
                <c:pt idx="18">
                  <c:v>-2710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9C3-4C62-AE85-CB85D7E5D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169104"/>
        <c:axId val="1"/>
      </c:lineChart>
      <c:catAx>
        <c:axId val="12841691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50000"/>
          <c:min val="-3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4169104"/>
        <c:crosses val="autoZero"/>
        <c:crossBetween val="between"/>
        <c:maj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654878813524016"/>
          <c:y val="0.93990234331992795"/>
          <c:w val="0.1347868651380327"/>
          <c:h val="5.06344696738008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40B-47A8-A1C7-4CE51BEB4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589776"/>
        <c:axId val="1"/>
      </c:lineChart>
      <c:catAx>
        <c:axId val="127258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258977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598-435F-8A00-B877BC39A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594416"/>
        <c:axId val="1"/>
      </c:lineChart>
      <c:catAx>
        <c:axId val="127259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259441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7CB-4821-AD92-6A806F846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420944"/>
        <c:axId val="1"/>
      </c:lineChart>
      <c:catAx>
        <c:axId val="127342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342094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7-41F9-9D65-FF80E275B96E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A7-41F9-9D65-FF80E275B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421872"/>
        <c:axId val="1"/>
      </c:lineChart>
      <c:catAx>
        <c:axId val="12734218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3421872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F-42C0-BCD5-859E0FA2B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423264"/>
        <c:axId val="1"/>
      </c:lineChart>
      <c:dateAx>
        <c:axId val="12734232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342326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E-4656-BE5C-BD1C85FD4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416304"/>
        <c:axId val="1"/>
      </c:lineChart>
      <c:catAx>
        <c:axId val="12734163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341630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0</xdr:rowOff>
    </xdr:from>
    <xdr:to>
      <xdr:col>0</xdr:col>
      <xdr:colOff>0</xdr:colOff>
      <xdr:row>64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2A4A03E0-77B3-BF30-26AB-E7012D3F2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4C5B9E3A-BE25-E5CE-BCE7-F6322888D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65</xdr:row>
      <xdr:rowOff>28575</xdr:rowOff>
    </xdr:from>
    <xdr:to>
      <xdr:col>0</xdr:col>
      <xdr:colOff>0</xdr:colOff>
      <xdr:row>82</xdr:row>
      <xdr:rowOff>47625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E30C7270-AF54-548E-DA43-9374778F8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485AF25E-538A-7FD3-1AE0-E07455AB8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93C59BA6-C833-E3EE-2765-627DDB50D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28575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B895F85A-FF07-3003-1E21-885F5FF6C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64</xdr:row>
      <xdr:rowOff>95250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6059FE19-9686-24A7-4F6E-C752C1ABC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1EB2B30B-0DBF-05A7-71DE-7F6AFD7F0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65</xdr:row>
      <xdr:rowOff>28575</xdr:rowOff>
    </xdr:from>
    <xdr:to>
      <xdr:col>0</xdr:col>
      <xdr:colOff>0</xdr:colOff>
      <xdr:row>82</xdr:row>
      <xdr:rowOff>47625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7D29CE5D-55DA-984A-0A35-7B0AEA791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E27B28FA-85C7-1B97-9846-D7CC6C8469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A1158ADC-37E1-3130-1C76-D9909B9D0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28575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4B8F4BC4-443E-D687-CC83-384203DAA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64</xdr:row>
      <xdr:rowOff>95250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D01DF66E-6DA3-8FD6-7357-55B1B0C93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EA474A1C-5F6F-7ABD-AA62-DD4A61BDE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65</xdr:row>
      <xdr:rowOff>28575</xdr:rowOff>
    </xdr:from>
    <xdr:to>
      <xdr:col>0</xdr:col>
      <xdr:colOff>0</xdr:colOff>
      <xdr:row>82</xdr:row>
      <xdr:rowOff>47625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0F112753-31E0-CB68-FCB5-C89F067A8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86B2CFDB-4DC1-E43B-76C8-F8F47556A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9FB82D6A-6448-BC25-E733-D1A17A72A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28575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708B76CA-0934-6C13-EDBE-095A6C2E8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64</xdr:row>
      <xdr:rowOff>95250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3A4B28E9-6D25-7BAB-A01E-2227F1B0D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016628FB-53C3-5EA8-6B99-963278556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65</xdr:row>
      <xdr:rowOff>28575</xdr:rowOff>
    </xdr:from>
    <xdr:to>
      <xdr:col>0</xdr:col>
      <xdr:colOff>0</xdr:colOff>
      <xdr:row>82</xdr:row>
      <xdr:rowOff>47625</xdr:rowOff>
    </xdr:to>
    <xdr:graphicFrame macro="">
      <xdr:nvGraphicFramePr>
        <xdr:cNvPr id="1045" name="Chart 21">
          <a:extLst>
            <a:ext uri="{FF2B5EF4-FFF2-40B4-BE49-F238E27FC236}">
              <a16:creationId xmlns:a16="http://schemas.microsoft.com/office/drawing/2014/main" id="{E07F6B4F-54A3-8711-C9A5-9E5074528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46" name="Chart 22">
          <a:extLst>
            <a:ext uri="{FF2B5EF4-FFF2-40B4-BE49-F238E27FC236}">
              <a16:creationId xmlns:a16="http://schemas.microsoft.com/office/drawing/2014/main" id="{1E9890E5-8B08-4AFB-7762-4DB7E5B1E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47" name="Chart 23">
          <a:extLst>
            <a:ext uri="{FF2B5EF4-FFF2-40B4-BE49-F238E27FC236}">
              <a16:creationId xmlns:a16="http://schemas.microsoft.com/office/drawing/2014/main" id="{E6532F05-D494-6E31-8E55-F3CBAD8B7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28575</xdr:rowOff>
    </xdr:to>
    <xdr:graphicFrame macro="">
      <xdr:nvGraphicFramePr>
        <xdr:cNvPr id="1048" name="Chart 24">
          <a:extLst>
            <a:ext uri="{FF2B5EF4-FFF2-40B4-BE49-F238E27FC236}">
              <a16:creationId xmlns:a16="http://schemas.microsoft.com/office/drawing/2014/main" id="{60D09AB8-0FBE-9DA5-1571-8127CF0DE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0</xdr:col>
      <xdr:colOff>0</xdr:colOff>
      <xdr:row>66</xdr:row>
      <xdr:rowOff>95250</xdr:rowOff>
    </xdr:to>
    <xdr:graphicFrame macro="">
      <xdr:nvGraphicFramePr>
        <xdr:cNvPr id="1049" name="Chart 25">
          <a:extLst>
            <a:ext uri="{FF2B5EF4-FFF2-40B4-BE49-F238E27FC236}">
              <a16:creationId xmlns:a16="http://schemas.microsoft.com/office/drawing/2014/main" id="{08A5FCE0-DB67-EC50-4B53-CD6A62C9A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29</xdr:row>
      <xdr:rowOff>219075</xdr:rowOff>
    </xdr:to>
    <xdr:graphicFrame macro="">
      <xdr:nvGraphicFramePr>
        <xdr:cNvPr id="1050" name="Chart 26">
          <a:extLst>
            <a:ext uri="{FF2B5EF4-FFF2-40B4-BE49-F238E27FC236}">
              <a16:creationId xmlns:a16="http://schemas.microsoft.com/office/drawing/2014/main" id="{EE505F5D-320B-6B09-B7C4-9862887FF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67</xdr:row>
      <xdr:rowOff>28575</xdr:rowOff>
    </xdr:from>
    <xdr:to>
      <xdr:col>0</xdr:col>
      <xdr:colOff>0</xdr:colOff>
      <xdr:row>84</xdr:row>
      <xdr:rowOff>47625</xdr:rowOff>
    </xdr:to>
    <xdr:graphicFrame macro="">
      <xdr:nvGraphicFramePr>
        <xdr:cNvPr id="1051" name="Chart 27">
          <a:extLst>
            <a:ext uri="{FF2B5EF4-FFF2-40B4-BE49-F238E27FC236}">
              <a16:creationId xmlns:a16="http://schemas.microsoft.com/office/drawing/2014/main" id="{0F8A7AA4-ED9F-CB3A-0ED5-BAF298602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29</xdr:row>
      <xdr:rowOff>219075</xdr:rowOff>
    </xdr:to>
    <xdr:graphicFrame macro="">
      <xdr:nvGraphicFramePr>
        <xdr:cNvPr id="1052" name="Chart 28">
          <a:extLst>
            <a:ext uri="{FF2B5EF4-FFF2-40B4-BE49-F238E27FC236}">
              <a16:creationId xmlns:a16="http://schemas.microsoft.com/office/drawing/2014/main" id="{9736C56E-5D18-9702-CDE0-DF84B549F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46</xdr:row>
      <xdr:rowOff>38100</xdr:rowOff>
    </xdr:to>
    <xdr:graphicFrame macro="">
      <xdr:nvGraphicFramePr>
        <xdr:cNvPr id="1053" name="Chart 29">
          <a:extLst>
            <a:ext uri="{FF2B5EF4-FFF2-40B4-BE49-F238E27FC236}">
              <a16:creationId xmlns:a16="http://schemas.microsoft.com/office/drawing/2014/main" id="{F620C67E-03B8-4CF8-1000-EAFE2CD63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46</xdr:row>
      <xdr:rowOff>28575</xdr:rowOff>
    </xdr:to>
    <xdr:graphicFrame macro="">
      <xdr:nvGraphicFramePr>
        <xdr:cNvPr id="1054" name="Chart 30">
          <a:extLst>
            <a:ext uri="{FF2B5EF4-FFF2-40B4-BE49-F238E27FC236}">
              <a16:creationId xmlns:a16="http://schemas.microsoft.com/office/drawing/2014/main" id="{020E0AFC-6A3A-03A8-D352-9357D4E29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46</xdr:row>
      <xdr:rowOff>9525</xdr:rowOff>
    </xdr:from>
    <xdr:to>
      <xdr:col>21</xdr:col>
      <xdr:colOff>9525</xdr:colOff>
      <xdr:row>80</xdr:row>
      <xdr:rowOff>152400</xdr:rowOff>
    </xdr:to>
    <xdr:graphicFrame macro="">
      <xdr:nvGraphicFramePr>
        <xdr:cNvPr id="1055" name="Chart 31">
          <a:extLst>
            <a:ext uri="{FF2B5EF4-FFF2-40B4-BE49-F238E27FC236}">
              <a16:creationId xmlns:a16="http://schemas.microsoft.com/office/drawing/2014/main" id="{0D0D1D0F-7A80-77DC-8F43-D37A22CCC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19050</xdr:colOff>
      <xdr:row>7</xdr:row>
      <xdr:rowOff>19050</xdr:rowOff>
    </xdr:from>
    <xdr:to>
      <xdr:col>13</xdr:col>
      <xdr:colOff>142875</xdr:colOff>
      <xdr:row>25</xdr:row>
      <xdr:rowOff>76200</xdr:rowOff>
    </xdr:to>
    <xdr:graphicFrame macro="">
      <xdr:nvGraphicFramePr>
        <xdr:cNvPr id="1056" name="Chart 32">
          <a:extLst>
            <a:ext uri="{FF2B5EF4-FFF2-40B4-BE49-F238E27FC236}">
              <a16:creationId xmlns:a16="http://schemas.microsoft.com/office/drawing/2014/main" id="{CAA70DEE-86FC-A9F6-074E-7E4B93C11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</xdr:col>
      <xdr:colOff>9525</xdr:colOff>
      <xdr:row>82</xdr:row>
      <xdr:rowOff>85725</xdr:rowOff>
    </xdr:from>
    <xdr:to>
      <xdr:col>20</xdr:col>
      <xdr:colOff>666750</xdr:colOff>
      <xdr:row>103</xdr:row>
      <xdr:rowOff>0</xdr:rowOff>
    </xdr:to>
    <xdr:graphicFrame macro="">
      <xdr:nvGraphicFramePr>
        <xdr:cNvPr id="1057" name="Chart 33">
          <a:extLst>
            <a:ext uri="{FF2B5EF4-FFF2-40B4-BE49-F238E27FC236}">
              <a16:creationId xmlns:a16="http://schemas.microsoft.com/office/drawing/2014/main" id="{9E8E34F5-FC83-3346-FBB1-80A24E9B1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276225</xdr:colOff>
      <xdr:row>7</xdr:row>
      <xdr:rowOff>19050</xdr:rowOff>
    </xdr:from>
    <xdr:to>
      <xdr:col>21</xdr:col>
      <xdr:colOff>9525</xdr:colOff>
      <xdr:row>25</xdr:row>
      <xdr:rowOff>9525</xdr:rowOff>
    </xdr:to>
    <xdr:graphicFrame macro="">
      <xdr:nvGraphicFramePr>
        <xdr:cNvPr id="1058" name="Chart 34">
          <a:extLst>
            <a:ext uri="{FF2B5EF4-FFF2-40B4-BE49-F238E27FC236}">
              <a16:creationId xmlns:a16="http://schemas.microsoft.com/office/drawing/2014/main" id="{D4BC3408-2BDD-9E68-42FF-50A3A0085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104775</xdr:rowOff>
    </xdr:from>
    <xdr:to>
      <xdr:col>13</xdr:col>
      <xdr:colOff>142875</xdr:colOff>
      <xdr:row>43</xdr:row>
      <xdr:rowOff>152400</xdr:rowOff>
    </xdr:to>
    <xdr:graphicFrame macro="">
      <xdr:nvGraphicFramePr>
        <xdr:cNvPr id="1059" name="Chart 35">
          <a:extLst>
            <a:ext uri="{FF2B5EF4-FFF2-40B4-BE49-F238E27FC236}">
              <a16:creationId xmlns:a16="http://schemas.microsoft.com/office/drawing/2014/main" id="{8692E1B3-662F-1F88-1F87-738C5A5C3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304800</xdr:colOff>
      <xdr:row>25</xdr:row>
      <xdr:rowOff>76200</xdr:rowOff>
    </xdr:from>
    <xdr:to>
      <xdr:col>21</xdr:col>
      <xdr:colOff>28575</xdr:colOff>
      <xdr:row>43</xdr:row>
      <xdr:rowOff>142875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AB9904B6-F6BF-5F41-75CE-85FEFC98F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2</xdr:col>
      <xdr:colOff>390525</xdr:colOff>
      <xdr:row>30</xdr:row>
      <xdr:rowOff>38100</xdr:rowOff>
    </xdr:from>
    <xdr:ext cx="95250" cy="223838"/>
    <xdr:sp macro="" textlink="">
      <xdr:nvSpPr>
        <xdr:cNvPr id="1061" name="Text Box 37">
          <a:extLst>
            <a:ext uri="{FF2B5EF4-FFF2-40B4-BE49-F238E27FC236}">
              <a16:creationId xmlns:a16="http://schemas.microsoft.com/office/drawing/2014/main" id="{A3766774-F254-6F1D-D034-1FA574AC2A57}"/>
            </a:ext>
          </a:extLst>
        </xdr:cNvPr>
        <xdr:cNvSpPr txBox="1">
          <a:spLocks noChangeArrowheads="1"/>
        </xdr:cNvSpPr>
      </xdr:nvSpPr>
      <xdr:spPr bwMode="auto">
        <a:xfrm>
          <a:off x="3905250" y="5629275"/>
          <a:ext cx="952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2" name="Text Box 4">
          <a:extLst>
            <a:ext uri="{FF2B5EF4-FFF2-40B4-BE49-F238E27FC236}">
              <a16:creationId xmlns:a16="http://schemas.microsoft.com/office/drawing/2014/main" id="{0062371A-4B28-E4C4-07AB-97C7A8939F1B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3" name="Text Box 5">
          <a:extLst>
            <a:ext uri="{FF2B5EF4-FFF2-40B4-BE49-F238E27FC236}">
              <a16:creationId xmlns:a16="http://schemas.microsoft.com/office/drawing/2014/main" id="{50C163CC-D137-28C3-F36B-7AF224CEEBF4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4" name="Text Box 6">
          <a:extLst>
            <a:ext uri="{FF2B5EF4-FFF2-40B4-BE49-F238E27FC236}">
              <a16:creationId xmlns:a16="http://schemas.microsoft.com/office/drawing/2014/main" id="{61D73369-DC0E-EF86-4966-13BE3AEAF83D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5" name="Text Box 7">
          <a:extLst>
            <a:ext uri="{FF2B5EF4-FFF2-40B4-BE49-F238E27FC236}">
              <a16:creationId xmlns:a16="http://schemas.microsoft.com/office/drawing/2014/main" id="{0EC3DA3A-66DC-7F08-A0E3-1849E9022A52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6" name="Text Box 8">
          <a:extLst>
            <a:ext uri="{FF2B5EF4-FFF2-40B4-BE49-F238E27FC236}">
              <a16:creationId xmlns:a16="http://schemas.microsoft.com/office/drawing/2014/main" id="{933074DB-7800-40EA-D624-3A119C80B28F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7" name="Text Box 9">
          <a:extLst>
            <a:ext uri="{FF2B5EF4-FFF2-40B4-BE49-F238E27FC236}">
              <a16:creationId xmlns:a16="http://schemas.microsoft.com/office/drawing/2014/main" id="{6A99458D-595A-392C-B4D8-F2E3220BD98E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8" name="Text Box 10">
          <a:extLst>
            <a:ext uri="{FF2B5EF4-FFF2-40B4-BE49-F238E27FC236}">
              <a16:creationId xmlns:a16="http://schemas.microsoft.com/office/drawing/2014/main" id="{225EB7AC-AFBD-926D-019B-E1548EB315D3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9" name="Text Box 11">
          <a:extLst>
            <a:ext uri="{FF2B5EF4-FFF2-40B4-BE49-F238E27FC236}">
              <a16:creationId xmlns:a16="http://schemas.microsoft.com/office/drawing/2014/main" id="{427A1E95-F71F-3ECC-0F51-F607EA25EDD1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60" name="Text Box 12">
          <a:extLst>
            <a:ext uri="{FF2B5EF4-FFF2-40B4-BE49-F238E27FC236}">
              <a16:creationId xmlns:a16="http://schemas.microsoft.com/office/drawing/2014/main" id="{07B68C34-5E9A-A3BE-E4DA-11E51D7D3D2D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61" name="Text Box 13">
          <a:extLst>
            <a:ext uri="{FF2B5EF4-FFF2-40B4-BE49-F238E27FC236}">
              <a16:creationId xmlns:a16="http://schemas.microsoft.com/office/drawing/2014/main" id="{B1E5B20A-38AE-5803-3BF9-8838201C3A60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62" name="Text Box 14">
          <a:extLst>
            <a:ext uri="{FF2B5EF4-FFF2-40B4-BE49-F238E27FC236}">
              <a16:creationId xmlns:a16="http://schemas.microsoft.com/office/drawing/2014/main" id="{35E95DBD-CE4A-D675-2937-45C207067F1E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63" name="Text Box 15">
          <a:extLst>
            <a:ext uri="{FF2B5EF4-FFF2-40B4-BE49-F238E27FC236}">
              <a16:creationId xmlns:a16="http://schemas.microsoft.com/office/drawing/2014/main" id="{738C3565-7F9B-3863-0A87-527DE82813A6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64" name="Text Box 16">
          <a:extLst>
            <a:ext uri="{FF2B5EF4-FFF2-40B4-BE49-F238E27FC236}">
              <a16:creationId xmlns:a16="http://schemas.microsoft.com/office/drawing/2014/main" id="{D7C2318E-1949-A866-BAE5-321016126854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65" name="Text Box 17">
          <a:extLst>
            <a:ext uri="{FF2B5EF4-FFF2-40B4-BE49-F238E27FC236}">
              <a16:creationId xmlns:a16="http://schemas.microsoft.com/office/drawing/2014/main" id="{0F71F70E-5180-7464-A203-712C4CD38A88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66" name="Text Box 18">
          <a:extLst>
            <a:ext uri="{FF2B5EF4-FFF2-40B4-BE49-F238E27FC236}">
              <a16:creationId xmlns:a16="http://schemas.microsoft.com/office/drawing/2014/main" id="{36937F63-08B0-890C-712E-DEF41C5F094F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67" name="Text Box 19">
          <a:extLst>
            <a:ext uri="{FF2B5EF4-FFF2-40B4-BE49-F238E27FC236}">
              <a16:creationId xmlns:a16="http://schemas.microsoft.com/office/drawing/2014/main" id="{531782E4-89F0-1401-FE77-964C7299A263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68" name="Text Box 20">
          <a:extLst>
            <a:ext uri="{FF2B5EF4-FFF2-40B4-BE49-F238E27FC236}">
              <a16:creationId xmlns:a16="http://schemas.microsoft.com/office/drawing/2014/main" id="{D4885A01-2A38-B968-CE75-66E996006825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69" name="Text Box 21">
          <a:extLst>
            <a:ext uri="{FF2B5EF4-FFF2-40B4-BE49-F238E27FC236}">
              <a16:creationId xmlns:a16="http://schemas.microsoft.com/office/drawing/2014/main" id="{DEB46943-7B3D-AAF1-E7AD-BE7A221D1BA4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70" name="Text Box 22">
          <a:extLst>
            <a:ext uri="{FF2B5EF4-FFF2-40B4-BE49-F238E27FC236}">
              <a16:creationId xmlns:a16="http://schemas.microsoft.com/office/drawing/2014/main" id="{7E50B3A8-B18F-AE2B-C054-326BD4EED423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71" name="Text Box 23">
          <a:extLst>
            <a:ext uri="{FF2B5EF4-FFF2-40B4-BE49-F238E27FC236}">
              <a16:creationId xmlns:a16="http://schemas.microsoft.com/office/drawing/2014/main" id="{A90F7F66-3657-FC41-E211-8071C299E955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2" name="Text Box 24">
          <a:extLst>
            <a:ext uri="{FF2B5EF4-FFF2-40B4-BE49-F238E27FC236}">
              <a16:creationId xmlns:a16="http://schemas.microsoft.com/office/drawing/2014/main" id="{8E8629BA-72D5-57D9-23B0-673F033DB158}"/>
            </a:ext>
          </a:extLst>
        </xdr:cNvPr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3" name="Text Box 25">
          <a:extLst>
            <a:ext uri="{FF2B5EF4-FFF2-40B4-BE49-F238E27FC236}">
              <a16:creationId xmlns:a16="http://schemas.microsoft.com/office/drawing/2014/main" id="{85A66FBC-AE14-472B-97AE-9B42F58AB5E8}"/>
            </a:ext>
          </a:extLst>
        </xdr:cNvPr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4" name="Text Box 26">
          <a:extLst>
            <a:ext uri="{FF2B5EF4-FFF2-40B4-BE49-F238E27FC236}">
              <a16:creationId xmlns:a16="http://schemas.microsoft.com/office/drawing/2014/main" id="{C89C7BA3-EFDD-7E75-34C1-30BF001E5CEB}"/>
            </a:ext>
          </a:extLst>
        </xdr:cNvPr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5" name="Text Box 27">
          <a:extLst>
            <a:ext uri="{FF2B5EF4-FFF2-40B4-BE49-F238E27FC236}">
              <a16:creationId xmlns:a16="http://schemas.microsoft.com/office/drawing/2014/main" id="{B3576340-69DF-433D-51E1-B942D77D57A1}"/>
            </a:ext>
          </a:extLst>
        </xdr:cNvPr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6" name="Text Box 28">
          <a:extLst>
            <a:ext uri="{FF2B5EF4-FFF2-40B4-BE49-F238E27FC236}">
              <a16:creationId xmlns:a16="http://schemas.microsoft.com/office/drawing/2014/main" id="{1673B3B2-48B6-D957-D097-8A5BFCCFF73E}"/>
            </a:ext>
          </a:extLst>
        </xdr:cNvPr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7" name="Text Box 29">
          <a:extLst>
            <a:ext uri="{FF2B5EF4-FFF2-40B4-BE49-F238E27FC236}">
              <a16:creationId xmlns:a16="http://schemas.microsoft.com/office/drawing/2014/main" id="{DAAFAE80-AC51-9671-4AF6-5D119662AB56}"/>
            </a:ext>
          </a:extLst>
        </xdr:cNvPr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8" name="Text Box 30">
          <a:extLst>
            <a:ext uri="{FF2B5EF4-FFF2-40B4-BE49-F238E27FC236}">
              <a16:creationId xmlns:a16="http://schemas.microsoft.com/office/drawing/2014/main" id="{57FD9558-D6CB-9F9A-0660-F9B0F6F4F494}"/>
            </a:ext>
          </a:extLst>
        </xdr:cNvPr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9" name="Text Box 31">
          <a:extLst>
            <a:ext uri="{FF2B5EF4-FFF2-40B4-BE49-F238E27FC236}">
              <a16:creationId xmlns:a16="http://schemas.microsoft.com/office/drawing/2014/main" id="{D224E82D-3927-63F4-5956-E19CEC78EE99}"/>
            </a:ext>
          </a:extLst>
        </xdr:cNvPr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80" name="Text Box 32">
          <a:extLst>
            <a:ext uri="{FF2B5EF4-FFF2-40B4-BE49-F238E27FC236}">
              <a16:creationId xmlns:a16="http://schemas.microsoft.com/office/drawing/2014/main" id="{2250F91A-2290-AE34-780E-947C80954122}"/>
            </a:ext>
          </a:extLst>
        </xdr:cNvPr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81" name="Text Box 33">
          <a:extLst>
            <a:ext uri="{FF2B5EF4-FFF2-40B4-BE49-F238E27FC236}">
              <a16:creationId xmlns:a16="http://schemas.microsoft.com/office/drawing/2014/main" id="{8B102D26-97AD-9D57-F6F8-97C84F912A31}"/>
            </a:ext>
          </a:extLst>
        </xdr:cNvPr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2" name="Text Box 34">
          <a:extLst>
            <a:ext uri="{FF2B5EF4-FFF2-40B4-BE49-F238E27FC236}">
              <a16:creationId xmlns:a16="http://schemas.microsoft.com/office/drawing/2014/main" id="{90EB13E9-CFBB-2828-0F67-4D5335EEF60E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3" name="Text Box 35">
          <a:extLst>
            <a:ext uri="{FF2B5EF4-FFF2-40B4-BE49-F238E27FC236}">
              <a16:creationId xmlns:a16="http://schemas.microsoft.com/office/drawing/2014/main" id="{FD3C2FD5-5CED-4F13-354C-D342CC255BBE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4" name="Text Box 36">
          <a:extLst>
            <a:ext uri="{FF2B5EF4-FFF2-40B4-BE49-F238E27FC236}">
              <a16:creationId xmlns:a16="http://schemas.microsoft.com/office/drawing/2014/main" id="{1FB7624A-4336-97E5-1592-B944B7456A68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5" name="Text Box 37">
          <a:extLst>
            <a:ext uri="{FF2B5EF4-FFF2-40B4-BE49-F238E27FC236}">
              <a16:creationId xmlns:a16="http://schemas.microsoft.com/office/drawing/2014/main" id="{35CA22A4-CBC5-1ED8-6357-87CF11409E65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6" name="Text Box 38">
          <a:extLst>
            <a:ext uri="{FF2B5EF4-FFF2-40B4-BE49-F238E27FC236}">
              <a16:creationId xmlns:a16="http://schemas.microsoft.com/office/drawing/2014/main" id="{E457BB8A-7BB9-D1DA-EFD4-0AEEE0621E26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7" name="Text Box 39">
          <a:extLst>
            <a:ext uri="{FF2B5EF4-FFF2-40B4-BE49-F238E27FC236}">
              <a16:creationId xmlns:a16="http://schemas.microsoft.com/office/drawing/2014/main" id="{7C82421A-5640-CD7D-06A5-D609FD45E6A6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8" name="Text Box 40">
          <a:extLst>
            <a:ext uri="{FF2B5EF4-FFF2-40B4-BE49-F238E27FC236}">
              <a16:creationId xmlns:a16="http://schemas.microsoft.com/office/drawing/2014/main" id="{3C8730D9-13A8-7E87-49C6-7112BB9002FD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9" name="Text Box 41">
          <a:extLst>
            <a:ext uri="{FF2B5EF4-FFF2-40B4-BE49-F238E27FC236}">
              <a16:creationId xmlns:a16="http://schemas.microsoft.com/office/drawing/2014/main" id="{A47C77C4-52B4-67CC-A1D2-6CD8D5731CC4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90" name="Text Box 42">
          <a:extLst>
            <a:ext uri="{FF2B5EF4-FFF2-40B4-BE49-F238E27FC236}">
              <a16:creationId xmlns:a16="http://schemas.microsoft.com/office/drawing/2014/main" id="{54AC06E9-DDF7-A4ED-07AB-4DA98222BA76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91" name="Text Box 43">
          <a:extLst>
            <a:ext uri="{FF2B5EF4-FFF2-40B4-BE49-F238E27FC236}">
              <a16:creationId xmlns:a16="http://schemas.microsoft.com/office/drawing/2014/main" id="{A4D23367-D3D9-BF59-97DC-07B69593F873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92" name="Text Box 44">
          <a:extLst>
            <a:ext uri="{FF2B5EF4-FFF2-40B4-BE49-F238E27FC236}">
              <a16:creationId xmlns:a16="http://schemas.microsoft.com/office/drawing/2014/main" id="{4885BDEA-98BD-89B8-3F83-AD5A810233A7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93" name="Text Box 45">
          <a:extLst>
            <a:ext uri="{FF2B5EF4-FFF2-40B4-BE49-F238E27FC236}">
              <a16:creationId xmlns:a16="http://schemas.microsoft.com/office/drawing/2014/main" id="{BEDE4E8F-DD63-CA00-08F1-264ACAF17E54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94" name="Text Box 46">
          <a:extLst>
            <a:ext uri="{FF2B5EF4-FFF2-40B4-BE49-F238E27FC236}">
              <a16:creationId xmlns:a16="http://schemas.microsoft.com/office/drawing/2014/main" id="{1EAB5B42-38CD-D3E0-3274-B0B0BCCE4BA5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98" name="Text Box 50">
          <a:extLst>
            <a:ext uri="{FF2B5EF4-FFF2-40B4-BE49-F238E27FC236}">
              <a16:creationId xmlns:a16="http://schemas.microsoft.com/office/drawing/2014/main" id="{3F8834F9-3370-B90B-9F2E-D1EA7B642E70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102" name="Text Box 54">
          <a:extLst>
            <a:ext uri="{FF2B5EF4-FFF2-40B4-BE49-F238E27FC236}">
              <a16:creationId xmlns:a16="http://schemas.microsoft.com/office/drawing/2014/main" id="{A4071361-2F52-EDD6-2921-4FF6B279C7F8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107" name="Text Box 59">
          <a:extLst>
            <a:ext uri="{FF2B5EF4-FFF2-40B4-BE49-F238E27FC236}">
              <a16:creationId xmlns:a16="http://schemas.microsoft.com/office/drawing/2014/main" id="{7F2AB6BF-C0C0-9C46-2D52-73CE4D0742D4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112" name="Text Box 64">
          <a:extLst>
            <a:ext uri="{FF2B5EF4-FFF2-40B4-BE49-F238E27FC236}">
              <a16:creationId xmlns:a16="http://schemas.microsoft.com/office/drawing/2014/main" id="{9F8C44FD-86D0-379F-2685-1823B53562FE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117" name="Text Box 69">
          <a:extLst>
            <a:ext uri="{FF2B5EF4-FFF2-40B4-BE49-F238E27FC236}">
              <a16:creationId xmlns:a16="http://schemas.microsoft.com/office/drawing/2014/main" id="{BDD4DC98-2302-EE6C-760B-A2321805B8AC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390525</xdr:colOff>
      <xdr:row>30</xdr:row>
      <xdr:rowOff>38100</xdr:rowOff>
    </xdr:from>
    <xdr:ext cx="104775" cy="212725"/>
    <xdr:sp macro="" textlink="">
      <xdr:nvSpPr>
        <xdr:cNvPr id="2122" name="Text Box 74">
          <a:extLst>
            <a:ext uri="{FF2B5EF4-FFF2-40B4-BE49-F238E27FC236}">
              <a16:creationId xmlns:a16="http://schemas.microsoft.com/office/drawing/2014/main" id="{E9FC14EC-63DE-F8D5-E0E7-84365DF737F2}"/>
            </a:ext>
          </a:extLst>
        </xdr:cNvPr>
        <xdr:cNvSpPr txBox="1">
          <a:spLocks noChangeArrowheads="1"/>
        </xdr:cNvSpPr>
      </xdr:nvSpPr>
      <xdr:spPr bwMode="auto">
        <a:xfrm>
          <a:off x="39052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390525</xdr:colOff>
      <xdr:row>30</xdr:row>
      <xdr:rowOff>38100</xdr:rowOff>
    </xdr:from>
    <xdr:ext cx="104775" cy="212725"/>
    <xdr:sp macro="" textlink="">
      <xdr:nvSpPr>
        <xdr:cNvPr id="2128" name="Text Box 80">
          <a:extLst>
            <a:ext uri="{FF2B5EF4-FFF2-40B4-BE49-F238E27FC236}">
              <a16:creationId xmlns:a16="http://schemas.microsoft.com/office/drawing/2014/main" id="{E367E843-3345-2527-A7BF-C31D32F9F9FD}"/>
            </a:ext>
          </a:extLst>
        </xdr:cNvPr>
        <xdr:cNvSpPr txBox="1">
          <a:spLocks noChangeArrowheads="1"/>
        </xdr:cNvSpPr>
      </xdr:nvSpPr>
      <xdr:spPr bwMode="auto">
        <a:xfrm>
          <a:off x="11991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134" name="Text Box 86">
          <a:extLst>
            <a:ext uri="{FF2B5EF4-FFF2-40B4-BE49-F238E27FC236}">
              <a16:creationId xmlns:a16="http://schemas.microsoft.com/office/drawing/2014/main" id="{35CF2AEC-22BB-190B-01F4-211EA1AA15E3}"/>
            </a:ext>
          </a:extLst>
        </xdr:cNvPr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390525</xdr:colOff>
      <xdr:row>30</xdr:row>
      <xdr:rowOff>38100</xdr:rowOff>
    </xdr:from>
    <xdr:ext cx="104775" cy="212725"/>
    <xdr:sp macro="" textlink="">
      <xdr:nvSpPr>
        <xdr:cNvPr id="2140" name="Text Box 92">
          <a:extLst>
            <a:ext uri="{FF2B5EF4-FFF2-40B4-BE49-F238E27FC236}">
              <a16:creationId xmlns:a16="http://schemas.microsoft.com/office/drawing/2014/main" id="{B4FB8A04-3EFF-08DC-9487-26FA214D2177}"/>
            </a:ext>
          </a:extLst>
        </xdr:cNvPr>
        <xdr:cNvSpPr txBox="1">
          <a:spLocks noChangeArrowheads="1"/>
        </xdr:cNvSpPr>
      </xdr:nvSpPr>
      <xdr:spPr bwMode="auto">
        <a:xfrm>
          <a:off x="39052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390525</xdr:colOff>
      <xdr:row>30</xdr:row>
      <xdr:rowOff>38100</xdr:rowOff>
    </xdr:from>
    <xdr:ext cx="104775" cy="212725"/>
    <xdr:sp macro="" textlink="">
      <xdr:nvSpPr>
        <xdr:cNvPr id="2146" name="Text Box 98">
          <a:extLst>
            <a:ext uri="{FF2B5EF4-FFF2-40B4-BE49-F238E27FC236}">
              <a16:creationId xmlns:a16="http://schemas.microsoft.com/office/drawing/2014/main" id="{D80784E7-D9CC-A02F-112D-E9285E7D40D0}"/>
            </a:ext>
          </a:extLst>
        </xdr:cNvPr>
        <xdr:cNvSpPr txBox="1">
          <a:spLocks noChangeArrowheads="1"/>
        </xdr:cNvSpPr>
      </xdr:nvSpPr>
      <xdr:spPr bwMode="auto">
        <a:xfrm>
          <a:off x="11991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390525</xdr:colOff>
      <xdr:row>30</xdr:row>
      <xdr:rowOff>38100</xdr:rowOff>
    </xdr:from>
    <xdr:ext cx="104775" cy="212725"/>
    <xdr:sp macro="" textlink="">
      <xdr:nvSpPr>
        <xdr:cNvPr id="2152" name="Text Box 104">
          <a:extLst>
            <a:ext uri="{FF2B5EF4-FFF2-40B4-BE49-F238E27FC236}">
              <a16:creationId xmlns:a16="http://schemas.microsoft.com/office/drawing/2014/main" id="{E98F2900-C66A-0244-D8B8-813CF07D168F}"/>
            </a:ext>
          </a:extLst>
        </xdr:cNvPr>
        <xdr:cNvSpPr txBox="1">
          <a:spLocks noChangeArrowheads="1"/>
        </xdr:cNvSpPr>
      </xdr:nvSpPr>
      <xdr:spPr bwMode="auto">
        <a:xfrm>
          <a:off x="39052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390525</xdr:colOff>
      <xdr:row>30</xdr:row>
      <xdr:rowOff>38100</xdr:rowOff>
    </xdr:from>
    <xdr:ext cx="104775" cy="212725"/>
    <xdr:sp macro="" textlink="">
      <xdr:nvSpPr>
        <xdr:cNvPr id="2158" name="Text Box 110">
          <a:extLst>
            <a:ext uri="{FF2B5EF4-FFF2-40B4-BE49-F238E27FC236}">
              <a16:creationId xmlns:a16="http://schemas.microsoft.com/office/drawing/2014/main" id="{E219D653-88AE-45FA-0331-81E08F9BE78F}"/>
            </a:ext>
          </a:extLst>
        </xdr:cNvPr>
        <xdr:cNvSpPr txBox="1">
          <a:spLocks noChangeArrowheads="1"/>
        </xdr:cNvSpPr>
      </xdr:nvSpPr>
      <xdr:spPr bwMode="auto">
        <a:xfrm>
          <a:off x="11991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390525</xdr:colOff>
      <xdr:row>30</xdr:row>
      <xdr:rowOff>38100</xdr:rowOff>
    </xdr:from>
    <xdr:ext cx="104775" cy="212725"/>
    <xdr:sp macro="" textlink="">
      <xdr:nvSpPr>
        <xdr:cNvPr id="2164" name="Text Box 116">
          <a:extLst>
            <a:ext uri="{FF2B5EF4-FFF2-40B4-BE49-F238E27FC236}">
              <a16:creationId xmlns:a16="http://schemas.microsoft.com/office/drawing/2014/main" id="{139EA06B-B5B3-F3CD-131B-C3A3F9AD70DE}"/>
            </a:ext>
          </a:extLst>
        </xdr:cNvPr>
        <xdr:cNvSpPr txBox="1">
          <a:spLocks noChangeArrowheads="1"/>
        </xdr:cNvSpPr>
      </xdr:nvSpPr>
      <xdr:spPr bwMode="auto">
        <a:xfrm>
          <a:off x="200977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70" name="Text Box 122">
          <a:extLst>
            <a:ext uri="{FF2B5EF4-FFF2-40B4-BE49-F238E27FC236}">
              <a16:creationId xmlns:a16="http://schemas.microsoft.com/office/drawing/2014/main" id="{991561E4-3326-DAF3-EEA0-9DEF50483E45}"/>
            </a:ext>
          </a:extLst>
        </xdr:cNvPr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71" name="Text Box 123">
          <a:extLst>
            <a:ext uri="{FF2B5EF4-FFF2-40B4-BE49-F238E27FC236}">
              <a16:creationId xmlns:a16="http://schemas.microsoft.com/office/drawing/2014/main" id="{EA5A298A-6C26-AB03-2E33-6F2598DA17C8}"/>
            </a:ext>
          </a:extLst>
        </xdr:cNvPr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72" name="Text Box 124">
          <a:extLst>
            <a:ext uri="{FF2B5EF4-FFF2-40B4-BE49-F238E27FC236}">
              <a16:creationId xmlns:a16="http://schemas.microsoft.com/office/drawing/2014/main" id="{B20A1F8B-A28E-EE4B-509E-92C47B1BA8C7}"/>
            </a:ext>
          </a:extLst>
        </xdr:cNvPr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73" name="Text Box 125">
          <a:extLst>
            <a:ext uri="{FF2B5EF4-FFF2-40B4-BE49-F238E27FC236}">
              <a16:creationId xmlns:a16="http://schemas.microsoft.com/office/drawing/2014/main" id="{9A845B4B-7B2A-C5C4-67FF-E8D1FA633312}"/>
            </a:ext>
          </a:extLst>
        </xdr:cNvPr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74" name="Text Box 126">
          <a:extLst>
            <a:ext uri="{FF2B5EF4-FFF2-40B4-BE49-F238E27FC236}">
              <a16:creationId xmlns:a16="http://schemas.microsoft.com/office/drawing/2014/main" id="{4156521C-A663-4E85-9E44-0C213E7805EF}"/>
            </a:ext>
          </a:extLst>
        </xdr:cNvPr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75" name="Text Box 127">
          <a:extLst>
            <a:ext uri="{FF2B5EF4-FFF2-40B4-BE49-F238E27FC236}">
              <a16:creationId xmlns:a16="http://schemas.microsoft.com/office/drawing/2014/main" id="{7D8C8F84-9317-E385-F2B1-0B7AC3D3CD78}"/>
            </a:ext>
          </a:extLst>
        </xdr:cNvPr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76" name="Text Box 128">
          <a:extLst>
            <a:ext uri="{FF2B5EF4-FFF2-40B4-BE49-F238E27FC236}">
              <a16:creationId xmlns:a16="http://schemas.microsoft.com/office/drawing/2014/main" id="{13A86136-534A-8C67-AF14-EAF5CF2238B1}"/>
            </a:ext>
          </a:extLst>
        </xdr:cNvPr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77" name="Text Box 129">
          <a:extLst>
            <a:ext uri="{FF2B5EF4-FFF2-40B4-BE49-F238E27FC236}">
              <a16:creationId xmlns:a16="http://schemas.microsoft.com/office/drawing/2014/main" id="{2FB8C301-09A7-A6CC-432B-B0A7FFBFDD4B}"/>
            </a:ext>
          </a:extLst>
        </xdr:cNvPr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78" name="Text Box 130">
          <a:extLst>
            <a:ext uri="{FF2B5EF4-FFF2-40B4-BE49-F238E27FC236}">
              <a16:creationId xmlns:a16="http://schemas.microsoft.com/office/drawing/2014/main" id="{85E38C76-0B8E-1118-5800-63CC0BEF9435}"/>
            </a:ext>
          </a:extLst>
        </xdr:cNvPr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79" name="Text Box 131">
          <a:extLst>
            <a:ext uri="{FF2B5EF4-FFF2-40B4-BE49-F238E27FC236}">
              <a16:creationId xmlns:a16="http://schemas.microsoft.com/office/drawing/2014/main" id="{CF5B8463-A458-4E1D-2CF4-626164ED102D}"/>
            </a:ext>
          </a:extLst>
        </xdr:cNvPr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104775" cy="212725"/>
    <xdr:sp macro="" textlink="">
      <xdr:nvSpPr>
        <xdr:cNvPr id="2180" name="Text Box 132">
          <a:extLst>
            <a:ext uri="{FF2B5EF4-FFF2-40B4-BE49-F238E27FC236}">
              <a16:creationId xmlns:a16="http://schemas.microsoft.com/office/drawing/2014/main" id="{FDB788D1-D874-5CC2-25F6-42E101E0F22D}"/>
            </a:ext>
          </a:extLst>
        </xdr:cNvPr>
        <xdr:cNvSpPr txBox="1">
          <a:spLocks noChangeArrowheads="1"/>
        </xdr:cNvSpPr>
      </xdr:nvSpPr>
      <xdr:spPr bwMode="auto">
        <a:xfrm>
          <a:off x="242697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390525</xdr:colOff>
      <xdr:row>30</xdr:row>
      <xdr:rowOff>38100</xdr:rowOff>
    </xdr:from>
    <xdr:ext cx="104775" cy="212725"/>
    <xdr:sp macro="" textlink="">
      <xdr:nvSpPr>
        <xdr:cNvPr id="2181" name="Text Box 133">
          <a:extLst>
            <a:ext uri="{FF2B5EF4-FFF2-40B4-BE49-F238E27FC236}">
              <a16:creationId xmlns:a16="http://schemas.microsoft.com/office/drawing/2014/main" id="{C8D424C9-41DC-098D-EC09-D3F38540C5DE}"/>
            </a:ext>
          </a:extLst>
        </xdr:cNvPr>
        <xdr:cNvSpPr txBox="1">
          <a:spLocks noChangeArrowheads="1"/>
        </xdr:cNvSpPr>
      </xdr:nvSpPr>
      <xdr:spPr bwMode="auto">
        <a:xfrm>
          <a:off x="281654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87" name="Text Box 139">
          <a:extLst>
            <a:ext uri="{FF2B5EF4-FFF2-40B4-BE49-F238E27FC236}">
              <a16:creationId xmlns:a16="http://schemas.microsoft.com/office/drawing/2014/main" id="{56112F1A-5B02-5546-55F7-7B0C289A0952}"/>
            </a:ext>
          </a:extLst>
        </xdr:cNvPr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88" name="Text Box 140">
          <a:extLst>
            <a:ext uri="{FF2B5EF4-FFF2-40B4-BE49-F238E27FC236}">
              <a16:creationId xmlns:a16="http://schemas.microsoft.com/office/drawing/2014/main" id="{637673E4-6EC7-57B2-B839-16E2670EA133}"/>
            </a:ext>
          </a:extLst>
        </xdr:cNvPr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89" name="Text Box 141">
          <a:extLst>
            <a:ext uri="{FF2B5EF4-FFF2-40B4-BE49-F238E27FC236}">
              <a16:creationId xmlns:a16="http://schemas.microsoft.com/office/drawing/2014/main" id="{335C0391-E68B-2AB9-7F13-E28E73182E60}"/>
            </a:ext>
          </a:extLst>
        </xdr:cNvPr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90" name="Text Box 142">
          <a:extLst>
            <a:ext uri="{FF2B5EF4-FFF2-40B4-BE49-F238E27FC236}">
              <a16:creationId xmlns:a16="http://schemas.microsoft.com/office/drawing/2014/main" id="{7891F9C5-FDC6-9717-9BF0-65F3891057FD}"/>
            </a:ext>
          </a:extLst>
        </xdr:cNvPr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91" name="Text Box 143">
          <a:extLst>
            <a:ext uri="{FF2B5EF4-FFF2-40B4-BE49-F238E27FC236}">
              <a16:creationId xmlns:a16="http://schemas.microsoft.com/office/drawing/2014/main" id="{A330DB6E-6718-BA08-CEE9-79388E017F6A}"/>
            </a:ext>
          </a:extLst>
        </xdr:cNvPr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92" name="Text Box 144">
          <a:extLst>
            <a:ext uri="{FF2B5EF4-FFF2-40B4-BE49-F238E27FC236}">
              <a16:creationId xmlns:a16="http://schemas.microsoft.com/office/drawing/2014/main" id="{00EA5AD0-3F19-F6E3-C690-F76E94D159C6}"/>
            </a:ext>
          </a:extLst>
        </xdr:cNvPr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93" name="Text Box 145">
          <a:extLst>
            <a:ext uri="{FF2B5EF4-FFF2-40B4-BE49-F238E27FC236}">
              <a16:creationId xmlns:a16="http://schemas.microsoft.com/office/drawing/2014/main" id="{DC06088B-79E3-56BA-A984-5CA15F6B8F5E}"/>
            </a:ext>
          </a:extLst>
        </xdr:cNvPr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94" name="Text Box 146">
          <a:extLst>
            <a:ext uri="{FF2B5EF4-FFF2-40B4-BE49-F238E27FC236}">
              <a16:creationId xmlns:a16="http://schemas.microsoft.com/office/drawing/2014/main" id="{7E8F2963-ECD7-F632-56CF-9BE1BD2718E4}"/>
            </a:ext>
          </a:extLst>
        </xdr:cNvPr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95" name="Text Box 147">
          <a:extLst>
            <a:ext uri="{FF2B5EF4-FFF2-40B4-BE49-F238E27FC236}">
              <a16:creationId xmlns:a16="http://schemas.microsoft.com/office/drawing/2014/main" id="{20B14AEC-FC00-9EA2-D1EC-7D81D8DD7FBA}"/>
            </a:ext>
          </a:extLst>
        </xdr:cNvPr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96" name="Text Box 148">
          <a:extLst>
            <a:ext uri="{FF2B5EF4-FFF2-40B4-BE49-F238E27FC236}">
              <a16:creationId xmlns:a16="http://schemas.microsoft.com/office/drawing/2014/main" id="{BA92DB79-7CFE-0695-B65A-0BE76217F397}"/>
            </a:ext>
          </a:extLst>
        </xdr:cNvPr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97" name="Text Box 149">
          <a:extLst>
            <a:ext uri="{FF2B5EF4-FFF2-40B4-BE49-F238E27FC236}">
              <a16:creationId xmlns:a16="http://schemas.microsoft.com/office/drawing/2014/main" id="{F2E22E12-520E-31ED-8EFE-2DC6AD400517}"/>
            </a:ext>
          </a:extLst>
        </xdr:cNvPr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104775" cy="212725"/>
    <xdr:sp macro="" textlink="">
      <xdr:nvSpPr>
        <xdr:cNvPr id="2198" name="Text Box 150">
          <a:extLst>
            <a:ext uri="{FF2B5EF4-FFF2-40B4-BE49-F238E27FC236}">
              <a16:creationId xmlns:a16="http://schemas.microsoft.com/office/drawing/2014/main" id="{C8F863AE-868D-6DA7-B00A-B82B101EC7E7}"/>
            </a:ext>
          </a:extLst>
        </xdr:cNvPr>
        <xdr:cNvSpPr txBox="1">
          <a:spLocks noChangeArrowheads="1"/>
        </xdr:cNvSpPr>
      </xdr:nvSpPr>
      <xdr:spPr bwMode="auto">
        <a:xfrm>
          <a:off x="323373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M65"/>
  <sheetViews>
    <sheetView tabSelected="1" zoomScale="80" workbookViewId="0">
      <pane ySplit="1" topLeftCell="A2" activePane="bottomLeft" state="frozenSplit"/>
      <selection pane="bottomLeft" activeCell="D1" sqref="D1"/>
    </sheetView>
  </sheetViews>
  <sheetFormatPr defaultRowHeight="12.75" x14ac:dyDescent="0.2"/>
  <cols>
    <col min="1" max="1" width="41.28515625" style="2" customWidth="1"/>
    <col min="2" max="2" width="11.42578125" style="2" bestFit="1" customWidth="1"/>
    <col min="3" max="3" width="12.28515625" style="2" bestFit="1" customWidth="1"/>
    <col min="4" max="4" width="37.28515625" style="2" customWidth="1"/>
    <col min="5" max="5" width="12.42578125" style="2" bestFit="1" customWidth="1"/>
    <col min="6" max="6" width="12.140625" style="2" customWidth="1"/>
    <col min="7" max="7" width="12.28515625" style="2" bestFit="1" customWidth="1"/>
    <col min="8" max="8" width="11.5703125" style="2" customWidth="1"/>
    <col min="9" max="9" width="11.85546875" style="2" customWidth="1"/>
    <col min="10" max="10" width="18.140625" style="2" bestFit="1" customWidth="1"/>
    <col min="11" max="12" width="13.7109375" style="2" customWidth="1"/>
    <col min="13" max="13" width="13.5703125" style="2" customWidth="1"/>
    <col min="14" max="14" width="9.140625" style="2"/>
    <col min="15" max="15" width="19" style="2" customWidth="1"/>
    <col min="16" max="16" width="10.7109375" style="2" bestFit="1" customWidth="1"/>
    <col min="17" max="17" width="11.85546875" style="2" bestFit="1" customWidth="1"/>
    <col min="18" max="18" width="10" style="2" bestFit="1" customWidth="1"/>
    <col min="19" max="19" width="20.7109375" style="2" customWidth="1"/>
    <col min="20" max="20" width="10.7109375" style="2" bestFit="1" customWidth="1"/>
    <col min="21" max="21" width="10.5703125" style="2" bestFit="1" customWidth="1"/>
    <col min="22" max="22" width="3.140625" style="2" customWidth="1"/>
    <col min="23" max="23" width="11.85546875" style="2" bestFit="1" customWidth="1"/>
    <col min="24" max="24" width="10.28515625" style="2" customWidth="1"/>
    <col min="25" max="25" width="12.28515625" style="2" bestFit="1" customWidth="1"/>
    <col min="26" max="26" width="9.85546875" style="2" customWidth="1"/>
    <col min="27" max="27" width="2" style="2" customWidth="1"/>
    <col min="28" max="30" width="9.28515625" style="2" bestFit="1" customWidth="1"/>
    <col min="31" max="31" width="10.42578125" style="2" bestFit="1" customWidth="1"/>
    <col min="32" max="32" width="13.7109375" style="2" customWidth="1"/>
    <col min="33" max="33" width="17" style="2" customWidth="1"/>
    <col min="34" max="34" width="20.140625" style="2" customWidth="1"/>
    <col min="35" max="35" width="9.140625" style="2"/>
    <col min="36" max="36" width="15.42578125" style="2" customWidth="1"/>
    <col min="37" max="37" width="14.7109375" style="2" customWidth="1"/>
    <col min="38" max="38" width="16.5703125" style="2" customWidth="1"/>
    <col min="39" max="16384" width="9.140625" style="2"/>
  </cols>
  <sheetData>
    <row r="1" spans="1:39" ht="51" customHeight="1" thickBot="1" x14ac:dyDescent="0.25">
      <c r="A1" s="2" t="s">
        <v>0</v>
      </c>
      <c r="B1" s="3">
        <f ca="1">TODAY()</f>
        <v>37221</v>
      </c>
      <c r="F1" s="4" t="s">
        <v>1</v>
      </c>
      <c r="G1" s="5">
        <v>700000</v>
      </c>
      <c r="H1" s="6"/>
      <c r="I1" s="7" t="s">
        <v>2</v>
      </c>
      <c r="J1" s="8">
        <v>115000</v>
      </c>
      <c r="O1" s="42" t="s">
        <v>3</v>
      </c>
      <c r="P1" s="11">
        <f ca="1">TODAY()+2</f>
        <v>37223</v>
      </c>
      <c r="Q1" s="12">
        <v>800000</v>
      </c>
      <c r="S1" s="42" t="s">
        <v>4</v>
      </c>
      <c r="T1" s="11">
        <f ca="1">TODAY()+2</f>
        <v>37223</v>
      </c>
      <c r="U1" s="12">
        <v>136000</v>
      </c>
      <c r="X1" s="10" t="s">
        <v>5</v>
      </c>
      <c r="Y1" s="10" t="s">
        <v>45</v>
      </c>
      <c r="Z1" s="10" t="s">
        <v>6</v>
      </c>
      <c r="AA1" s="10"/>
      <c r="AB1" s="10" t="s">
        <v>56</v>
      </c>
      <c r="AC1" s="10" t="s">
        <v>57</v>
      </c>
      <c r="AD1" s="10" t="s">
        <v>58</v>
      </c>
      <c r="AG1" s="10" t="s">
        <v>7</v>
      </c>
      <c r="AH1" s="10" t="s">
        <v>8</v>
      </c>
      <c r="AK1" s="1" t="s">
        <v>9</v>
      </c>
    </row>
    <row r="2" spans="1:39" ht="13.5" thickBot="1" x14ac:dyDescent="0.25">
      <c r="A2" s="2" t="s">
        <v>10</v>
      </c>
      <c r="B2" s="3">
        <f ca="1">TODAY()+1</f>
        <v>37222</v>
      </c>
      <c r="D2" s="14"/>
      <c r="P2" s="11">
        <f ca="1">TODAY()+3</f>
        <v>37224</v>
      </c>
      <c r="Q2" s="12">
        <v>850000</v>
      </c>
      <c r="T2" s="11">
        <f ca="1">TODAY()+3</f>
        <v>37224</v>
      </c>
      <c r="U2" s="12">
        <v>157000</v>
      </c>
      <c r="W2" s="11">
        <v>37196</v>
      </c>
      <c r="X2" s="14">
        <v>0</v>
      </c>
      <c r="Y2" s="14">
        <v>0</v>
      </c>
      <c r="Z2" s="13">
        <f>455527-X2+Y2</f>
        <v>455527</v>
      </c>
      <c r="AA2" s="13"/>
      <c r="AB2" s="14">
        <v>0</v>
      </c>
      <c r="AC2" s="14">
        <v>0</v>
      </c>
      <c r="AD2" s="14">
        <f>-2710-AB2+AC2</f>
        <v>-2710</v>
      </c>
      <c r="AE2" s="14"/>
      <c r="AF2" s="63">
        <v>37196</v>
      </c>
      <c r="AG2" s="12">
        <f>313453+51000</f>
        <v>364453</v>
      </c>
      <c r="AH2" s="12">
        <f>313453+51000</f>
        <v>364453</v>
      </c>
      <c r="AI2" s="14"/>
      <c r="AJ2" s="64">
        <f>+AF2</f>
        <v>37196</v>
      </c>
      <c r="AK2" s="12">
        <f>290369+36573</f>
        <v>326942</v>
      </c>
      <c r="AL2" s="12"/>
      <c r="AM2" s="12"/>
    </row>
    <row r="3" spans="1:39" ht="25.5" customHeight="1" thickBot="1" x14ac:dyDescent="0.25">
      <c r="B3" s="1" t="s">
        <v>11</v>
      </c>
      <c r="C3" s="1" t="s">
        <v>12</v>
      </c>
      <c r="D3" s="1" t="s">
        <v>13</v>
      </c>
      <c r="J3" s="21" t="s">
        <v>16</v>
      </c>
      <c r="K3" s="22">
        <f ca="1">TODAY()-1</f>
        <v>37220</v>
      </c>
      <c r="L3" s="23">
        <f ca="1">TODAY()</f>
        <v>37221</v>
      </c>
      <c r="M3" s="24" t="s">
        <v>17</v>
      </c>
      <c r="P3" s="11">
        <f ca="1">TODAY()+4</f>
        <v>37225</v>
      </c>
      <c r="Q3" s="12">
        <v>820000</v>
      </c>
      <c r="T3" s="11">
        <f ca="1">TODAY()+4</f>
        <v>37225</v>
      </c>
      <c r="U3" s="12">
        <v>154000</v>
      </c>
      <c r="W3" s="11">
        <f>W2+1</f>
        <v>37197</v>
      </c>
      <c r="X3" s="14">
        <v>0</v>
      </c>
      <c r="Y3" s="14">
        <v>5000</v>
      </c>
      <c r="Z3" s="13">
        <f t="shared" ref="Z3:Z11" si="0">Z2-X3+Y3</f>
        <v>460527</v>
      </c>
      <c r="AA3" s="13"/>
      <c r="AB3" s="14">
        <v>0</v>
      </c>
      <c r="AC3" s="14">
        <v>0</v>
      </c>
      <c r="AD3" s="14">
        <f>AD2-AB3+AC3</f>
        <v>-2710</v>
      </c>
      <c r="AF3" s="63">
        <f>AF2+1</f>
        <v>37197</v>
      </c>
      <c r="AG3" s="12">
        <f>351091+68828</f>
        <v>419919</v>
      </c>
      <c r="AH3" s="12">
        <f>351091+68828</f>
        <v>419919</v>
      </c>
      <c r="AI3" s="14"/>
      <c r="AJ3" s="64">
        <f t="shared" ref="AJ3:AJ15" si="1">+AF3</f>
        <v>37197</v>
      </c>
      <c r="AK3" s="12">
        <f>328425+45373</f>
        <v>373798</v>
      </c>
      <c r="AL3" s="12"/>
      <c r="AM3" s="12"/>
    </row>
    <row r="4" spans="1:39" ht="13.5" thickBot="1" x14ac:dyDescent="0.25">
      <c r="A4" s="2" t="s">
        <v>14</v>
      </c>
      <c r="B4" s="16">
        <v>51</v>
      </c>
      <c r="C4" s="17">
        <v>32</v>
      </c>
      <c r="D4" s="18">
        <f>AVERAGE(B4,C4)</f>
        <v>41.5</v>
      </c>
      <c r="J4" s="25" t="s">
        <v>20</v>
      </c>
      <c r="K4" s="37">
        <v>0</v>
      </c>
      <c r="L4" s="9">
        <v>0</v>
      </c>
      <c r="M4" s="28">
        <f>+L4-K4</f>
        <v>0</v>
      </c>
      <c r="Q4" s="12"/>
      <c r="R4" s="11" t="s">
        <v>15</v>
      </c>
      <c r="W4" s="11">
        <f t="shared" ref="W4:W47" si="2">W3+1</f>
        <v>37198</v>
      </c>
      <c r="X4" s="14">
        <v>0</v>
      </c>
      <c r="Y4" s="14">
        <v>0</v>
      </c>
      <c r="Z4" s="13">
        <f t="shared" si="0"/>
        <v>460527</v>
      </c>
      <c r="AA4" s="13"/>
      <c r="AB4" s="14">
        <v>0</v>
      </c>
      <c r="AC4" s="14">
        <v>0</v>
      </c>
      <c r="AD4" s="14">
        <f>AD3-AB4+AC4</f>
        <v>-2710</v>
      </c>
      <c r="AF4" s="63">
        <f t="shared" ref="AF4:AF31" si="3">AF3+1</f>
        <v>37198</v>
      </c>
      <c r="AG4" s="12">
        <f>335635+60694</f>
        <v>396329</v>
      </c>
      <c r="AH4" s="12">
        <f>335635+60694</f>
        <v>396329</v>
      </c>
      <c r="AI4" s="14"/>
      <c r="AJ4" s="64">
        <f t="shared" si="1"/>
        <v>37198</v>
      </c>
      <c r="AK4" s="12">
        <f>326625+37028</f>
        <v>363653</v>
      </c>
      <c r="AL4" s="12"/>
      <c r="AM4" s="12"/>
    </row>
    <row r="5" spans="1:39" ht="13.5" thickBot="1" x14ac:dyDescent="0.25">
      <c r="A5" s="19"/>
      <c r="B5" s="20"/>
      <c r="C5" s="1" t="s">
        <v>94</v>
      </c>
      <c r="D5" s="19"/>
      <c r="E5" s="20"/>
      <c r="F5" s="1" t="s">
        <v>94</v>
      </c>
      <c r="H5" s="1"/>
      <c r="J5" s="25" t="s">
        <v>54</v>
      </c>
      <c r="K5" s="38">
        <v>0</v>
      </c>
      <c r="L5" s="9">
        <v>0</v>
      </c>
      <c r="M5" s="29">
        <f>+L5-K5</f>
        <v>0</v>
      </c>
      <c r="O5" s="52" t="s">
        <v>64</v>
      </c>
      <c r="P5" s="6"/>
      <c r="Q5" s="8">
        <v>725000</v>
      </c>
      <c r="S5" s="21" t="s">
        <v>65</v>
      </c>
      <c r="T5" s="6"/>
      <c r="U5" s="8">
        <v>270756</v>
      </c>
      <c r="W5" s="11">
        <f t="shared" si="2"/>
        <v>37199</v>
      </c>
      <c r="X5" s="14">
        <v>0</v>
      </c>
      <c r="Y5" s="14">
        <v>0</v>
      </c>
      <c r="Z5" s="13">
        <f t="shared" si="0"/>
        <v>460527</v>
      </c>
      <c r="AA5" s="13"/>
      <c r="AB5" s="14">
        <v>0</v>
      </c>
      <c r="AC5" s="14">
        <v>0</v>
      </c>
      <c r="AD5" s="14">
        <f t="shared" ref="AD5:AD47" si="4">AD4-AB5+AC5</f>
        <v>-2710</v>
      </c>
      <c r="AF5" s="63">
        <f t="shared" si="3"/>
        <v>37199</v>
      </c>
      <c r="AG5" s="12">
        <f>474000+89000</f>
        <v>563000</v>
      </c>
      <c r="AH5" s="12">
        <f>455956+88755</f>
        <v>544711</v>
      </c>
      <c r="AI5" s="14"/>
      <c r="AJ5" s="64">
        <f t="shared" si="1"/>
        <v>37199</v>
      </c>
      <c r="AK5" s="12">
        <f>327546+37028</f>
        <v>364574</v>
      </c>
      <c r="AL5" s="12"/>
      <c r="AM5" s="12"/>
    </row>
    <row r="6" spans="1:39" ht="13.5" thickBot="1" x14ac:dyDescent="0.25">
      <c r="A6" s="25" t="s">
        <v>18</v>
      </c>
      <c r="B6" s="40">
        <v>-750000</v>
      </c>
      <c r="C6" s="12">
        <v>-703000</v>
      </c>
      <c r="D6" s="25" t="s">
        <v>19</v>
      </c>
      <c r="E6" s="26">
        <v>-127000</v>
      </c>
      <c r="F6" s="12">
        <v>-119000</v>
      </c>
      <c r="G6" s="65"/>
      <c r="H6" s="12"/>
      <c r="J6" s="30" t="s">
        <v>24</v>
      </c>
      <c r="K6" s="39">
        <f>(+K4-K5)/2</f>
        <v>0</v>
      </c>
      <c r="L6" s="31">
        <f>(+L4-L5)/2</f>
        <v>0</v>
      </c>
      <c r="M6" s="32">
        <f>+L6-K6</f>
        <v>0</v>
      </c>
      <c r="O6" s="21" t="s">
        <v>62</v>
      </c>
      <c r="P6" s="6"/>
      <c r="Q6" s="55">
        <f>Z31/Q5</f>
        <v>0.60270206896551726</v>
      </c>
      <c r="S6" s="21" t="s">
        <v>62</v>
      </c>
      <c r="T6" s="6"/>
      <c r="U6" s="55">
        <f>AD31/U5</f>
        <v>0</v>
      </c>
      <c r="W6" s="11">
        <f t="shared" si="2"/>
        <v>37200</v>
      </c>
      <c r="X6" s="14">
        <v>0</v>
      </c>
      <c r="Y6" s="14">
        <v>0</v>
      </c>
      <c r="Z6" s="13">
        <f t="shared" si="0"/>
        <v>460527</v>
      </c>
      <c r="AA6" s="13"/>
      <c r="AB6" s="14">
        <v>0</v>
      </c>
      <c r="AC6" s="14">
        <v>0</v>
      </c>
      <c r="AD6" s="14">
        <f t="shared" si="4"/>
        <v>-2710</v>
      </c>
      <c r="AF6" s="63">
        <f t="shared" si="3"/>
        <v>37200</v>
      </c>
      <c r="AG6" s="12">
        <f>509000+93000</f>
        <v>602000</v>
      </c>
      <c r="AH6" s="12">
        <f>520795+95847</f>
        <v>616642</v>
      </c>
      <c r="AJ6" s="64">
        <f t="shared" si="1"/>
        <v>37200</v>
      </c>
      <c r="AK6" s="12">
        <f>327467+37028</f>
        <v>364495</v>
      </c>
      <c r="AL6" s="12"/>
      <c r="AM6" s="12"/>
    </row>
    <row r="7" spans="1:39" x14ac:dyDescent="0.2">
      <c r="A7" s="25" t="s">
        <v>47</v>
      </c>
      <c r="B7" s="40"/>
      <c r="D7" s="25" t="s">
        <v>22</v>
      </c>
      <c r="E7" s="26">
        <v>0</v>
      </c>
      <c r="G7" s="12"/>
      <c r="H7" s="12"/>
      <c r="W7" s="11">
        <f t="shared" si="2"/>
        <v>37201</v>
      </c>
      <c r="X7" s="14">
        <v>0</v>
      </c>
      <c r="Y7" s="14">
        <v>5000</v>
      </c>
      <c r="Z7" s="13">
        <f t="shared" si="0"/>
        <v>465527</v>
      </c>
      <c r="AA7" s="13"/>
      <c r="AB7" s="14">
        <v>0</v>
      </c>
      <c r="AC7" s="14">
        <v>0</v>
      </c>
      <c r="AD7" s="14">
        <f t="shared" si="4"/>
        <v>-2710</v>
      </c>
      <c r="AF7" s="63">
        <f t="shared" si="3"/>
        <v>37201</v>
      </c>
      <c r="AG7" s="12">
        <f>400000+67000</f>
        <v>467000</v>
      </c>
      <c r="AH7" s="46">
        <f>441080+68366</f>
        <v>509446</v>
      </c>
      <c r="AJ7" s="64">
        <f t="shared" si="1"/>
        <v>37201</v>
      </c>
      <c r="AK7" s="12">
        <f>306649+36928</f>
        <v>343577</v>
      </c>
      <c r="AL7" s="12"/>
      <c r="AM7" s="12"/>
    </row>
    <row r="8" spans="1:39" x14ac:dyDescent="0.2">
      <c r="A8" s="25" t="s">
        <v>49</v>
      </c>
      <c r="B8" s="40"/>
      <c r="D8" s="25" t="s">
        <v>23</v>
      </c>
      <c r="E8" s="26"/>
      <c r="G8" s="12"/>
      <c r="H8" s="12"/>
      <c r="W8" s="11">
        <f t="shared" si="2"/>
        <v>37202</v>
      </c>
      <c r="X8" s="14">
        <v>0</v>
      </c>
      <c r="Y8" s="14">
        <v>0</v>
      </c>
      <c r="Z8" s="13">
        <f t="shared" si="0"/>
        <v>465527</v>
      </c>
      <c r="AA8" s="13"/>
      <c r="AB8" s="14">
        <v>0</v>
      </c>
      <c r="AC8" s="14">
        <v>0</v>
      </c>
      <c r="AD8" s="14">
        <f t="shared" si="4"/>
        <v>-2710</v>
      </c>
      <c r="AF8" s="63">
        <f t="shared" si="3"/>
        <v>37202</v>
      </c>
      <c r="AG8" s="12">
        <f>350000+53000</f>
        <v>403000</v>
      </c>
      <c r="AH8" s="12">
        <f>328795+59751</f>
        <v>388546</v>
      </c>
      <c r="AJ8" s="64">
        <f t="shared" si="1"/>
        <v>37202</v>
      </c>
      <c r="AK8" s="12">
        <f>276605+36373</f>
        <v>312978</v>
      </c>
      <c r="AL8" s="12"/>
      <c r="AM8" s="12"/>
    </row>
    <row r="9" spans="1:39" x14ac:dyDescent="0.2">
      <c r="A9" s="25" t="s">
        <v>52</v>
      </c>
      <c r="B9" s="40">
        <v>0</v>
      </c>
      <c r="C9" s="66"/>
      <c r="D9" s="25" t="s">
        <v>25</v>
      </c>
      <c r="E9" s="26">
        <v>-20000</v>
      </c>
      <c r="G9" s="12"/>
      <c r="H9" s="12"/>
      <c r="L9" s="12"/>
      <c r="W9" s="11">
        <f t="shared" si="2"/>
        <v>37203</v>
      </c>
      <c r="X9" s="14">
        <v>0</v>
      </c>
      <c r="Y9" s="14">
        <v>5000</v>
      </c>
      <c r="Z9" s="13">
        <f t="shared" si="0"/>
        <v>470527</v>
      </c>
      <c r="AA9" s="13"/>
      <c r="AB9" s="14">
        <v>0</v>
      </c>
      <c r="AC9" s="14">
        <v>0</v>
      </c>
      <c r="AD9" s="14">
        <f t="shared" si="4"/>
        <v>-2710</v>
      </c>
      <c r="AF9" s="63">
        <f t="shared" si="3"/>
        <v>37203</v>
      </c>
      <c r="AG9" s="12">
        <f>620000+124000</f>
        <v>744000</v>
      </c>
      <c r="AH9" s="12">
        <f>620000+124000</f>
        <v>744000</v>
      </c>
      <c r="AJ9" s="64">
        <f t="shared" si="1"/>
        <v>37203</v>
      </c>
      <c r="AK9" s="12">
        <f>278783+40154</f>
        <v>318937</v>
      </c>
      <c r="AL9" s="12"/>
      <c r="AM9" s="12"/>
    </row>
    <row r="10" spans="1:39" x14ac:dyDescent="0.2">
      <c r="A10" s="41" t="s">
        <v>71</v>
      </c>
      <c r="B10" s="40">
        <v>0</v>
      </c>
      <c r="C10" s="14" t="s">
        <v>15</v>
      </c>
      <c r="D10" s="25" t="s">
        <v>44</v>
      </c>
      <c r="E10" s="26"/>
      <c r="G10" s="12"/>
      <c r="H10" s="12"/>
      <c r="W10" s="11">
        <f t="shared" si="2"/>
        <v>37204</v>
      </c>
      <c r="X10" s="14">
        <v>0</v>
      </c>
      <c r="Y10" s="14">
        <v>0</v>
      </c>
      <c r="Z10" s="13">
        <f t="shared" si="0"/>
        <v>470527</v>
      </c>
      <c r="AA10" s="13"/>
      <c r="AB10" s="14">
        <v>0</v>
      </c>
      <c r="AC10" s="14">
        <v>0</v>
      </c>
      <c r="AD10" s="14">
        <f t="shared" si="4"/>
        <v>-2710</v>
      </c>
      <c r="AF10" s="63">
        <f t="shared" si="3"/>
        <v>37204</v>
      </c>
      <c r="AG10" s="12">
        <f>550000+108000</f>
        <v>658000</v>
      </c>
      <c r="AH10" s="12">
        <f>603027+101578</f>
        <v>704605</v>
      </c>
      <c r="AJ10" s="64">
        <f t="shared" si="1"/>
        <v>37204</v>
      </c>
      <c r="AK10" s="12">
        <f>281531+37154</f>
        <v>318685</v>
      </c>
      <c r="AL10" s="12"/>
      <c r="AM10" s="12"/>
    </row>
    <row r="11" spans="1:39" x14ac:dyDescent="0.2">
      <c r="A11" s="25" t="s">
        <v>25</v>
      </c>
      <c r="B11" s="40">
        <f>-93283-0-0-20000-7383+20666</f>
        <v>-100000</v>
      </c>
      <c r="C11" s="40"/>
      <c r="D11" s="25" t="s">
        <v>26</v>
      </c>
      <c r="E11" s="26">
        <v>0</v>
      </c>
      <c r="G11" s="12"/>
      <c r="H11" s="12"/>
      <c r="R11" s="13"/>
      <c r="W11" s="11">
        <f t="shared" si="2"/>
        <v>37205</v>
      </c>
      <c r="X11" s="14">
        <v>0</v>
      </c>
      <c r="Y11" s="14">
        <v>0</v>
      </c>
      <c r="Z11" s="13">
        <f t="shared" si="0"/>
        <v>470527</v>
      </c>
      <c r="AA11" s="13"/>
      <c r="AB11" s="14">
        <v>0</v>
      </c>
      <c r="AC11" s="14">
        <v>0</v>
      </c>
      <c r="AD11" s="14">
        <f t="shared" si="4"/>
        <v>-2710</v>
      </c>
      <c r="AF11" s="63">
        <f t="shared" si="3"/>
        <v>37205</v>
      </c>
      <c r="AG11" s="12">
        <f>520000+102000</f>
        <v>622000</v>
      </c>
      <c r="AH11" s="12">
        <f>525927+57592</f>
        <v>583519</v>
      </c>
      <c r="AJ11" s="64">
        <f t="shared" si="1"/>
        <v>37205</v>
      </c>
      <c r="AK11" s="12">
        <f>277388+33819</f>
        <v>311207</v>
      </c>
      <c r="AL11" s="12"/>
      <c r="AM11" s="12"/>
    </row>
    <row r="12" spans="1:39" x14ac:dyDescent="0.2">
      <c r="A12" s="25" t="s">
        <v>63</v>
      </c>
      <c r="B12" s="40">
        <v>-20666</v>
      </c>
      <c r="C12" s="14"/>
      <c r="D12" s="41" t="s">
        <v>46</v>
      </c>
      <c r="E12" s="40">
        <v>0</v>
      </c>
      <c r="G12" s="12" t="s">
        <v>15</v>
      </c>
      <c r="H12" s="12"/>
      <c r="R12" s="13"/>
      <c r="W12" s="11">
        <f t="shared" si="2"/>
        <v>37206</v>
      </c>
      <c r="X12" s="14">
        <v>0</v>
      </c>
      <c r="Y12" s="14">
        <v>10000</v>
      </c>
      <c r="Z12" s="13">
        <f t="shared" ref="Z12:Z47" si="5">Z11-X12+Y12</f>
        <v>480527</v>
      </c>
      <c r="AA12" s="13"/>
      <c r="AB12" s="14">
        <v>0</v>
      </c>
      <c r="AC12" s="14">
        <v>0</v>
      </c>
      <c r="AD12" s="14">
        <f t="shared" si="4"/>
        <v>-2710</v>
      </c>
      <c r="AF12" s="63">
        <f t="shared" si="3"/>
        <v>37206</v>
      </c>
      <c r="AG12" s="12">
        <f>535000+102000</f>
        <v>637000</v>
      </c>
      <c r="AH12" s="12">
        <f>581285+102232</f>
        <v>683517</v>
      </c>
      <c r="AJ12" s="64">
        <f t="shared" si="1"/>
        <v>37206</v>
      </c>
      <c r="AK12" s="12">
        <f>282388+33819</f>
        <v>316207</v>
      </c>
      <c r="AL12" s="12"/>
      <c r="AM12" s="12"/>
    </row>
    <row r="13" spans="1:39" ht="13.5" thickBot="1" x14ac:dyDescent="0.25">
      <c r="A13" s="25" t="s">
        <v>16</v>
      </c>
      <c r="B13" s="40">
        <v>0</v>
      </c>
      <c r="C13" s="1"/>
      <c r="D13" s="25" t="s">
        <v>27</v>
      </c>
      <c r="E13" s="26"/>
      <c r="G13" s="12"/>
      <c r="H13" s="12"/>
      <c r="R13" s="13"/>
      <c r="W13" s="11">
        <f t="shared" si="2"/>
        <v>37207</v>
      </c>
      <c r="X13" s="14">
        <v>0</v>
      </c>
      <c r="Y13" s="14">
        <v>4398</v>
      </c>
      <c r="Z13" s="13">
        <f t="shared" si="5"/>
        <v>484925</v>
      </c>
      <c r="AA13" s="13"/>
      <c r="AB13" s="14">
        <v>0</v>
      </c>
      <c r="AC13" s="14">
        <v>0</v>
      </c>
      <c r="AD13" s="14">
        <f t="shared" si="4"/>
        <v>-2710</v>
      </c>
      <c r="AF13" s="63">
        <f t="shared" si="3"/>
        <v>37207</v>
      </c>
      <c r="AG13" s="12">
        <f>550000+97000</f>
        <v>647000</v>
      </c>
      <c r="AH13" s="12">
        <f>558160+91161</f>
        <v>649321</v>
      </c>
      <c r="AJ13" s="64">
        <f t="shared" si="1"/>
        <v>37207</v>
      </c>
      <c r="AK13" s="12">
        <f>282388+33819</f>
        <v>316207</v>
      </c>
      <c r="AL13" s="12"/>
      <c r="AM13" s="12"/>
    </row>
    <row r="14" spans="1:39" ht="13.5" thickBot="1" x14ac:dyDescent="0.25">
      <c r="A14" s="25" t="s">
        <v>55</v>
      </c>
      <c r="B14" s="40">
        <v>0</v>
      </c>
      <c r="C14" s="14"/>
      <c r="D14" s="33" t="s">
        <v>28</v>
      </c>
      <c r="E14" s="34">
        <f>SUM(E6:E13)</f>
        <v>-147000</v>
      </c>
      <c r="G14" s="12"/>
      <c r="H14" s="12"/>
      <c r="L14" s="12"/>
      <c r="R14" s="13"/>
      <c r="W14" s="11">
        <f t="shared" si="2"/>
        <v>37208</v>
      </c>
      <c r="X14" s="14">
        <v>0</v>
      </c>
      <c r="Y14" s="14">
        <v>5000</v>
      </c>
      <c r="Z14" s="13">
        <f t="shared" si="5"/>
        <v>489925</v>
      </c>
      <c r="AA14" s="13"/>
      <c r="AB14" s="14">
        <v>0</v>
      </c>
      <c r="AC14" s="14">
        <v>0</v>
      </c>
      <c r="AD14" s="14">
        <f t="shared" si="4"/>
        <v>-2710</v>
      </c>
      <c r="AF14" s="63">
        <f t="shared" si="3"/>
        <v>37208</v>
      </c>
      <c r="AG14" s="12">
        <f>435000+73000</f>
        <v>508000</v>
      </c>
      <c r="AH14" s="12">
        <f>433251+70049</f>
        <v>503300</v>
      </c>
      <c r="AJ14" s="64">
        <f t="shared" si="1"/>
        <v>37208</v>
      </c>
      <c r="AK14" s="12">
        <f>280384+33819</f>
        <v>314203</v>
      </c>
      <c r="AL14" s="12"/>
      <c r="AM14" s="12"/>
    </row>
    <row r="15" spans="1:39" x14ac:dyDescent="0.2">
      <c r="A15" s="25" t="s">
        <v>23</v>
      </c>
      <c r="B15" s="40"/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f t="shared" si="2"/>
        <v>37209</v>
      </c>
      <c r="X15" s="14">
        <v>0</v>
      </c>
      <c r="Y15" s="14">
        <v>0</v>
      </c>
      <c r="Z15" s="13">
        <f>Z14-X15+Y15</f>
        <v>489925</v>
      </c>
      <c r="AA15" s="13"/>
      <c r="AB15" s="14">
        <v>0</v>
      </c>
      <c r="AC15" s="14">
        <v>0</v>
      </c>
      <c r="AD15" s="14">
        <f t="shared" si="4"/>
        <v>-2710</v>
      </c>
      <c r="AF15" s="63">
        <f t="shared" si="3"/>
        <v>37209</v>
      </c>
      <c r="AG15" s="12">
        <f>375000+56700</f>
        <v>431700</v>
      </c>
      <c r="AH15" s="12">
        <f>375334+55500</f>
        <v>430834</v>
      </c>
      <c r="AJ15" s="64">
        <f t="shared" si="1"/>
        <v>37209</v>
      </c>
      <c r="AK15" s="12">
        <f>273169+32948</f>
        <v>306117</v>
      </c>
      <c r="AL15" s="12"/>
      <c r="AM15" s="12"/>
    </row>
    <row r="16" spans="1:39" x14ac:dyDescent="0.2">
      <c r="A16" s="25" t="s">
        <v>48</v>
      </c>
      <c r="B16" s="40">
        <v>0</v>
      </c>
      <c r="C16" s="14"/>
      <c r="D16" s="25" t="s">
        <v>31</v>
      </c>
      <c r="E16" s="26">
        <v>39111</v>
      </c>
      <c r="G16" s="12"/>
      <c r="H16" s="12"/>
      <c r="L16" s="12"/>
      <c r="R16" s="13"/>
      <c r="W16" s="11">
        <f t="shared" si="2"/>
        <v>37210</v>
      </c>
      <c r="X16" s="14">
        <v>0</v>
      </c>
      <c r="Y16" s="14">
        <v>0</v>
      </c>
      <c r="Z16" s="13">
        <f>Z15-X16+Y16</f>
        <v>489925</v>
      </c>
      <c r="AA16" s="13"/>
      <c r="AB16" s="14">
        <v>0</v>
      </c>
      <c r="AC16" s="14">
        <v>0</v>
      </c>
      <c r="AD16" s="14">
        <f t="shared" si="4"/>
        <v>-2710</v>
      </c>
      <c r="AF16" s="63">
        <f t="shared" si="3"/>
        <v>37210</v>
      </c>
      <c r="AG16" s="12">
        <f>302000+48700</f>
        <v>350700</v>
      </c>
      <c r="AH16" s="12">
        <f>308776+50988</f>
        <v>359764</v>
      </c>
      <c r="AJ16" s="64">
        <f t="shared" ref="AJ16:AJ32" si="6">+AF16</f>
        <v>37210</v>
      </c>
      <c r="AK16" s="12">
        <f>250124+34765</f>
        <v>284889</v>
      </c>
      <c r="AL16" s="12"/>
      <c r="AM16" s="12"/>
    </row>
    <row r="17" spans="1:39" x14ac:dyDescent="0.2">
      <c r="A17" s="25" t="s">
        <v>27</v>
      </c>
      <c r="B17" s="40">
        <v>0</v>
      </c>
      <c r="C17" s="14"/>
      <c r="D17" s="25" t="s">
        <v>32</v>
      </c>
      <c r="E17" s="26">
        <v>10000</v>
      </c>
      <c r="G17" s="12"/>
      <c r="H17" s="12"/>
      <c r="L17" s="12"/>
      <c r="R17" s="13"/>
      <c r="W17" s="11">
        <f t="shared" si="2"/>
        <v>37211</v>
      </c>
      <c r="X17" s="14">
        <v>0</v>
      </c>
      <c r="Y17" s="14">
        <v>0</v>
      </c>
      <c r="Z17" s="13">
        <f>Z16-X17+Y17</f>
        <v>489925</v>
      </c>
      <c r="AA17" s="13"/>
      <c r="AB17" s="14">
        <v>0</v>
      </c>
      <c r="AC17" s="14">
        <v>0</v>
      </c>
      <c r="AD17" s="14">
        <f t="shared" si="4"/>
        <v>-2710</v>
      </c>
      <c r="AF17" s="63">
        <f t="shared" si="3"/>
        <v>37211</v>
      </c>
      <c r="AG17" s="12">
        <f>320000+54000</f>
        <v>374000</v>
      </c>
      <c r="AH17" s="12">
        <f>397344+80737</f>
        <v>478081</v>
      </c>
      <c r="AJ17" s="64">
        <f t="shared" si="6"/>
        <v>37211</v>
      </c>
      <c r="AK17" s="12">
        <f>265372+35414</f>
        <v>300786</v>
      </c>
      <c r="AL17" s="12"/>
      <c r="AM17" s="12"/>
    </row>
    <row r="18" spans="1:39" x14ac:dyDescent="0.2">
      <c r="A18" s="25" t="s">
        <v>88</v>
      </c>
      <c r="B18" s="40">
        <v>0</v>
      </c>
      <c r="D18" s="25" t="s">
        <v>33</v>
      </c>
      <c r="E18" s="26">
        <v>0</v>
      </c>
      <c r="F18" s="14" t="s">
        <v>15</v>
      </c>
      <c r="G18" s="12"/>
      <c r="H18" s="12"/>
      <c r="L18" s="12"/>
      <c r="R18" s="13"/>
      <c r="W18" s="11">
        <f t="shared" si="2"/>
        <v>37212</v>
      </c>
      <c r="X18" s="14">
        <v>52966</v>
      </c>
      <c r="Y18" s="14">
        <v>0</v>
      </c>
      <c r="Z18" s="13">
        <f t="shared" si="5"/>
        <v>436959</v>
      </c>
      <c r="AA18" s="13"/>
      <c r="AB18" s="14">
        <v>0</v>
      </c>
      <c r="AC18" s="14">
        <v>0</v>
      </c>
      <c r="AD18" s="14">
        <f t="shared" si="4"/>
        <v>-2710</v>
      </c>
      <c r="AF18" s="63">
        <f t="shared" si="3"/>
        <v>37212</v>
      </c>
      <c r="AG18" s="12">
        <f>250000+44000</f>
        <v>294000</v>
      </c>
      <c r="AH18" s="12">
        <f>355497+66187</f>
        <v>421684</v>
      </c>
      <c r="AJ18" s="64">
        <f t="shared" si="6"/>
        <v>37212</v>
      </c>
      <c r="AK18" s="12">
        <f>247687+34630</f>
        <v>282317</v>
      </c>
      <c r="AL18" s="12"/>
      <c r="AM18" s="12"/>
    </row>
    <row r="19" spans="1:39" x14ac:dyDescent="0.2">
      <c r="A19" s="25" t="s">
        <v>67</v>
      </c>
      <c r="B19" s="40">
        <v>0</v>
      </c>
      <c r="C19" s="56"/>
      <c r="D19" s="25" t="s">
        <v>34</v>
      </c>
      <c r="E19" s="26">
        <v>30092</v>
      </c>
      <c r="G19" s="12"/>
      <c r="H19" s="12"/>
      <c r="L19" s="12"/>
      <c r="R19" s="13"/>
      <c r="W19" s="11">
        <f t="shared" si="2"/>
        <v>37213</v>
      </c>
      <c r="X19" s="14">
        <v>0</v>
      </c>
      <c r="Y19" s="14">
        <v>0</v>
      </c>
      <c r="Z19" s="13">
        <f t="shared" si="5"/>
        <v>436959</v>
      </c>
      <c r="AA19" s="13"/>
      <c r="AB19" s="14">
        <v>0</v>
      </c>
      <c r="AC19" s="14">
        <v>0</v>
      </c>
      <c r="AD19" s="14">
        <f t="shared" si="4"/>
        <v>-2710</v>
      </c>
      <c r="AF19" s="63">
        <f t="shared" si="3"/>
        <v>37213</v>
      </c>
      <c r="AG19" s="12">
        <f>400000+69000</f>
        <v>469000</v>
      </c>
      <c r="AH19" s="12"/>
      <c r="AJ19" s="64">
        <f t="shared" si="6"/>
        <v>37213</v>
      </c>
      <c r="AK19" s="12">
        <f>249697+34630</f>
        <v>284327</v>
      </c>
      <c r="AL19" s="12"/>
      <c r="AM19" s="12"/>
    </row>
    <row r="20" spans="1:39" x14ac:dyDescent="0.2">
      <c r="A20" s="25" t="s">
        <v>66</v>
      </c>
      <c r="B20" s="58">
        <v>0</v>
      </c>
      <c r="C20" s="14"/>
      <c r="D20" s="25" t="s">
        <v>38</v>
      </c>
      <c r="E20" s="26">
        <v>0</v>
      </c>
      <c r="G20" s="12"/>
      <c r="H20" s="12"/>
      <c r="R20" s="13"/>
      <c r="W20" s="11">
        <f t="shared" si="2"/>
        <v>37214</v>
      </c>
      <c r="X20" s="14">
        <v>0</v>
      </c>
      <c r="Y20" s="14">
        <v>0</v>
      </c>
      <c r="Z20" s="13">
        <f>Z19-X20+Y20</f>
        <v>436959</v>
      </c>
      <c r="AA20" s="13"/>
      <c r="AB20" s="14">
        <v>0</v>
      </c>
      <c r="AC20" s="14">
        <v>0</v>
      </c>
      <c r="AD20" s="14">
        <f t="shared" si="4"/>
        <v>-2710</v>
      </c>
      <c r="AF20" s="63">
        <f t="shared" si="3"/>
        <v>37214</v>
      </c>
      <c r="AG20" s="12">
        <f>670000+145000</f>
        <v>815000</v>
      </c>
      <c r="AH20" s="12"/>
      <c r="AJ20" s="64">
        <f t="shared" si="6"/>
        <v>37214</v>
      </c>
      <c r="AK20" s="12">
        <f>252232+33130</f>
        <v>285362</v>
      </c>
      <c r="AL20" s="12"/>
      <c r="AM20" s="12"/>
    </row>
    <row r="21" spans="1:39" x14ac:dyDescent="0.2">
      <c r="A21" s="25" t="s">
        <v>77</v>
      </c>
      <c r="B21" s="58">
        <v>0</v>
      </c>
      <c r="C21" s="14"/>
      <c r="D21" s="25" t="s">
        <v>48</v>
      </c>
      <c r="E21" s="26">
        <v>0</v>
      </c>
      <c r="F21" s="25"/>
      <c r="G21" s="12"/>
      <c r="H21" s="12"/>
      <c r="R21" s="13"/>
      <c r="W21" s="11">
        <f t="shared" si="2"/>
        <v>37215</v>
      </c>
      <c r="X21" s="14">
        <v>0</v>
      </c>
      <c r="Y21" s="14">
        <v>0</v>
      </c>
      <c r="Z21" s="13">
        <f>Z20-X21+Y21</f>
        <v>436959</v>
      </c>
      <c r="AA21" s="13"/>
      <c r="AB21" s="14">
        <v>0</v>
      </c>
      <c r="AC21" s="14">
        <v>2710</v>
      </c>
      <c r="AD21" s="14">
        <f t="shared" si="4"/>
        <v>0</v>
      </c>
      <c r="AF21" s="63">
        <f t="shared" si="3"/>
        <v>37215</v>
      </c>
      <c r="AG21" s="12">
        <f>760000+140000</f>
        <v>900000</v>
      </c>
      <c r="AH21" s="12"/>
      <c r="AJ21" s="64">
        <f t="shared" si="6"/>
        <v>37215</v>
      </c>
      <c r="AK21" s="12">
        <f>238478+35014</f>
        <v>273492</v>
      </c>
      <c r="AL21" s="12"/>
      <c r="AM21" s="12"/>
    </row>
    <row r="22" spans="1:39" x14ac:dyDescent="0.2">
      <c r="A22" s="25" t="s">
        <v>42</v>
      </c>
      <c r="B22" s="40">
        <v>0</v>
      </c>
      <c r="D22" s="60" t="s">
        <v>27</v>
      </c>
      <c r="E22" s="59">
        <v>40000</v>
      </c>
      <c r="F22" s="25"/>
      <c r="G22" s="12"/>
      <c r="H22" s="12"/>
      <c r="R22" s="13"/>
      <c r="W22" s="11">
        <f t="shared" si="2"/>
        <v>37216</v>
      </c>
      <c r="X22" s="14">
        <v>0</v>
      </c>
      <c r="Y22" s="14">
        <v>0</v>
      </c>
      <c r="Z22" s="13">
        <f>Z21-X22+Y22</f>
        <v>436959</v>
      </c>
      <c r="AA22" s="13"/>
      <c r="AB22" s="14">
        <v>0</v>
      </c>
      <c r="AC22" s="14">
        <v>0</v>
      </c>
      <c r="AD22" s="14">
        <f t="shared" si="4"/>
        <v>0</v>
      </c>
      <c r="AF22" s="63">
        <f t="shared" si="3"/>
        <v>37216</v>
      </c>
      <c r="AG22" s="12">
        <f>575000+94000</f>
        <v>669000</v>
      </c>
      <c r="AH22" s="12"/>
      <c r="AJ22" s="64">
        <f t="shared" si="6"/>
        <v>37216</v>
      </c>
      <c r="AK22" s="12">
        <f>264598+31530</f>
        <v>296128</v>
      </c>
      <c r="AL22" s="12"/>
      <c r="AM22" s="12"/>
    </row>
    <row r="23" spans="1:39" x14ac:dyDescent="0.2">
      <c r="A23" s="25" t="s">
        <v>43</v>
      </c>
      <c r="B23" s="40">
        <v>0</v>
      </c>
      <c r="C23" s="14"/>
      <c r="D23" s="25" t="s">
        <v>68</v>
      </c>
      <c r="E23" s="40">
        <v>7000</v>
      </c>
      <c r="F23" s="14">
        <v>0</v>
      </c>
      <c r="G23" s="12"/>
      <c r="H23" s="12"/>
      <c r="L23" s="2">
        <v>0.32</v>
      </c>
      <c r="R23" s="13"/>
      <c r="W23" s="11">
        <f t="shared" si="2"/>
        <v>37217</v>
      </c>
      <c r="X23" s="14">
        <v>0</v>
      </c>
      <c r="Y23" s="14">
        <v>0</v>
      </c>
      <c r="Z23" s="13">
        <f t="shared" si="5"/>
        <v>436959</v>
      </c>
      <c r="AA23" s="13"/>
      <c r="AB23" s="14">
        <v>0</v>
      </c>
      <c r="AC23" s="14">
        <v>0</v>
      </c>
      <c r="AD23" s="14">
        <f t="shared" si="4"/>
        <v>0</v>
      </c>
      <c r="AF23" s="63">
        <f t="shared" si="3"/>
        <v>37217</v>
      </c>
      <c r="AG23" s="12">
        <f>515000+84000</f>
        <v>599000</v>
      </c>
      <c r="AH23" s="12"/>
      <c r="AJ23" s="64">
        <f t="shared" si="6"/>
        <v>37217</v>
      </c>
      <c r="AK23" s="12">
        <f>245180+30092</f>
        <v>275272</v>
      </c>
      <c r="AL23" s="12"/>
      <c r="AM23" s="12"/>
    </row>
    <row r="24" spans="1:39" x14ac:dyDescent="0.2">
      <c r="A24" s="25" t="s">
        <v>29</v>
      </c>
      <c r="B24" s="40">
        <v>0</v>
      </c>
      <c r="C24" s="14">
        <v>0</v>
      </c>
      <c r="D24" s="25" t="s">
        <v>86</v>
      </c>
      <c r="E24" s="40">
        <v>7000</v>
      </c>
      <c r="F24" s="14">
        <v>0</v>
      </c>
      <c r="G24" s="12"/>
      <c r="H24" s="12"/>
      <c r="R24" s="13"/>
      <c r="W24" s="11">
        <f t="shared" si="2"/>
        <v>37218</v>
      </c>
      <c r="X24" s="14">
        <v>0</v>
      </c>
      <c r="Y24" s="14">
        <v>0</v>
      </c>
      <c r="Z24" s="13">
        <f>Z23-X24+Y24</f>
        <v>436959</v>
      </c>
      <c r="AA24" s="13"/>
      <c r="AB24" s="14">
        <v>0</v>
      </c>
      <c r="AC24" s="14">
        <v>0</v>
      </c>
      <c r="AD24" s="14">
        <f t="shared" si="4"/>
        <v>0</v>
      </c>
      <c r="AF24" s="63">
        <f t="shared" si="3"/>
        <v>37218</v>
      </c>
      <c r="AG24" s="12">
        <f>600000+102000</f>
        <v>702000</v>
      </c>
      <c r="AH24" s="12"/>
      <c r="AJ24" s="64">
        <f t="shared" si="6"/>
        <v>37218</v>
      </c>
      <c r="AK24" s="12">
        <f>245180+30092</f>
        <v>275272</v>
      </c>
      <c r="AL24" s="12"/>
      <c r="AM24" s="12"/>
    </row>
    <row r="25" spans="1:39" x14ac:dyDescent="0.2">
      <c r="A25" s="25" t="s">
        <v>73</v>
      </c>
      <c r="B25" s="40">
        <v>0</v>
      </c>
      <c r="C25" s="14"/>
      <c r="D25" s="25" t="s">
        <v>85</v>
      </c>
      <c r="E25" s="40">
        <v>10000</v>
      </c>
      <c r="G25" s="12"/>
      <c r="H25" s="12"/>
      <c r="R25" s="13"/>
      <c r="W25" s="11">
        <f t="shared" si="2"/>
        <v>37219</v>
      </c>
      <c r="X25" s="14">
        <v>0</v>
      </c>
      <c r="Y25" s="14">
        <v>0</v>
      </c>
      <c r="Z25" s="13">
        <f t="shared" si="5"/>
        <v>436959</v>
      </c>
      <c r="AA25" s="13"/>
      <c r="AB25" s="14">
        <v>0</v>
      </c>
      <c r="AC25" s="14">
        <v>0</v>
      </c>
      <c r="AD25" s="14">
        <f t="shared" si="4"/>
        <v>0</v>
      </c>
      <c r="AF25" s="63">
        <f t="shared" si="3"/>
        <v>37219</v>
      </c>
      <c r="AG25" s="12">
        <f>600000+100000</f>
        <v>700000</v>
      </c>
      <c r="AH25" s="12"/>
      <c r="AJ25" s="64">
        <f t="shared" si="6"/>
        <v>37219</v>
      </c>
      <c r="AK25" s="12">
        <f>245180+30092</f>
        <v>275272</v>
      </c>
      <c r="AL25" s="12"/>
      <c r="AM25" s="12"/>
    </row>
    <row r="26" spans="1:39" x14ac:dyDescent="0.2">
      <c r="A26" s="25" t="s">
        <v>30</v>
      </c>
      <c r="B26" s="40">
        <v>-2400</v>
      </c>
      <c r="D26" s="25" t="s">
        <v>69</v>
      </c>
      <c r="E26" s="40">
        <v>0</v>
      </c>
      <c r="G26" s="12"/>
      <c r="H26" s="12"/>
      <c r="R26" s="13"/>
      <c r="W26" s="11">
        <f t="shared" si="2"/>
        <v>37220</v>
      </c>
      <c r="X26" s="14">
        <v>0</v>
      </c>
      <c r="Y26" s="14">
        <v>0</v>
      </c>
      <c r="Z26" s="13">
        <f t="shared" si="5"/>
        <v>436959</v>
      </c>
      <c r="AA26" s="13"/>
      <c r="AB26" s="14">
        <v>0</v>
      </c>
      <c r="AC26" s="14">
        <v>0</v>
      </c>
      <c r="AD26" s="14">
        <f t="shared" si="4"/>
        <v>0</v>
      </c>
      <c r="AF26" s="63">
        <f t="shared" si="3"/>
        <v>37220</v>
      </c>
      <c r="AG26" s="12">
        <f>615000+103000</f>
        <v>718000</v>
      </c>
      <c r="AH26" s="12"/>
      <c r="AJ26" s="64">
        <f t="shared" si="6"/>
        <v>37220</v>
      </c>
      <c r="AK26" s="12">
        <f>245180+30092</f>
        <v>275272</v>
      </c>
      <c r="AL26" s="12"/>
      <c r="AM26" s="12"/>
    </row>
    <row r="27" spans="1:39" x14ac:dyDescent="0.2">
      <c r="A27" s="25" t="s">
        <v>76</v>
      </c>
      <c r="B27" s="40">
        <v>-10000</v>
      </c>
      <c r="C27" s="14"/>
      <c r="D27" s="25" t="s">
        <v>78</v>
      </c>
      <c r="E27" s="58">
        <v>0</v>
      </c>
      <c r="G27" s="12"/>
      <c r="H27" s="12"/>
      <c r="R27" s="13"/>
      <c r="W27" s="11">
        <f t="shared" si="2"/>
        <v>37221</v>
      </c>
      <c r="X27" s="14">
        <v>0</v>
      </c>
      <c r="Y27" s="14">
        <v>0</v>
      </c>
      <c r="Z27" s="13">
        <f t="shared" si="5"/>
        <v>436959</v>
      </c>
      <c r="AA27" s="13"/>
      <c r="AB27" s="14">
        <v>0</v>
      </c>
      <c r="AC27" s="14">
        <v>0</v>
      </c>
      <c r="AD27" s="14">
        <f t="shared" si="4"/>
        <v>0</v>
      </c>
      <c r="AF27" s="63">
        <f t="shared" si="3"/>
        <v>37221</v>
      </c>
      <c r="AG27" s="12">
        <f>700000+115000</f>
        <v>815000</v>
      </c>
      <c r="AH27" s="12"/>
      <c r="AJ27" s="64">
        <f t="shared" si="6"/>
        <v>37221</v>
      </c>
      <c r="AK27" s="12">
        <f>245180+30092</f>
        <v>275272</v>
      </c>
      <c r="AL27" s="12"/>
      <c r="AM27" s="12"/>
    </row>
    <row r="28" spans="1:39" ht="13.5" thickBot="1" x14ac:dyDescent="0.25">
      <c r="A28" s="25" t="s">
        <v>51</v>
      </c>
      <c r="B28" s="26">
        <v>0</v>
      </c>
      <c r="C28" s="57">
        <f>SUM(B29,B63)</f>
        <v>0</v>
      </c>
      <c r="D28" s="60" t="s">
        <v>35</v>
      </c>
      <c r="E28" s="59">
        <v>3797</v>
      </c>
      <c r="G28" s="12"/>
      <c r="H28" s="12"/>
      <c r="R28" s="13"/>
      <c r="W28" s="11">
        <f t="shared" si="2"/>
        <v>37222</v>
      </c>
      <c r="X28" s="14">
        <v>0</v>
      </c>
      <c r="Y28" s="14">
        <v>0</v>
      </c>
      <c r="Z28" s="13">
        <f t="shared" si="5"/>
        <v>436959</v>
      </c>
      <c r="AA28" s="13"/>
      <c r="AB28" s="14">
        <v>0</v>
      </c>
      <c r="AC28" s="14">
        <v>0</v>
      </c>
      <c r="AD28" s="14">
        <f t="shared" si="4"/>
        <v>0</v>
      </c>
      <c r="AF28" s="11">
        <f t="shared" si="3"/>
        <v>37222</v>
      </c>
      <c r="AG28" s="12">
        <f>750000+127000</f>
        <v>877000</v>
      </c>
      <c r="AH28" s="12"/>
      <c r="AJ28" s="15">
        <f t="shared" si="6"/>
        <v>37222</v>
      </c>
      <c r="AK28" s="12"/>
      <c r="AL28" s="12"/>
      <c r="AM28" s="12"/>
    </row>
    <row r="29" spans="1:39" ht="13.5" thickBot="1" x14ac:dyDescent="0.25">
      <c r="A29" s="33" t="s">
        <v>28</v>
      </c>
      <c r="B29" s="34">
        <f>SUM(B6:B28)+B12</f>
        <v>-903732</v>
      </c>
      <c r="C29" s="14"/>
      <c r="D29" s="33" t="s">
        <v>36</v>
      </c>
      <c r="E29" s="34">
        <f>SUM(E16:E28)</f>
        <v>147000</v>
      </c>
      <c r="G29" s="12"/>
      <c r="H29" s="12"/>
      <c r="R29" s="13"/>
      <c r="W29" s="11">
        <f t="shared" si="2"/>
        <v>37223</v>
      </c>
      <c r="X29" s="14">
        <v>0</v>
      </c>
      <c r="Y29" s="14">
        <v>0</v>
      </c>
      <c r="Z29" s="13">
        <f t="shared" si="5"/>
        <v>436959</v>
      </c>
      <c r="AA29" s="13"/>
      <c r="AB29" s="14">
        <v>0</v>
      </c>
      <c r="AC29" s="14">
        <v>0</v>
      </c>
      <c r="AD29" s="14">
        <f t="shared" si="4"/>
        <v>0</v>
      </c>
      <c r="AF29" s="11">
        <f t="shared" si="3"/>
        <v>37223</v>
      </c>
      <c r="AG29" s="12">
        <f>800000+136000</f>
        <v>936000</v>
      </c>
      <c r="AH29" s="12"/>
      <c r="AJ29" s="15">
        <f t="shared" si="6"/>
        <v>37223</v>
      </c>
      <c r="AK29" s="12"/>
      <c r="AL29" s="12"/>
      <c r="AM29" s="12"/>
    </row>
    <row r="30" spans="1:39" ht="13.5" thickBot="1" x14ac:dyDescent="0.25">
      <c r="A30" s="25"/>
      <c r="B30" s="40"/>
      <c r="C30" s="14"/>
      <c r="D30" s="30"/>
      <c r="E30" s="35"/>
      <c r="F30" s="14"/>
      <c r="G30" s="12"/>
      <c r="H30" s="12"/>
      <c r="W30" s="11">
        <f t="shared" si="2"/>
        <v>37224</v>
      </c>
      <c r="X30" s="14">
        <v>0</v>
      </c>
      <c r="Y30" s="14">
        <v>0</v>
      </c>
      <c r="Z30" s="13">
        <f t="shared" si="5"/>
        <v>436959</v>
      </c>
      <c r="AA30" s="13"/>
      <c r="AB30" s="14">
        <v>0</v>
      </c>
      <c r="AC30" s="14">
        <v>0</v>
      </c>
      <c r="AD30" s="14">
        <f t="shared" si="4"/>
        <v>0</v>
      </c>
      <c r="AF30" s="11">
        <f t="shared" si="3"/>
        <v>37224</v>
      </c>
      <c r="AG30" s="12">
        <f>850000+157000</f>
        <v>1007000</v>
      </c>
      <c r="AH30" s="12"/>
      <c r="AJ30" s="15">
        <f t="shared" si="6"/>
        <v>37224</v>
      </c>
      <c r="AK30" s="12"/>
      <c r="AL30" s="12"/>
      <c r="AM30" s="12"/>
    </row>
    <row r="31" spans="1:39" x14ac:dyDescent="0.2">
      <c r="A31" s="25" t="s">
        <v>31</v>
      </c>
      <c r="B31" s="40">
        <v>187134</v>
      </c>
      <c r="C31" s="14"/>
      <c r="E31" s="12"/>
      <c r="G31" s="12"/>
      <c r="H31" s="12"/>
      <c r="W31" s="11">
        <f t="shared" si="2"/>
        <v>37225</v>
      </c>
      <c r="X31" s="14">
        <v>0</v>
      </c>
      <c r="Y31" s="14">
        <v>0</v>
      </c>
      <c r="Z31" s="13">
        <f>Z30-X31+Y31</f>
        <v>436959</v>
      </c>
      <c r="AA31" s="13"/>
      <c r="AB31" s="14">
        <v>0</v>
      </c>
      <c r="AC31" s="14">
        <v>0</v>
      </c>
      <c r="AD31" s="14">
        <f t="shared" si="4"/>
        <v>0</v>
      </c>
      <c r="AF31" s="11">
        <f t="shared" si="3"/>
        <v>37225</v>
      </c>
      <c r="AG31" s="12">
        <f>820000+154000</f>
        <v>974000</v>
      </c>
      <c r="AH31" s="48"/>
      <c r="AJ31" s="15">
        <f t="shared" si="6"/>
        <v>37225</v>
      </c>
      <c r="AK31" s="12"/>
      <c r="AL31" s="12"/>
      <c r="AM31" s="12"/>
    </row>
    <row r="32" spans="1:39" x14ac:dyDescent="0.2">
      <c r="A32" s="25" t="s">
        <v>32</v>
      </c>
      <c r="B32" s="40">
        <v>125000</v>
      </c>
      <c r="C32" s="14"/>
      <c r="E32" s="12"/>
      <c r="G32" s="12"/>
      <c r="H32" s="12"/>
      <c r="W32" s="11">
        <f t="shared" si="2"/>
        <v>37226</v>
      </c>
      <c r="X32" s="14">
        <v>0</v>
      </c>
      <c r="Y32" s="14">
        <v>0</v>
      </c>
      <c r="Z32" s="13">
        <f t="shared" si="5"/>
        <v>436959</v>
      </c>
      <c r="AA32" s="13"/>
      <c r="AB32" s="14">
        <v>0</v>
      </c>
      <c r="AC32" s="14">
        <v>0</v>
      </c>
      <c r="AD32" s="14">
        <f t="shared" si="4"/>
        <v>0</v>
      </c>
      <c r="AF32" s="11">
        <f>AF31+1</f>
        <v>37226</v>
      </c>
      <c r="AG32" s="12"/>
      <c r="AH32" s="12"/>
      <c r="AJ32" s="15">
        <f t="shared" si="6"/>
        <v>37226</v>
      </c>
      <c r="AK32" s="12"/>
      <c r="AL32" s="12"/>
      <c r="AM32" s="12"/>
    </row>
    <row r="33" spans="1:39" x14ac:dyDescent="0.2">
      <c r="A33" s="25" t="s">
        <v>33</v>
      </c>
      <c r="B33" s="40">
        <v>10855</v>
      </c>
      <c r="C33" s="14"/>
      <c r="D33" s="51"/>
      <c r="G33" s="12"/>
      <c r="H33" s="12"/>
      <c r="W33" s="11">
        <f t="shared" si="2"/>
        <v>37227</v>
      </c>
      <c r="X33" s="14">
        <v>0</v>
      </c>
      <c r="Y33" s="14">
        <v>0</v>
      </c>
      <c r="Z33" s="13">
        <f t="shared" ref="Z33:Z39" si="7">Z32-X33+Y33</f>
        <v>436959</v>
      </c>
      <c r="AB33" s="14">
        <v>0</v>
      </c>
      <c r="AC33" s="14">
        <v>0</v>
      </c>
      <c r="AD33" s="14">
        <f t="shared" si="4"/>
        <v>0</v>
      </c>
      <c r="AF33" s="11"/>
      <c r="AG33" s="12"/>
      <c r="AJ33" s="15"/>
      <c r="AK33" s="12"/>
      <c r="AL33" s="12"/>
      <c r="AM33" s="12"/>
    </row>
    <row r="34" spans="1:39" x14ac:dyDescent="0.2">
      <c r="A34" s="25" t="s">
        <v>34</v>
      </c>
      <c r="B34" s="40">
        <v>245180</v>
      </c>
      <c r="C34" s="14"/>
      <c r="G34" s="12"/>
      <c r="H34" s="12"/>
      <c r="W34" s="11">
        <f t="shared" si="2"/>
        <v>37228</v>
      </c>
      <c r="X34" s="14">
        <v>0</v>
      </c>
      <c r="Y34" s="14">
        <v>0</v>
      </c>
      <c r="Z34" s="13">
        <f t="shared" si="7"/>
        <v>436959</v>
      </c>
      <c r="AB34" s="14">
        <v>0</v>
      </c>
      <c r="AC34" s="14">
        <v>0</v>
      </c>
      <c r="AD34" s="14">
        <f t="shared" si="4"/>
        <v>0</v>
      </c>
      <c r="AE34" s="14"/>
      <c r="AF34" s="11"/>
      <c r="AG34" s="12"/>
      <c r="AJ34" s="15"/>
      <c r="AK34" s="12"/>
      <c r="AL34" s="12"/>
      <c r="AM34" s="12"/>
    </row>
    <row r="35" spans="1:39" x14ac:dyDescent="0.2">
      <c r="A35" s="25" t="s">
        <v>81</v>
      </c>
      <c r="B35" s="40">
        <v>50000</v>
      </c>
      <c r="C35" s="12"/>
      <c r="G35" s="12"/>
      <c r="H35" s="12"/>
      <c r="W35" s="11">
        <f t="shared" si="2"/>
        <v>37229</v>
      </c>
      <c r="X35" s="14">
        <v>0</v>
      </c>
      <c r="Y35" s="14">
        <v>0</v>
      </c>
      <c r="Z35" s="13">
        <f t="shared" si="7"/>
        <v>436959</v>
      </c>
      <c r="AB35" s="14">
        <v>0</v>
      </c>
      <c r="AC35" s="14">
        <v>0</v>
      </c>
      <c r="AD35" s="14">
        <f t="shared" si="4"/>
        <v>0</v>
      </c>
      <c r="AF35" s="11"/>
      <c r="AJ35" s="15"/>
      <c r="AK35" s="12"/>
      <c r="AL35" s="12"/>
      <c r="AM35" s="12"/>
    </row>
    <row r="36" spans="1:39" x14ac:dyDescent="0.2">
      <c r="A36" s="25" t="s">
        <v>82</v>
      </c>
      <c r="B36" s="40">
        <v>57377</v>
      </c>
      <c r="C36" s="12"/>
      <c r="G36" s="12"/>
      <c r="H36" s="12"/>
      <c r="W36" s="11">
        <f t="shared" si="2"/>
        <v>37230</v>
      </c>
      <c r="X36" s="14">
        <v>0</v>
      </c>
      <c r="Y36" s="14">
        <v>0</v>
      </c>
      <c r="Z36" s="13">
        <f t="shared" si="7"/>
        <v>436959</v>
      </c>
      <c r="AB36" s="14">
        <v>0</v>
      </c>
      <c r="AC36" s="14">
        <v>0</v>
      </c>
      <c r="AD36" s="14">
        <f t="shared" si="4"/>
        <v>0</v>
      </c>
      <c r="AF36" s="11"/>
      <c r="AJ36" s="15"/>
      <c r="AK36" s="12"/>
      <c r="AL36" s="12"/>
      <c r="AM36" s="12"/>
    </row>
    <row r="37" spans="1:39" x14ac:dyDescent="0.2">
      <c r="A37" s="25" t="s">
        <v>60</v>
      </c>
      <c r="B37" s="40">
        <v>0</v>
      </c>
      <c r="C37" s="1"/>
      <c r="G37" s="12"/>
      <c r="H37" s="12"/>
      <c r="W37" s="11">
        <f t="shared" si="2"/>
        <v>37231</v>
      </c>
      <c r="X37" s="14">
        <v>0</v>
      </c>
      <c r="Y37" s="14">
        <v>0</v>
      </c>
      <c r="Z37" s="13">
        <f t="shared" si="7"/>
        <v>436959</v>
      </c>
      <c r="AB37" s="14">
        <v>0</v>
      </c>
      <c r="AC37" s="14">
        <v>0</v>
      </c>
      <c r="AD37" s="14">
        <f t="shared" si="4"/>
        <v>0</v>
      </c>
      <c r="AL37" s="12"/>
      <c r="AM37" s="12"/>
    </row>
    <row r="38" spans="1:39" x14ac:dyDescent="0.2">
      <c r="A38" s="25" t="s">
        <v>53</v>
      </c>
      <c r="B38" s="40">
        <v>0</v>
      </c>
      <c r="C38" s="61"/>
      <c r="G38" s="12"/>
      <c r="H38" s="12"/>
      <c r="W38" s="11">
        <f t="shared" si="2"/>
        <v>37232</v>
      </c>
      <c r="X38" s="14">
        <v>0</v>
      </c>
      <c r="Y38" s="14">
        <v>0</v>
      </c>
      <c r="Z38" s="13">
        <f t="shared" si="7"/>
        <v>436959</v>
      </c>
      <c r="AB38" s="14">
        <v>0</v>
      </c>
      <c r="AC38" s="14">
        <v>0</v>
      </c>
      <c r="AD38" s="14">
        <f t="shared" si="4"/>
        <v>0</v>
      </c>
      <c r="AL38" s="12"/>
      <c r="AM38" s="12"/>
    </row>
    <row r="39" spans="1:39" x14ac:dyDescent="0.2">
      <c r="A39" s="25" t="s">
        <v>72</v>
      </c>
      <c r="B39" s="40">
        <v>0</v>
      </c>
      <c r="C39" s="1"/>
      <c r="D39" s="53"/>
      <c r="E39" s="54"/>
      <c r="G39" s="12"/>
      <c r="H39" s="12"/>
      <c r="W39" s="11">
        <f t="shared" si="2"/>
        <v>37233</v>
      </c>
      <c r="X39" s="14">
        <v>0</v>
      </c>
      <c r="Y39" s="14">
        <v>0</v>
      </c>
      <c r="Z39" s="13">
        <f t="shared" si="7"/>
        <v>436959</v>
      </c>
      <c r="AB39" s="14">
        <v>0</v>
      </c>
      <c r="AC39" s="14">
        <v>0</v>
      </c>
      <c r="AD39" s="14">
        <f t="shared" si="4"/>
        <v>0</v>
      </c>
      <c r="AJ39" s="12"/>
      <c r="AK39" s="12"/>
      <c r="AL39" s="12"/>
      <c r="AM39" s="12"/>
    </row>
    <row r="40" spans="1:39" x14ac:dyDescent="0.2">
      <c r="A40" s="25" t="s">
        <v>74</v>
      </c>
      <c r="B40" s="40">
        <v>0</v>
      </c>
      <c r="G40" s="12"/>
      <c r="H40" s="12"/>
      <c r="W40" s="11">
        <f t="shared" si="2"/>
        <v>37234</v>
      </c>
      <c r="X40" s="14">
        <v>0</v>
      </c>
      <c r="Y40" s="14">
        <v>0</v>
      </c>
      <c r="Z40" s="13">
        <f t="shared" si="5"/>
        <v>436959</v>
      </c>
      <c r="AB40" s="14">
        <v>0</v>
      </c>
      <c r="AC40" s="14">
        <v>0</v>
      </c>
      <c r="AD40" s="14">
        <f t="shared" si="4"/>
        <v>0</v>
      </c>
      <c r="AJ40" s="12"/>
      <c r="AK40" s="12"/>
      <c r="AL40" s="12"/>
      <c r="AM40" s="12"/>
    </row>
    <row r="41" spans="1:39" x14ac:dyDescent="0.2">
      <c r="A41" s="25" t="s">
        <v>79</v>
      </c>
      <c r="B41" s="40">
        <v>7383</v>
      </c>
      <c r="C41" s="14"/>
      <c r="G41" s="12"/>
      <c r="H41" s="12"/>
      <c r="W41" s="11">
        <f t="shared" si="2"/>
        <v>37235</v>
      </c>
      <c r="X41" s="14">
        <v>0</v>
      </c>
      <c r="Y41" s="14">
        <v>0</v>
      </c>
      <c r="Z41" s="13">
        <f t="shared" si="5"/>
        <v>436959</v>
      </c>
      <c r="AB41" s="14">
        <v>0</v>
      </c>
      <c r="AC41" s="14">
        <v>0</v>
      </c>
      <c r="AD41" s="14">
        <f t="shared" si="4"/>
        <v>0</v>
      </c>
      <c r="AJ41" s="12"/>
      <c r="AK41" s="12"/>
      <c r="AL41" s="12"/>
      <c r="AM41" s="12"/>
    </row>
    <row r="42" spans="1:39" x14ac:dyDescent="0.2">
      <c r="A42" s="25" t="s">
        <v>16</v>
      </c>
      <c r="B42" s="40">
        <v>0</v>
      </c>
      <c r="W42" s="11">
        <f t="shared" si="2"/>
        <v>37236</v>
      </c>
      <c r="X42" s="14">
        <v>0</v>
      </c>
      <c r="Y42" s="14">
        <v>0</v>
      </c>
      <c r="Z42" s="13">
        <f t="shared" si="5"/>
        <v>436959</v>
      </c>
      <c r="AB42" s="14">
        <v>0</v>
      </c>
      <c r="AC42" s="14">
        <v>0</v>
      </c>
      <c r="AD42" s="14">
        <f t="shared" si="4"/>
        <v>0</v>
      </c>
      <c r="AJ42" s="12"/>
      <c r="AK42" s="12"/>
      <c r="AL42" s="12"/>
      <c r="AM42" s="12"/>
    </row>
    <row r="43" spans="1:39" x14ac:dyDescent="0.2">
      <c r="A43" s="25" t="s">
        <v>55</v>
      </c>
      <c r="B43" s="40">
        <v>0</v>
      </c>
      <c r="E43" s="12"/>
      <c r="W43" s="11">
        <f t="shared" si="2"/>
        <v>37237</v>
      </c>
      <c r="X43" s="14">
        <v>0</v>
      </c>
      <c r="Y43" s="14">
        <v>0</v>
      </c>
      <c r="Z43" s="13">
        <f t="shared" si="5"/>
        <v>436959</v>
      </c>
      <c r="AB43" s="14">
        <v>0</v>
      </c>
      <c r="AC43" s="14">
        <v>0</v>
      </c>
      <c r="AD43" s="14">
        <f t="shared" si="4"/>
        <v>0</v>
      </c>
      <c r="AJ43" s="12"/>
      <c r="AK43" s="12"/>
      <c r="AL43" s="12"/>
      <c r="AM43" s="12"/>
    </row>
    <row r="44" spans="1:39" x14ac:dyDescent="0.2">
      <c r="A44" s="25" t="s">
        <v>21</v>
      </c>
      <c r="B44" s="47"/>
      <c r="C44" s="14"/>
      <c r="E44" s="12"/>
      <c r="W44" s="11">
        <f t="shared" si="2"/>
        <v>37238</v>
      </c>
      <c r="X44" s="14">
        <v>0</v>
      </c>
      <c r="Y44" s="14">
        <v>0</v>
      </c>
      <c r="Z44" s="13">
        <f t="shared" si="5"/>
        <v>436959</v>
      </c>
      <c r="AB44" s="14">
        <v>0</v>
      </c>
      <c r="AC44" s="14">
        <v>0</v>
      </c>
      <c r="AD44" s="14">
        <f t="shared" si="4"/>
        <v>0</v>
      </c>
    </row>
    <row r="45" spans="1:39" x14ac:dyDescent="0.2">
      <c r="A45" s="25" t="s">
        <v>50</v>
      </c>
      <c r="B45" s="40">
        <v>0</v>
      </c>
      <c r="E45" s="12"/>
      <c r="W45" s="11">
        <f t="shared" si="2"/>
        <v>37239</v>
      </c>
      <c r="X45" s="14">
        <v>0</v>
      </c>
      <c r="Y45" s="14">
        <v>0</v>
      </c>
      <c r="Z45" s="13">
        <f t="shared" si="5"/>
        <v>436959</v>
      </c>
      <c r="AB45" s="14">
        <v>0</v>
      </c>
      <c r="AC45" s="14">
        <v>0</v>
      </c>
      <c r="AD45" s="14">
        <f t="shared" si="4"/>
        <v>0</v>
      </c>
    </row>
    <row r="46" spans="1:39" x14ac:dyDescent="0.2">
      <c r="A46" s="25" t="s">
        <v>70</v>
      </c>
      <c r="B46" s="40">
        <v>20666</v>
      </c>
      <c r="C46" s="14"/>
      <c r="E46" s="12"/>
      <c r="W46" s="11">
        <f t="shared" si="2"/>
        <v>37240</v>
      </c>
      <c r="X46" s="14">
        <v>0</v>
      </c>
      <c r="Y46" s="14">
        <v>0</v>
      </c>
      <c r="Z46" s="13">
        <f t="shared" si="5"/>
        <v>436959</v>
      </c>
      <c r="AB46" s="14">
        <v>0</v>
      </c>
      <c r="AC46" s="14">
        <v>0</v>
      </c>
      <c r="AD46" s="14">
        <f t="shared" si="4"/>
        <v>0</v>
      </c>
    </row>
    <row r="47" spans="1:39" x14ac:dyDescent="0.2">
      <c r="A47" s="25" t="s">
        <v>37</v>
      </c>
      <c r="B47" s="40">
        <v>18000</v>
      </c>
      <c r="W47" s="11">
        <f t="shared" si="2"/>
        <v>37241</v>
      </c>
      <c r="X47" s="14">
        <v>0</v>
      </c>
      <c r="Y47" s="14">
        <v>0</v>
      </c>
      <c r="Z47" s="13">
        <f t="shared" si="5"/>
        <v>436959</v>
      </c>
      <c r="AB47" s="14">
        <v>0</v>
      </c>
      <c r="AC47" s="14">
        <v>0</v>
      </c>
      <c r="AD47" s="14">
        <f t="shared" si="4"/>
        <v>0</v>
      </c>
    </row>
    <row r="48" spans="1:39" x14ac:dyDescent="0.2">
      <c r="A48" s="25" t="s">
        <v>87</v>
      </c>
      <c r="B48" s="40">
        <v>0</v>
      </c>
      <c r="E48" s="12"/>
    </row>
    <row r="49" spans="1:5" x14ac:dyDescent="0.2">
      <c r="A49" s="25" t="s">
        <v>38</v>
      </c>
      <c r="B49" s="40"/>
      <c r="C49" s="14" t="s">
        <v>15</v>
      </c>
      <c r="E49" s="12"/>
    </row>
    <row r="50" spans="1:5" x14ac:dyDescent="0.2">
      <c r="A50" s="60" t="s">
        <v>48</v>
      </c>
      <c r="B50" s="58">
        <v>35000</v>
      </c>
      <c r="E50" s="12"/>
    </row>
    <row r="51" spans="1:5" x14ac:dyDescent="0.2">
      <c r="A51" s="60" t="s">
        <v>27</v>
      </c>
      <c r="B51" s="58">
        <v>40000</v>
      </c>
      <c r="E51" s="12"/>
    </row>
    <row r="52" spans="1:5" x14ac:dyDescent="0.2">
      <c r="A52" s="25" t="s">
        <v>88</v>
      </c>
      <c r="B52" s="58">
        <v>0</v>
      </c>
      <c r="C52" s="14"/>
      <c r="E52" s="12"/>
    </row>
    <row r="53" spans="1:5" x14ac:dyDescent="0.2">
      <c r="A53" s="25" t="s">
        <v>41</v>
      </c>
      <c r="B53" s="40">
        <v>50000</v>
      </c>
      <c r="C53" s="61"/>
      <c r="E53" s="12"/>
    </row>
    <row r="54" spans="1:5" x14ac:dyDescent="0.2">
      <c r="A54" s="25" t="s">
        <v>39</v>
      </c>
      <c r="B54" s="40">
        <v>0</v>
      </c>
      <c r="C54" s="61"/>
      <c r="E54" s="12"/>
    </row>
    <row r="55" spans="1:5" x14ac:dyDescent="0.2">
      <c r="A55" s="25" t="s">
        <v>40</v>
      </c>
      <c r="B55" s="40">
        <v>0</v>
      </c>
      <c r="C55" s="14"/>
      <c r="E55" s="12"/>
    </row>
    <row r="56" spans="1:5" x14ac:dyDescent="0.2">
      <c r="A56" s="25" t="s">
        <v>75</v>
      </c>
      <c r="B56" s="40">
        <v>31500</v>
      </c>
      <c r="C56" s="14"/>
      <c r="E56" s="12"/>
    </row>
    <row r="57" spans="1:5" x14ac:dyDescent="0.2">
      <c r="A57" s="25" t="s">
        <v>80</v>
      </c>
      <c r="B57" s="58">
        <v>0</v>
      </c>
      <c r="C57" s="14"/>
      <c r="E57" s="12"/>
    </row>
    <row r="58" spans="1:5" x14ac:dyDescent="0.2">
      <c r="A58" s="25" t="s">
        <v>83</v>
      </c>
      <c r="B58" s="40">
        <v>0</v>
      </c>
      <c r="C58" s="14"/>
      <c r="E58" s="12"/>
    </row>
    <row r="59" spans="1:5" x14ac:dyDescent="0.2">
      <c r="A59" s="25" t="s">
        <v>84</v>
      </c>
      <c r="B59" s="40">
        <v>20000</v>
      </c>
      <c r="C59" s="14"/>
    </row>
    <row r="60" spans="1:5" x14ac:dyDescent="0.2">
      <c r="A60" s="25" t="s">
        <v>61</v>
      </c>
      <c r="B60" s="58">
        <v>0</v>
      </c>
      <c r="C60" s="14"/>
    </row>
    <row r="61" spans="1:5" x14ac:dyDescent="0.2">
      <c r="A61" s="25" t="s">
        <v>59</v>
      </c>
      <c r="B61" s="40">
        <v>0</v>
      </c>
      <c r="C61" s="62"/>
    </row>
    <row r="62" spans="1:5" ht="13.5" thickBot="1" x14ac:dyDescent="0.25">
      <c r="A62" s="25" t="s">
        <v>35</v>
      </c>
      <c r="B62" s="40">
        <v>5637</v>
      </c>
    </row>
    <row r="63" spans="1:5" ht="13.5" thickBot="1" x14ac:dyDescent="0.25">
      <c r="A63" s="33" t="s">
        <v>36</v>
      </c>
      <c r="B63" s="34">
        <f>SUM(B31:B62)</f>
        <v>903732</v>
      </c>
    </row>
    <row r="64" spans="1:5" ht="13.5" thickBot="1" x14ac:dyDescent="0.25">
      <c r="A64" s="30"/>
      <c r="B64" s="36"/>
    </row>
    <row r="65" spans="1:2" x14ac:dyDescent="0.2">
      <c r="A65" s="27"/>
      <c r="B65" s="27"/>
    </row>
  </sheetData>
  <phoneticPr fontId="0" type="noConversion"/>
  <pageMargins left="0.55000000000000004" right="0.3" top="1" bottom="0.5" header="0.5" footer="0.23"/>
  <pageSetup scale="48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64"/>
  <sheetViews>
    <sheetView zoomScale="75" workbookViewId="0">
      <selection activeCell="C1" sqref="C1"/>
    </sheetView>
  </sheetViews>
  <sheetFormatPr defaultRowHeight="12.75" x14ac:dyDescent="0.2"/>
  <cols>
    <col min="1" max="1" width="41.28515625" style="43" customWidth="1"/>
    <col min="2" max="2" width="11.42578125" style="43" bestFit="1" customWidth="1"/>
    <col min="3" max="3" width="11" style="2" bestFit="1" customWidth="1"/>
    <col min="4" max="4" width="37.28515625" style="2" customWidth="1"/>
    <col min="5" max="5" width="11" style="2" customWidth="1"/>
    <col min="6" max="6" width="9.28515625" style="2" customWidth="1"/>
    <col min="7" max="7" width="41.28515625" style="2" customWidth="1"/>
    <col min="8" max="8" width="11.42578125" style="2" bestFit="1" customWidth="1"/>
    <col min="9" max="9" width="11" style="2" bestFit="1" customWidth="1"/>
    <col min="10" max="10" width="37.28515625" style="2" customWidth="1"/>
    <col min="11" max="11" width="9.28515625" style="2" bestFit="1" customWidth="1"/>
    <col min="12" max="12" width="11.140625" style="2" customWidth="1"/>
    <col min="13" max="13" width="41.28515625" style="2" customWidth="1"/>
    <col min="14" max="14" width="11.5703125" style="2" customWidth="1"/>
    <col min="15" max="15" width="11" style="2" customWidth="1"/>
    <col min="16" max="16" width="37.28515625" style="2" customWidth="1"/>
    <col min="17" max="17" width="11" style="2" customWidth="1"/>
    <col min="18" max="18" width="9.140625" style="2"/>
    <col min="19" max="19" width="41.140625" style="2" customWidth="1"/>
    <col min="20" max="20" width="11.42578125" style="2" customWidth="1"/>
    <col min="21" max="21" width="11" style="2" customWidth="1"/>
    <col min="22" max="22" width="37.28515625" style="2" customWidth="1"/>
    <col min="23" max="23" width="11" style="2" customWidth="1"/>
    <col min="24" max="24" width="9.140625" style="2"/>
    <col min="25" max="25" width="41.140625" style="2" hidden="1" customWidth="1"/>
    <col min="26" max="26" width="11.42578125" style="2" hidden="1" customWidth="1"/>
    <col min="27" max="27" width="11" style="2" hidden="1" customWidth="1"/>
    <col min="28" max="28" width="37.28515625" style="2" hidden="1" customWidth="1"/>
    <col min="29" max="29" width="11" style="2" hidden="1" customWidth="1"/>
    <col min="30" max="30" width="9.140625" style="2" hidden="1" customWidth="1"/>
    <col min="31" max="31" width="0" style="2" hidden="1" customWidth="1"/>
    <col min="32" max="16384" width="9.140625" style="2"/>
  </cols>
  <sheetData>
    <row r="1" spans="1:30" ht="27.75" customHeight="1" thickBot="1" x14ac:dyDescent="0.35">
      <c r="A1" s="43" t="s">
        <v>0</v>
      </c>
      <c r="B1" s="44">
        <f ca="1">TODAY()</f>
        <v>37221</v>
      </c>
      <c r="D1" s="67" t="s">
        <v>89</v>
      </c>
      <c r="G1" s="2" t="s">
        <v>0</v>
      </c>
      <c r="H1" s="3">
        <f ca="1">TODAY()</f>
        <v>37221</v>
      </c>
      <c r="J1" s="67" t="s">
        <v>92</v>
      </c>
      <c r="M1" s="2" t="s">
        <v>0</v>
      </c>
      <c r="N1" s="3">
        <f ca="1">TODAY()</f>
        <v>37221</v>
      </c>
      <c r="P1" s="67" t="s">
        <v>91</v>
      </c>
      <c r="S1" s="2" t="s">
        <v>0</v>
      </c>
      <c r="T1" s="3">
        <f ca="1">TODAY()</f>
        <v>37221</v>
      </c>
      <c r="V1" s="67" t="s">
        <v>90</v>
      </c>
      <c r="Y1" s="2" t="s">
        <v>0</v>
      </c>
      <c r="Z1" s="3">
        <f ca="1">TODAY()</f>
        <v>37221</v>
      </c>
      <c r="AB1" s="67" t="s">
        <v>93</v>
      </c>
    </row>
    <row r="2" spans="1:30" ht="13.5" thickBot="1" x14ac:dyDescent="0.25">
      <c r="A2" s="43" t="s">
        <v>10</v>
      </c>
      <c r="B2" s="44">
        <f ca="1">TODAY()+2</f>
        <v>37223</v>
      </c>
      <c r="G2" s="2" t="s">
        <v>10</v>
      </c>
      <c r="H2" s="3">
        <f ca="1">TODAY()+3</f>
        <v>37224</v>
      </c>
      <c r="M2" s="2" t="s">
        <v>10</v>
      </c>
      <c r="N2" s="3">
        <f ca="1">TODAY()+4</f>
        <v>37225</v>
      </c>
      <c r="S2" s="2" t="s">
        <v>10</v>
      </c>
      <c r="T2" s="3">
        <f ca="1">TODAY()+5</f>
        <v>37226</v>
      </c>
      <c r="Y2" s="2" t="s">
        <v>10</v>
      </c>
      <c r="Z2" s="3">
        <f ca="1">TODAY()+4</f>
        <v>37225</v>
      </c>
    </row>
    <row r="3" spans="1:30" ht="25.5" customHeight="1" thickBot="1" x14ac:dyDescent="0.25">
      <c r="B3" s="45" t="s">
        <v>11</v>
      </c>
      <c r="C3" s="1" t="s">
        <v>12</v>
      </c>
      <c r="D3" s="1" t="s">
        <v>13</v>
      </c>
      <c r="H3" s="1" t="s">
        <v>11</v>
      </c>
      <c r="I3" s="1" t="s">
        <v>12</v>
      </c>
      <c r="J3" s="1" t="s">
        <v>13</v>
      </c>
      <c r="N3" s="1" t="s">
        <v>11</v>
      </c>
      <c r="O3" s="1" t="s">
        <v>12</v>
      </c>
      <c r="P3" s="1" t="s">
        <v>13</v>
      </c>
      <c r="T3" s="1" t="s">
        <v>11</v>
      </c>
      <c r="U3" s="1" t="s">
        <v>12</v>
      </c>
      <c r="V3" s="1" t="s">
        <v>13</v>
      </c>
      <c r="Z3" s="1" t="s">
        <v>11</v>
      </c>
      <c r="AA3" s="1" t="s">
        <v>12</v>
      </c>
      <c r="AB3" s="1" t="s">
        <v>13</v>
      </c>
    </row>
    <row r="4" spans="1:30" ht="13.5" thickBot="1" x14ac:dyDescent="0.25">
      <c r="A4" s="2" t="s">
        <v>14</v>
      </c>
      <c r="B4" s="16">
        <v>49</v>
      </c>
      <c r="C4" s="17">
        <v>38</v>
      </c>
      <c r="D4" s="18">
        <f>AVERAGE(B4,C4)</f>
        <v>43.5</v>
      </c>
      <c r="G4" s="2" t="s">
        <v>14</v>
      </c>
      <c r="H4" s="16">
        <v>48</v>
      </c>
      <c r="I4" s="17">
        <v>35</v>
      </c>
      <c r="J4" s="18">
        <f>AVERAGE(H4,I4)</f>
        <v>41.5</v>
      </c>
      <c r="M4" s="2" t="s">
        <v>14</v>
      </c>
      <c r="N4" s="16">
        <v>47</v>
      </c>
      <c r="O4" s="17">
        <v>37</v>
      </c>
      <c r="P4" s="18">
        <f>AVERAGE(N4,O4)</f>
        <v>42</v>
      </c>
      <c r="S4" s="2" t="s">
        <v>14</v>
      </c>
      <c r="T4" s="16">
        <v>0</v>
      </c>
      <c r="U4" s="17">
        <v>0</v>
      </c>
      <c r="V4" s="18">
        <f>AVERAGE(T4,U4)</f>
        <v>0</v>
      </c>
      <c r="Y4" s="2" t="s">
        <v>14</v>
      </c>
      <c r="Z4" s="16">
        <v>56</v>
      </c>
      <c r="AA4" s="17">
        <v>40</v>
      </c>
      <c r="AB4" s="18">
        <f>AVERAGE(Z4,AA4)</f>
        <v>48</v>
      </c>
    </row>
    <row r="5" spans="1:30" x14ac:dyDescent="0.2">
      <c r="A5" s="19"/>
      <c r="B5" s="20"/>
      <c r="C5" s="1"/>
      <c r="D5" s="19"/>
      <c r="E5" s="20"/>
      <c r="F5" s="1"/>
      <c r="G5" s="19"/>
      <c r="H5" s="20"/>
      <c r="I5" s="1"/>
      <c r="J5" s="19"/>
      <c r="K5" s="20"/>
      <c r="L5" s="1"/>
      <c r="M5" s="19"/>
      <c r="N5" s="20"/>
      <c r="O5" s="1"/>
      <c r="P5" s="19"/>
      <c r="Q5" s="20"/>
      <c r="R5" s="1"/>
      <c r="S5" s="19"/>
      <c r="T5" s="20"/>
      <c r="U5" s="1"/>
      <c r="V5" s="19"/>
      <c r="W5" s="20"/>
      <c r="X5" s="1"/>
      <c r="Y5" s="19"/>
      <c r="Z5" s="20"/>
      <c r="AA5" s="1"/>
      <c r="AB5" s="19"/>
      <c r="AC5" s="20"/>
      <c r="AD5" s="1"/>
    </row>
    <row r="6" spans="1:30" x14ac:dyDescent="0.2">
      <c r="A6" s="25" t="s">
        <v>18</v>
      </c>
      <c r="B6" s="40">
        <v>-600000</v>
      </c>
      <c r="C6" s="12">
        <v>0</v>
      </c>
      <c r="D6" s="25" t="s">
        <v>19</v>
      </c>
      <c r="E6" s="26">
        <v>-102000</v>
      </c>
      <c r="F6" s="12">
        <v>0</v>
      </c>
      <c r="G6" s="25" t="s">
        <v>18</v>
      </c>
      <c r="H6" s="40">
        <v>-600000</v>
      </c>
      <c r="I6" s="12">
        <v>0</v>
      </c>
      <c r="J6" s="25" t="s">
        <v>19</v>
      </c>
      <c r="K6" s="26">
        <v>-100000</v>
      </c>
      <c r="L6" s="12">
        <v>0</v>
      </c>
      <c r="M6" s="25" t="s">
        <v>18</v>
      </c>
      <c r="N6" s="40">
        <v>-615000</v>
      </c>
      <c r="O6" s="12">
        <v>0</v>
      </c>
      <c r="P6" s="25" t="s">
        <v>19</v>
      </c>
      <c r="Q6" s="26">
        <v>-103000</v>
      </c>
      <c r="R6" s="12">
        <v>0</v>
      </c>
      <c r="S6" s="25" t="s">
        <v>18</v>
      </c>
      <c r="T6" s="40">
        <v>-700000</v>
      </c>
      <c r="U6" s="12">
        <v>0</v>
      </c>
      <c r="V6" s="25" t="s">
        <v>19</v>
      </c>
      <c r="W6" s="26">
        <v>-120000</v>
      </c>
      <c r="X6" s="12">
        <v>0</v>
      </c>
      <c r="Y6" s="25" t="s">
        <v>18</v>
      </c>
      <c r="Z6" s="40">
        <v>-515000</v>
      </c>
      <c r="AA6" s="12">
        <v>0</v>
      </c>
      <c r="AB6" s="25" t="s">
        <v>19</v>
      </c>
      <c r="AC6" s="26">
        <v>-84000</v>
      </c>
      <c r="AD6" s="12">
        <v>0</v>
      </c>
    </row>
    <row r="7" spans="1:30" x14ac:dyDescent="0.2">
      <c r="A7" s="25" t="s">
        <v>47</v>
      </c>
      <c r="B7" s="40"/>
      <c r="D7" s="25" t="s">
        <v>22</v>
      </c>
      <c r="E7" s="26">
        <v>0</v>
      </c>
      <c r="G7" s="25" t="s">
        <v>47</v>
      </c>
      <c r="H7" s="40"/>
      <c r="J7" s="25" t="s">
        <v>22</v>
      </c>
      <c r="K7" s="26">
        <v>0</v>
      </c>
      <c r="M7" s="25" t="s">
        <v>47</v>
      </c>
      <c r="N7" s="40"/>
      <c r="P7" s="25" t="s">
        <v>22</v>
      </c>
      <c r="Q7" s="26">
        <v>0</v>
      </c>
      <c r="S7" s="25" t="s">
        <v>47</v>
      </c>
      <c r="T7" s="40"/>
      <c r="V7" s="25" t="s">
        <v>22</v>
      </c>
      <c r="W7" s="26">
        <v>0</v>
      </c>
      <c r="Y7" s="25" t="s">
        <v>47</v>
      </c>
      <c r="Z7" s="40"/>
      <c r="AB7" s="25" t="s">
        <v>22</v>
      </c>
      <c r="AC7" s="26">
        <v>0</v>
      </c>
    </row>
    <row r="8" spans="1:30" x14ac:dyDescent="0.2">
      <c r="A8" s="25" t="s">
        <v>49</v>
      </c>
      <c r="B8" s="40"/>
      <c r="D8" s="25" t="s">
        <v>23</v>
      </c>
      <c r="E8" s="26"/>
      <c r="G8" s="25" t="s">
        <v>49</v>
      </c>
      <c r="H8" s="40"/>
      <c r="J8" s="25" t="s">
        <v>23</v>
      </c>
      <c r="K8" s="26"/>
      <c r="M8" s="25" t="s">
        <v>49</v>
      </c>
      <c r="N8" s="40"/>
      <c r="P8" s="25" t="s">
        <v>23</v>
      </c>
      <c r="Q8" s="26"/>
      <c r="S8" s="25" t="s">
        <v>49</v>
      </c>
      <c r="T8" s="40"/>
      <c r="V8" s="25" t="s">
        <v>23</v>
      </c>
      <c r="W8" s="26"/>
      <c r="Y8" s="25" t="s">
        <v>49</v>
      </c>
      <c r="Z8" s="40"/>
      <c r="AB8" s="25" t="s">
        <v>23</v>
      </c>
      <c r="AC8" s="26"/>
    </row>
    <row r="9" spans="1:30" x14ac:dyDescent="0.2">
      <c r="A9" s="60" t="s">
        <v>52</v>
      </c>
      <c r="B9" s="58">
        <v>-50000</v>
      </c>
      <c r="C9" s="66">
        <v>0</v>
      </c>
      <c r="D9" s="25" t="s">
        <v>25</v>
      </c>
      <c r="E9" s="26">
        <v>-20000</v>
      </c>
      <c r="G9" s="60" t="s">
        <v>52</v>
      </c>
      <c r="H9" s="58">
        <v>-50000</v>
      </c>
      <c r="I9" s="66"/>
      <c r="J9" s="25" t="s">
        <v>25</v>
      </c>
      <c r="K9" s="26">
        <v>-20000</v>
      </c>
      <c r="M9" s="60" t="s">
        <v>52</v>
      </c>
      <c r="N9" s="58">
        <v>-50000</v>
      </c>
      <c r="O9" s="66"/>
      <c r="P9" s="25" t="s">
        <v>25</v>
      </c>
      <c r="Q9" s="26">
        <v>-20000</v>
      </c>
      <c r="S9" s="60" t="s">
        <v>52</v>
      </c>
      <c r="T9" s="58">
        <v>-50000</v>
      </c>
      <c r="U9" s="66"/>
      <c r="V9" s="25" t="s">
        <v>25</v>
      </c>
      <c r="W9" s="26">
        <v>-20000</v>
      </c>
      <c r="Y9" s="60" t="s">
        <v>52</v>
      </c>
      <c r="Z9" s="58">
        <v>-50000</v>
      </c>
      <c r="AA9" s="66"/>
      <c r="AB9" s="25" t="s">
        <v>25</v>
      </c>
      <c r="AC9" s="26">
        <v>-20000</v>
      </c>
    </row>
    <row r="10" spans="1:30" x14ac:dyDescent="0.2">
      <c r="A10" s="41" t="s">
        <v>71</v>
      </c>
      <c r="B10" s="40">
        <v>0</v>
      </c>
      <c r="C10" s="14" t="s">
        <v>15</v>
      </c>
      <c r="D10" s="25" t="s">
        <v>44</v>
      </c>
      <c r="E10" s="26"/>
      <c r="G10" s="41" t="s">
        <v>71</v>
      </c>
      <c r="H10" s="40">
        <v>0</v>
      </c>
      <c r="I10" s="14" t="s">
        <v>15</v>
      </c>
      <c r="J10" s="25" t="s">
        <v>44</v>
      </c>
      <c r="K10" s="26"/>
      <c r="M10" s="41" t="s">
        <v>71</v>
      </c>
      <c r="N10" s="40">
        <v>0</v>
      </c>
      <c r="O10" s="14" t="s">
        <v>15</v>
      </c>
      <c r="P10" s="25" t="s">
        <v>44</v>
      </c>
      <c r="Q10" s="26"/>
      <c r="S10" s="41" t="s">
        <v>71</v>
      </c>
      <c r="T10" s="40">
        <v>0</v>
      </c>
      <c r="U10" s="14" t="s">
        <v>15</v>
      </c>
      <c r="V10" s="25" t="s">
        <v>44</v>
      </c>
      <c r="W10" s="26"/>
      <c r="Y10" s="41" t="s">
        <v>71</v>
      </c>
      <c r="Z10" s="40">
        <v>0</v>
      </c>
      <c r="AA10" s="14" t="s">
        <v>15</v>
      </c>
      <c r="AB10" s="25" t="s">
        <v>44</v>
      </c>
      <c r="AC10" s="26"/>
    </row>
    <row r="11" spans="1:30" x14ac:dyDescent="0.2">
      <c r="A11" s="25" t="s">
        <v>25</v>
      </c>
      <c r="B11" s="40">
        <f>-96283-0-0-20000-7383+20666</f>
        <v>-103000</v>
      </c>
      <c r="C11" s="40"/>
      <c r="D11" s="25" t="s">
        <v>26</v>
      </c>
      <c r="E11" s="26">
        <v>0</v>
      </c>
      <c r="G11" s="25" t="s">
        <v>25</v>
      </c>
      <c r="H11" s="40">
        <f>-96283-0-0-20000-7383+20666</f>
        <v>-103000</v>
      </c>
      <c r="I11" s="40"/>
      <c r="J11" s="25" t="s">
        <v>26</v>
      </c>
      <c r="K11" s="26">
        <v>0</v>
      </c>
      <c r="M11" s="25" t="s">
        <v>25</v>
      </c>
      <c r="N11" s="40">
        <f>-96283-0-0-20000-7383+20666</f>
        <v>-103000</v>
      </c>
      <c r="O11" s="40"/>
      <c r="P11" s="25" t="s">
        <v>26</v>
      </c>
      <c r="Q11" s="26">
        <v>0</v>
      </c>
      <c r="S11" s="25" t="s">
        <v>25</v>
      </c>
      <c r="T11" s="40">
        <f>-96283-0-0-20000-7383+20666</f>
        <v>-103000</v>
      </c>
      <c r="U11" s="40"/>
      <c r="V11" s="25" t="s">
        <v>26</v>
      </c>
      <c r="W11" s="26">
        <v>0</v>
      </c>
      <c r="Y11" s="25" t="s">
        <v>25</v>
      </c>
      <c r="Z11" s="40">
        <f>-118283-0-0-20000-7383+20666</f>
        <v>-125000</v>
      </c>
      <c r="AA11" s="40"/>
      <c r="AB11" s="25" t="s">
        <v>26</v>
      </c>
      <c r="AC11" s="26">
        <v>0</v>
      </c>
    </row>
    <row r="12" spans="1:30" x14ac:dyDescent="0.2">
      <c r="A12" s="25" t="s">
        <v>63</v>
      </c>
      <c r="B12" s="40">
        <v>-20666</v>
      </c>
      <c r="C12" s="14"/>
      <c r="D12" s="41" t="s">
        <v>46</v>
      </c>
      <c r="E12" s="40">
        <v>0</v>
      </c>
      <c r="G12" s="25" t="s">
        <v>63</v>
      </c>
      <c r="H12" s="40">
        <v>-20666</v>
      </c>
      <c r="I12" s="14"/>
      <c r="J12" s="41" t="s">
        <v>46</v>
      </c>
      <c r="K12" s="40">
        <v>0</v>
      </c>
      <c r="M12" s="25" t="s">
        <v>63</v>
      </c>
      <c r="N12" s="40">
        <v>-20666</v>
      </c>
      <c r="O12" s="14"/>
      <c r="P12" s="41" t="s">
        <v>46</v>
      </c>
      <c r="Q12" s="40">
        <v>0</v>
      </c>
      <c r="S12" s="25" t="s">
        <v>63</v>
      </c>
      <c r="T12" s="40">
        <v>-20666</v>
      </c>
      <c r="U12" s="14"/>
      <c r="V12" s="41" t="s">
        <v>46</v>
      </c>
      <c r="W12" s="40">
        <v>0</v>
      </c>
      <c r="Y12" s="25" t="s">
        <v>63</v>
      </c>
      <c r="Z12" s="40">
        <v>-20666</v>
      </c>
      <c r="AA12" s="14"/>
      <c r="AB12" s="41" t="s">
        <v>46</v>
      </c>
      <c r="AC12" s="40">
        <v>0</v>
      </c>
    </row>
    <row r="13" spans="1:30" ht="13.5" thickBot="1" x14ac:dyDescent="0.25">
      <c r="A13" s="25" t="s">
        <v>16</v>
      </c>
      <c r="B13" s="40">
        <v>0</v>
      </c>
      <c r="C13" s="1"/>
      <c r="D13" s="60" t="s">
        <v>27</v>
      </c>
      <c r="E13" s="59">
        <v>-2641</v>
      </c>
      <c r="G13" s="25" t="s">
        <v>16</v>
      </c>
      <c r="H13" s="40">
        <v>0</v>
      </c>
      <c r="I13" s="1"/>
      <c r="J13" s="60" t="s">
        <v>27</v>
      </c>
      <c r="K13" s="59">
        <v>-4641</v>
      </c>
      <c r="M13" s="25" t="s">
        <v>16</v>
      </c>
      <c r="N13" s="40">
        <v>0</v>
      </c>
      <c r="O13" s="1"/>
      <c r="P13" s="60" t="s">
        <v>27</v>
      </c>
      <c r="Q13" s="59">
        <v>-1641</v>
      </c>
      <c r="S13" s="25" t="s">
        <v>16</v>
      </c>
      <c r="T13" s="40">
        <v>0</v>
      </c>
      <c r="U13" s="1"/>
      <c r="V13" s="25" t="s">
        <v>27</v>
      </c>
      <c r="W13" s="26">
        <v>0</v>
      </c>
      <c r="Y13" s="25" t="s">
        <v>16</v>
      </c>
      <c r="Z13" s="40">
        <v>0</v>
      </c>
      <c r="AA13" s="1"/>
      <c r="AB13" s="60" t="s">
        <v>27</v>
      </c>
      <c r="AC13" s="59">
        <v>-20641</v>
      </c>
    </row>
    <row r="14" spans="1:30" ht="13.5" thickBot="1" x14ac:dyDescent="0.25">
      <c r="A14" s="25" t="s">
        <v>55</v>
      </c>
      <c r="B14" s="40">
        <v>0</v>
      </c>
      <c r="C14" s="14"/>
      <c r="D14" s="33" t="s">
        <v>28</v>
      </c>
      <c r="E14" s="34">
        <f>SUM(E6:E13)</f>
        <v>-124641</v>
      </c>
      <c r="G14" s="25" t="s">
        <v>55</v>
      </c>
      <c r="H14" s="40">
        <v>0</v>
      </c>
      <c r="I14" s="14"/>
      <c r="J14" s="33" t="s">
        <v>28</v>
      </c>
      <c r="K14" s="34">
        <f>SUM(K6:K13)</f>
        <v>-124641</v>
      </c>
      <c r="M14" s="25" t="s">
        <v>55</v>
      </c>
      <c r="N14" s="40">
        <v>0</v>
      </c>
      <c r="O14" s="14"/>
      <c r="P14" s="33" t="s">
        <v>28</v>
      </c>
      <c r="Q14" s="34">
        <f>SUM(Q6:Q13)</f>
        <v>-124641</v>
      </c>
      <c r="S14" s="25" t="s">
        <v>55</v>
      </c>
      <c r="T14" s="40">
        <v>0</v>
      </c>
      <c r="U14" s="14"/>
      <c r="V14" s="33" t="s">
        <v>28</v>
      </c>
      <c r="W14" s="34">
        <f>SUM(W6:W13)</f>
        <v>-140000</v>
      </c>
      <c r="Y14" s="25" t="s">
        <v>55</v>
      </c>
      <c r="Z14" s="40">
        <v>0</v>
      </c>
      <c r="AA14" s="14"/>
      <c r="AB14" s="33" t="s">
        <v>28</v>
      </c>
      <c r="AC14" s="34">
        <f>SUM(AC6:AC13)</f>
        <v>-124641</v>
      </c>
    </row>
    <row r="15" spans="1:30" x14ac:dyDescent="0.2">
      <c r="A15" s="25" t="s">
        <v>23</v>
      </c>
      <c r="B15" s="40"/>
      <c r="C15" s="14"/>
      <c r="D15" s="25"/>
      <c r="E15" s="26"/>
      <c r="F15" s="14">
        <f>+E14+E29</f>
        <v>0</v>
      </c>
      <c r="G15" s="25" t="s">
        <v>23</v>
      </c>
      <c r="H15" s="40"/>
      <c r="I15" s="14"/>
      <c r="J15" s="25"/>
      <c r="K15" s="26"/>
      <c r="L15" s="14">
        <f>+K14+K29</f>
        <v>0</v>
      </c>
      <c r="M15" s="25" t="s">
        <v>23</v>
      </c>
      <c r="N15" s="40"/>
      <c r="O15" s="14"/>
      <c r="P15" s="25"/>
      <c r="Q15" s="26"/>
      <c r="R15" s="14">
        <f>+Q14+Q29</f>
        <v>0</v>
      </c>
      <c r="S15" s="25" t="s">
        <v>23</v>
      </c>
      <c r="T15" s="40"/>
      <c r="U15" s="14"/>
      <c r="V15" s="25"/>
      <c r="W15" s="26"/>
      <c r="X15" s="14">
        <f>+W14+W29</f>
        <v>0</v>
      </c>
      <c r="Y15" s="25" t="s">
        <v>23</v>
      </c>
      <c r="Z15" s="40"/>
      <c r="AA15" s="14"/>
      <c r="AB15" s="25"/>
      <c r="AC15" s="26"/>
      <c r="AD15" s="14">
        <f>+AC14+AC29</f>
        <v>0</v>
      </c>
    </row>
    <row r="16" spans="1:30" x14ac:dyDescent="0.2">
      <c r="A16" s="25" t="s">
        <v>48</v>
      </c>
      <c r="B16" s="40">
        <v>0</v>
      </c>
      <c r="C16" s="14"/>
      <c r="D16" s="25" t="s">
        <v>31</v>
      </c>
      <c r="E16" s="26">
        <v>39111</v>
      </c>
      <c r="G16" s="25" t="s">
        <v>48</v>
      </c>
      <c r="H16" s="40">
        <v>0</v>
      </c>
      <c r="I16" s="14"/>
      <c r="J16" s="25" t="s">
        <v>31</v>
      </c>
      <c r="K16" s="26">
        <v>39111</v>
      </c>
      <c r="M16" s="25" t="s">
        <v>48</v>
      </c>
      <c r="N16" s="40">
        <v>0</v>
      </c>
      <c r="O16" s="14"/>
      <c r="P16" s="25" t="s">
        <v>31</v>
      </c>
      <c r="Q16" s="26">
        <v>39111</v>
      </c>
      <c r="S16" s="25" t="s">
        <v>48</v>
      </c>
      <c r="T16" s="40">
        <v>0</v>
      </c>
      <c r="U16" s="14"/>
      <c r="V16" s="25" t="s">
        <v>31</v>
      </c>
      <c r="W16" s="26">
        <v>39111</v>
      </c>
      <c r="Y16" s="25" t="s">
        <v>48</v>
      </c>
      <c r="Z16" s="40">
        <v>0</v>
      </c>
      <c r="AA16" s="14"/>
      <c r="AB16" s="25" t="s">
        <v>31</v>
      </c>
      <c r="AC16" s="26">
        <v>39111</v>
      </c>
    </row>
    <row r="17" spans="1:30" x14ac:dyDescent="0.2">
      <c r="A17" s="25" t="s">
        <v>27</v>
      </c>
      <c r="B17" s="40">
        <v>0</v>
      </c>
      <c r="C17" s="14"/>
      <c r="D17" s="25" t="s">
        <v>32</v>
      </c>
      <c r="E17" s="26">
        <v>10000</v>
      </c>
      <c r="G17" s="25" t="s">
        <v>27</v>
      </c>
      <c r="H17" s="40">
        <v>0</v>
      </c>
      <c r="I17" s="14"/>
      <c r="J17" s="25" t="s">
        <v>32</v>
      </c>
      <c r="K17" s="26">
        <v>10000</v>
      </c>
      <c r="M17" s="25" t="s">
        <v>27</v>
      </c>
      <c r="N17" s="40">
        <v>0</v>
      </c>
      <c r="O17" s="14"/>
      <c r="P17" s="25" t="s">
        <v>32</v>
      </c>
      <c r="Q17" s="26">
        <v>10000</v>
      </c>
      <c r="S17" s="25" t="s">
        <v>27</v>
      </c>
      <c r="T17" s="40">
        <v>0</v>
      </c>
      <c r="U17" s="14"/>
      <c r="V17" s="25" t="s">
        <v>32</v>
      </c>
      <c r="W17" s="26">
        <v>10000</v>
      </c>
      <c r="Y17" s="25" t="s">
        <v>27</v>
      </c>
      <c r="Z17" s="40">
        <v>0</v>
      </c>
      <c r="AA17" s="14"/>
      <c r="AB17" s="25" t="s">
        <v>32</v>
      </c>
      <c r="AC17" s="26">
        <v>10000</v>
      </c>
    </row>
    <row r="18" spans="1:30" x14ac:dyDescent="0.2">
      <c r="A18" s="25" t="s">
        <v>88</v>
      </c>
      <c r="B18" s="40">
        <v>0</v>
      </c>
      <c r="D18" s="25" t="s">
        <v>33</v>
      </c>
      <c r="E18" s="26">
        <v>0</v>
      </c>
      <c r="F18" s="14" t="s">
        <v>15</v>
      </c>
      <c r="G18" s="25" t="s">
        <v>88</v>
      </c>
      <c r="H18" s="40">
        <v>0</v>
      </c>
      <c r="J18" s="25" t="s">
        <v>33</v>
      </c>
      <c r="K18" s="26">
        <v>0</v>
      </c>
      <c r="L18" s="14" t="s">
        <v>15</v>
      </c>
      <c r="M18" s="25" t="s">
        <v>88</v>
      </c>
      <c r="N18" s="40">
        <v>0</v>
      </c>
      <c r="P18" s="25" t="s">
        <v>33</v>
      </c>
      <c r="Q18" s="26">
        <v>0</v>
      </c>
      <c r="R18" s="14" t="s">
        <v>15</v>
      </c>
      <c r="S18" s="25" t="s">
        <v>88</v>
      </c>
      <c r="T18" s="40">
        <v>0</v>
      </c>
      <c r="V18" s="25" t="s">
        <v>33</v>
      </c>
      <c r="W18" s="26">
        <v>0</v>
      </c>
      <c r="X18" s="14" t="s">
        <v>15</v>
      </c>
      <c r="Y18" s="25" t="s">
        <v>88</v>
      </c>
      <c r="Z18" s="40">
        <v>0</v>
      </c>
      <c r="AB18" s="25" t="s">
        <v>33</v>
      </c>
      <c r="AC18" s="26">
        <v>0</v>
      </c>
      <c r="AD18" s="14" t="s">
        <v>15</v>
      </c>
    </row>
    <row r="19" spans="1:30" x14ac:dyDescent="0.2">
      <c r="A19" s="25" t="s">
        <v>67</v>
      </c>
      <c r="B19" s="40">
        <v>0</v>
      </c>
      <c r="C19" s="56"/>
      <c r="D19" s="25" t="s">
        <v>34</v>
      </c>
      <c r="E19" s="26">
        <v>31530</v>
      </c>
      <c r="G19" s="25" t="s">
        <v>67</v>
      </c>
      <c r="H19" s="40">
        <v>0</v>
      </c>
      <c r="I19" s="56"/>
      <c r="J19" s="25" t="s">
        <v>34</v>
      </c>
      <c r="K19" s="26">
        <v>31530</v>
      </c>
      <c r="M19" s="25" t="s">
        <v>67</v>
      </c>
      <c r="N19" s="40">
        <v>0</v>
      </c>
      <c r="O19" s="56"/>
      <c r="P19" s="25" t="s">
        <v>34</v>
      </c>
      <c r="Q19" s="26">
        <v>31530</v>
      </c>
      <c r="S19" s="25" t="s">
        <v>67</v>
      </c>
      <c r="T19" s="40">
        <v>0</v>
      </c>
      <c r="U19" s="56"/>
      <c r="V19" s="25" t="s">
        <v>34</v>
      </c>
      <c r="W19" s="26">
        <v>31530</v>
      </c>
      <c r="Y19" s="25" t="s">
        <v>67</v>
      </c>
      <c r="Z19" s="40">
        <v>0</v>
      </c>
      <c r="AA19" s="56"/>
      <c r="AB19" s="25" t="s">
        <v>34</v>
      </c>
      <c r="AC19" s="26">
        <v>31530</v>
      </c>
    </row>
    <row r="20" spans="1:30" x14ac:dyDescent="0.2">
      <c r="A20" s="25" t="s">
        <v>66</v>
      </c>
      <c r="B20" s="58">
        <v>0</v>
      </c>
      <c r="C20" s="14"/>
      <c r="D20" s="25" t="s">
        <v>38</v>
      </c>
      <c r="E20" s="26">
        <v>0</v>
      </c>
      <c r="G20" s="25" t="s">
        <v>66</v>
      </c>
      <c r="H20" s="58">
        <v>0</v>
      </c>
      <c r="I20" s="14"/>
      <c r="J20" s="25" t="s">
        <v>38</v>
      </c>
      <c r="K20" s="26">
        <v>0</v>
      </c>
      <c r="M20" s="25" t="s">
        <v>66</v>
      </c>
      <c r="N20" s="58">
        <v>0</v>
      </c>
      <c r="O20" s="14"/>
      <c r="P20" s="25" t="s">
        <v>38</v>
      </c>
      <c r="Q20" s="26">
        <v>0</v>
      </c>
      <c r="S20" s="25" t="s">
        <v>66</v>
      </c>
      <c r="T20" s="58">
        <v>0</v>
      </c>
      <c r="U20" s="14"/>
      <c r="V20" s="25" t="s">
        <v>38</v>
      </c>
      <c r="W20" s="26">
        <v>0</v>
      </c>
      <c r="Y20" s="25" t="s">
        <v>66</v>
      </c>
      <c r="Z20" s="58">
        <v>0</v>
      </c>
      <c r="AA20" s="14"/>
      <c r="AB20" s="25" t="s">
        <v>38</v>
      </c>
      <c r="AC20" s="26">
        <v>0</v>
      </c>
    </row>
    <row r="21" spans="1:30" x14ac:dyDescent="0.2">
      <c r="A21" s="25" t="s">
        <v>77</v>
      </c>
      <c r="B21" s="58">
        <v>0</v>
      </c>
      <c r="C21" s="14"/>
      <c r="D21" s="25" t="s">
        <v>48</v>
      </c>
      <c r="E21" s="26">
        <v>20000</v>
      </c>
      <c r="F21" s="25"/>
      <c r="G21" s="25" t="s">
        <v>77</v>
      </c>
      <c r="H21" s="58">
        <v>0</v>
      </c>
      <c r="I21" s="14"/>
      <c r="J21" s="25" t="s">
        <v>48</v>
      </c>
      <c r="K21" s="26">
        <v>20000</v>
      </c>
      <c r="L21" s="25"/>
      <c r="M21" s="25" t="s">
        <v>77</v>
      </c>
      <c r="N21" s="58">
        <v>0</v>
      </c>
      <c r="O21" s="14"/>
      <c r="P21" s="25" t="s">
        <v>48</v>
      </c>
      <c r="Q21" s="26">
        <v>20000</v>
      </c>
      <c r="R21" s="25"/>
      <c r="S21" s="25" t="s">
        <v>77</v>
      </c>
      <c r="T21" s="58">
        <v>0</v>
      </c>
      <c r="U21" s="14"/>
      <c r="V21" s="25" t="s">
        <v>48</v>
      </c>
      <c r="W21" s="26">
        <v>20000</v>
      </c>
      <c r="X21" s="25"/>
      <c r="Y21" s="25" t="s">
        <v>77</v>
      </c>
      <c r="Z21" s="58">
        <v>0</v>
      </c>
      <c r="AA21" s="14"/>
      <c r="AB21" s="25" t="s">
        <v>48</v>
      </c>
      <c r="AC21" s="26">
        <v>20000</v>
      </c>
      <c r="AD21" s="27"/>
    </row>
    <row r="22" spans="1:30" x14ac:dyDescent="0.2">
      <c r="A22" s="25" t="s">
        <v>42</v>
      </c>
      <c r="B22" s="40">
        <v>0</v>
      </c>
      <c r="D22" s="25" t="s">
        <v>27</v>
      </c>
      <c r="E22" s="26">
        <v>0</v>
      </c>
      <c r="F22" s="25"/>
      <c r="G22" s="25" t="s">
        <v>42</v>
      </c>
      <c r="H22" s="40">
        <v>0</v>
      </c>
      <c r="J22" s="25" t="s">
        <v>27</v>
      </c>
      <c r="K22" s="26">
        <v>0</v>
      </c>
      <c r="L22" s="25"/>
      <c r="M22" s="25" t="s">
        <v>42</v>
      </c>
      <c r="N22" s="40">
        <v>0</v>
      </c>
      <c r="P22" s="25" t="s">
        <v>27</v>
      </c>
      <c r="Q22" s="26">
        <v>0</v>
      </c>
      <c r="R22" s="25"/>
      <c r="S22" s="25" t="s">
        <v>42</v>
      </c>
      <c r="T22" s="40">
        <v>0</v>
      </c>
      <c r="V22" s="25" t="s">
        <v>27</v>
      </c>
      <c r="W22" s="26">
        <v>0</v>
      </c>
      <c r="X22" s="25"/>
      <c r="Y22" s="25" t="s">
        <v>42</v>
      </c>
      <c r="Z22" s="40">
        <v>0</v>
      </c>
      <c r="AB22" s="25" t="s">
        <v>27</v>
      </c>
      <c r="AC22" s="26">
        <v>0</v>
      </c>
      <c r="AD22" s="27"/>
    </row>
    <row r="23" spans="1:30" x14ac:dyDescent="0.2">
      <c r="A23" s="25" t="s">
        <v>43</v>
      </c>
      <c r="B23" s="40">
        <v>0</v>
      </c>
      <c r="C23" s="14"/>
      <c r="D23" s="25" t="s">
        <v>68</v>
      </c>
      <c r="E23" s="40">
        <v>7000</v>
      </c>
      <c r="F23" s="14">
        <v>0</v>
      </c>
      <c r="G23" s="25" t="s">
        <v>43</v>
      </c>
      <c r="H23" s="40">
        <v>0</v>
      </c>
      <c r="I23" s="14"/>
      <c r="J23" s="25" t="s">
        <v>68</v>
      </c>
      <c r="K23" s="40">
        <v>7000</v>
      </c>
      <c r="L23" s="14">
        <v>0</v>
      </c>
      <c r="M23" s="25" t="s">
        <v>43</v>
      </c>
      <c r="N23" s="40">
        <v>0</v>
      </c>
      <c r="O23" s="14"/>
      <c r="P23" s="25" t="s">
        <v>68</v>
      </c>
      <c r="Q23" s="40">
        <v>7000</v>
      </c>
      <c r="R23" s="14">
        <v>0</v>
      </c>
      <c r="S23" s="25" t="s">
        <v>43</v>
      </c>
      <c r="T23" s="40">
        <v>0</v>
      </c>
      <c r="U23" s="14"/>
      <c r="V23" s="25" t="s">
        <v>68</v>
      </c>
      <c r="W23" s="40">
        <v>7000</v>
      </c>
      <c r="X23" s="14">
        <v>0</v>
      </c>
      <c r="Y23" s="25" t="s">
        <v>43</v>
      </c>
      <c r="Z23" s="40">
        <v>0</v>
      </c>
      <c r="AA23" s="14"/>
      <c r="AB23" s="25" t="s">
        <v>68</v>
      </c>
      <c r="AC23" s="40">
        <v>7000</v>
      </c>
      <c r="AD23" s="14">
        <v>0</v>
      </c>
    </row>
    <row r="24" spans="1:30" x14ac:dyDescent="0.2">
      <c r="A24" s="25" t="s">
        <v>29</v>
      </c>
      <c r="B24" s="40">
        <v>0</v>
      </c>
      <c r="C24" s="14">
        <v>0</v>
      </c>
      <c r="D24" s="25" t="s">
        <v>86</v>
      </c>
      <c r="E24" s="40">
        <v>7000</v>
      </c>
      <c r="F24" s="14">
        <v>0</v>
      </c>
      <c r="G24" s="25" t="s">
        <v>29</v>
      </c>
      <c r="H24" s="40">
        <v>0</v>
      </c>
      <c r="I24" s="14">
        <v>0</v>
      </c>
      <c r="J24" s="25" t="s">
        <v>86</v>
      </c>
      <c r="K24" s="40">
        <v>7000</v>
      </c>
      <c r="L24" s="14">
        <v>0</v>
      </c>
      <c r="M24" s="25" t="s">
        <v>29</v>
      </c>
      <c r="N24" s="40">
        <v>0</v>
      </c>
      <c r="O24" s="14">
        <v>0</v>
      </c>
      <c r="P24" s="25" t="s">
        <v>86</v>
      </c>
      <c r="Q24" s="40">
        <v>7000</v>
      </c>
      <c r="R24" s="14">
        <v>0</v>
      </c>
      <c r="S24" s="25" t="s">
        <v>29</v>
      </c>
      <c r="T24" s="40">
        <v>0</v>
      </c>
      <c r="U24" s="14">
        <v>0</v>
      </c>
      <c r="V24" s="25" t="s">
        <v>86</v>
      </c>
      <c r="W24" s="40">
        <v>7000</v>
      </c>
      <c r="X24" s="14">
        <v>0</v>
      </c>
      <c r="Y24" s="25" t="s">
        <v>29</v>
      </c>
      <c r="Z24" s="40">
        <v>0</v>
      </c>
      <c r="AA24" s="14">
        <v>0</v>
      </c>
      <c r="AB24" s="25" t="s">
        <v>86</v>
      </c>
      <c r="AC24" s="40">
        <v>7000</v>
      </c>
      <c r="AD24" s="14">
        <v>0</v>
      </c>
    </row>
    <row r="25" spans="1:30" x14ac:dyDescent="0.2">
      <c r="A25" s="25" t="s">
        <v>73</v>
      </c>
      <c r="B25" s="40">
        <v>0</v>
      </c>
      <c r="C25" s="14"/>
      <c r="D25" s="25" t="s">
        <v>85</v>
      </c>
      <c r="E25" s="40">
        <v>10000</v>
      </c>
      <c r="G25" s="25" t="s">
        <v>73</v>
      </c>
      <c r="H25" s="40">
        <v>0</v>
      </c>
      <c r="I25" s="14"/>
      <c r="J25" s="25" t="s">
        <v>85</v>
      </c>
      <c r="K25" s="40">
        <v>10000</v>
      </c>
      <c r="M25" s="25" t="s">
        <v>73</v>
      </c>
      <c r="N25" s="40">
        <v>0</v>
      </c>
      <c r="O25" s="14"/>
      <c r="P25" s="25" t="s">
        <v>85</v>
      </c>
      <c r="Q25" s="40">
        <v>10000</v>
      </c>
      <c r="S25" s="25" t="s">
        <v>73</v>
      </c>
      <c r="T25" s="40">
        <v>0</v>
      </c>
      <c r="U25" s="14"/>
      <c r="V25" s="25" t="s">
        <v>85</v>
      </c>
      <c r="W25" s="40">
        <v>10000</v>
      </c>
      <c r="Y25" s="25" t="s">
        <v>73</v>
      </c>
      <c r="Z25" s="40">
        <v>0</v>
      </c>
      <c r="AA25" s="14"/>
      <c r="AB25" s="25" t="s">
        <v>85</v>
      </c>
      <c r="AC25" s="40">
        <v>10000</v>
      </c>
    </row>
    <row r="26" spans="1:30" x14ac:dyDescent="0.2">
      <c r="A26" s="25" t="s">
        <v>30</v>
      </c>
      <c r="B26" s="40">
        <v>-1600</v>
      </c>
      <c r="D26" s="25" t="s">
        <v>69</v>
      </c>
      <c r="E26" s="40">
        <v>0</v>
      </c>
      <c r="G26" s="25" t="s">
        <v>30</v>
      </c>
      <c r="H26" s="40">
        <v>-1600</v>
      </c>
      <c r="J26" s="25" t="s">
        <v>69</v>
      </c>
      <c r="K26" s="40">
        <v>0</v>
      </c>
      <c r="M26" s="25" t="s">
        <v>30</v>
      </c>
      <c r="N26" s="40">
        <v>-1600</v>
      </c>
      <c r="P26" s="25" t="s">
        <v>69</v>
      </c>
      <c r="Q26" s="40">
        <v>0</v>
      </c>
      <c r="S26" s="25" t="s">
        <v>30</v>
      </c>
      <c r="T26" s="40">
        <v>-2400</v>
      </c>
      <c r="V26" s="25" t="s">
        <v>69</v>
      </c>
      <c r="W26" s="40">
        <v>0</v>
      </c>
      <c r="Y26" s="25" t="s">
        <v>30</v>
      </c>
      <c r="Z26" s="40">
        <v>-1600</v>
      </c>
      <c r="AB26" s="25" t="s">
        <v>69</v>
      </c>
      <c r="AC26" s="40">
        <v>0</v>
      </c>
    </row>
    <row r="27" spans="1:30" x14ac:dyDescent="0.2">
      <c r="A27" s="25" t="s">
        <v>76</v>
      </c>
      <c r="B27" s="40">
        <v>-10000</v>
      </c>
      <c r="C27" s="14"/>
      <c r="D27" s="25" t="s">
        <v>78</v>
      </c>
      <c r="E27" s="58">
        <v>0</v>
      </c>
      <c r="G27" s="25" t="s">
        <v>76</v>
      </c>
      <c r="H27" s="40">
        <v>-10000</v>
      </c>
      <c r="I27" s="14"/>
      <c r="J27" s="25" t="s">
        <v>78</v>
      </c>
      <c r="K27" s="58">
        <v>0</v>
      </c>
      <c r="M27" s="25" t="s">
        <v>76</v>
      </c>
      <c r="N27" s="40">
        <v>-10000</v>
      </c>
      <c r="O27" s="14"/>
      <c r="P27" s="25" t="s">
        <v>78</v>
      </c>
      <c r="Q27" s="58">
        <v>0</v>
      </c>
      <c r="S27" s="25" t="s">
        <v>76</v>
      </c>
      <c r="T27" s="40">
        <v>-10000</v>
      </c>
      <c r="U27" s="14"/>
      <c r="V27" s="25" t="s">
        <v>78</v>
      </c>
      <c r="W27" s="58">
        <v>0</v>
      </c>
      <c r="Y27" s="25" t="s">
        <v>76</v>
      </c>
      <c r="Z27" s="40">
        <v>-10000</v>
      </c>
      <c r="AA27" s="14"/>
      <c r="AB27" s="25" t="s">
        <v>78</v>
      </c>
      <c r="AC27" s="58">
        <v>0</v>
      </c>
    </row>
    <row r="28" spans="1:30" ht="13.5" thickBot="1" x14ac:dyDescent="0.25">
      <c r="A28" s="25" t="s">
        <v>51</v>
      </c>
      <c r="B28" s="26">
        <v>0</v>
      </c>
      <c r="C28" s="57">
        <f>SUM(B29,B63)</f>
        <v>0</v>
      </c>
      <c r="D28" s="25" t="s">
        <v>35</v>
      </c>
      <c r="E28" s="26">
        <v>0</v>
      </c>
      <c r="G28" s="25" t="s">
        <v>51</v>
      </c>
      <c r="H28" s="26">
        <v>0</v>
      </c>
      <c r="I28" s="57">
        <f>SUM(H29,H63)</f>
        <v>-93302</v>
      </c>
      <c r="J28" s="25" t="s">
        <v>35</v>
      </c>
      <c r="K28" s="26">
        <v>0</v>
      </c>
      <c r="M28" s="25" t="s">
        <v>51</v>
      </c>
      <c r="N28" s="26">
        <v>0</v>
      </c>
      <c r="O28" s="57">
        <f>SUM(N29,N63)</f>
        <v>0</v>
      </c>
      <c r="P28" s="25" t="s">
        <v>35</v>
      </c>
      <c r="Q28" s="26">
        <v>0</v>
      </c>
      <c r="S28" s="25" t="s">
        <v>51</v>
      </c>
      <c r="T28" s="26">
        <v>0</v>
      </c>
      <c r="U28" s="57">
        <f>SUM(T29,T63)</f>
        <v>0</v>
      </c>
      <c r="V28" s="60" t="s">
        <v>35</v>
      </c>
      <c r="W28" s="59">
        <v>15359</v>
      </c>
      <c r="Y28" s="60" t="s">
        <v>51</v>
      </c>
      <c r="Z28" s="59">
        <v>-16349</v>
      </c>
      <c r="AA28" s="57">
        <f>SUM(Z29,Z63)</f>
        <v>0</v>
      </c>
      <c r="AB28" s="25" t="s">
        <v>35</v>
      </c>
      <c r="AC28" s="26">
        <v>0</v>
      </c>
    </row>
    <row r="29" spans="1:30" ht="13.5" thickBot="1" x14ac:dyDescent="0.25">
      <c r="A29" s="33" t="s">
        <v>28</v>
      </c>
      <c r="B29" s="34">
        <f>SUM(B6:B28)+B12</f>
        <v>-805932</v>
      </c>
      <c r="C29" s="14"/>
      <c r="D29" s="33" t="s">
        <v>36</v>
      </c>
      <c r="E29" s="34">
        <f>SUM(E16:E28)</f>
        <v>124641</v>
      </c>
      <c r="G29" s="33" t="s">
        <v>28</v>
      </c>
      <c r="H29" s="34">
        <f>SUM(H6:H28)+H12</f>
        <v>-805932</v>
      </c>
      <c r="I29" s="14"/>
      <c r="J29" s="33" t="s">
        <v>36</v>
      </c>
      <c r="K29" s="34">
        <f>SUM(K16:K28)</f>
        <v>124641</v>
      </c>
      <c r="M29" s="33" t="s">
        <v>28</v>
      </c>
      <c r="N29" s="34">
        <f>SUM(N6:N28)+N12</f>
        <v>-820932</v>
      </c>
      <c r="O29" s="14"/>
      <c r="P29" s="33" t="s">
        <v>36</v>
      </c>
      <c r="Q29" s="34">
        <f>SUM(Q16:Q28)</f>
        <v>124641</v>
      </c>
      <c r="S29" s="33" t="s">
        <v>28</v>
      </c>
      <c r="T29" s="34">
        <f>SUM(T6:T28)+T12</f>
        <v>-906732</v>
      </c>
      <c r="U29" s="14"/>
      <c r="V29" s="33" t="s">
        <v>36</v>
      </c>
      <c r="W29" s="34">
        <f>SUM(W16:W28)</f>
        <v>140000</v>
      </c>
      <c r="Y29" s="33" t="s">
        <v>28</v>
      </c>
      <c r="Z29" s="34">
        <f>SUM(Z6:Z28)+Z12</f>
        <v>-759281</v>
      </c>
      <c r="AA29" s="14"/>
      <c r="AB29" s="33" t="s">
        <v>36</v>
      </c>
      <c r="AC29" s="34">
        <f>SUM(AC16:AC28)</f>
        <v>124641</v>
      </c>
    </row>
    <row r="30" spans="1:30" ht="13.5" thickBot="1" x14ac:dyDescent="0.25">
      <c r="A30" s="25"/>
      <c r="B30" s="40"/>
      <c r="C30" s="14"/>
      <c r="D30" s="30"/>
      <c r="E30" s="35"/>
      <c r="F30" s="14"/>
      <c r="G30" s="25"/>
      <c r="H30" s="40"/>
      <c r="I30" s="14"/>
      <c r="J30" s="30"/>
      <c r="K30" s="35"/>
      <c r="L30" s="14"/>
      <c r="M30" s="25"/>
      <c r="N30" s="40"/>
      <c r="O30" s="14"/>
      <c r="P30" s="30"/>
      <c r="Q30" s="35"/>
      <c r="R30" s="14"/>
      <c r="S30" s="25"/>
      <c r="T30" s="40"/>
      <c r="U30" s="14"/>
      <c r="V30" s="30"/>
      <c r="W30" s="35"/>
      <c r="X30" s="14"/>
      <c r="Y30" s="25"/>
      <c r="Z30" s="40"/>
      <c r="AA30" s="14"/>
      <c r="AB30" s="30"/>
      <c r="AC30" s="35"/>
      <c r="AD30" s="14"/>
    </row>
    <row r="31" spans="1:30" x14ac:dyDescent="0.2">
      <c r="A31" s="25" t="s">
        <v>31</v>
      </c>
      <c r="B31" s="40">
        <v>187134</v>
      </c>
      <c r="C31" s="14"/>
      <c r="E31" s="12"/>
      <c r="G31" s="25" t="s">
        <v>31</v>
      </c>
      <c r="H31" s="40">
        <v>187134</v>
      </c>
      <c r="I31" s="14"/>
      <c r="K31" s="12"/>
      <c r="M31" s="25" t="s">
        <v>31</v>
      </c>
      <c r="N31" s="40">
        <v>187134</v>
      </c>
      <c r="O31" s="14"/>
      <c r="S31" s="25" t="s">
        <v>31</v>
      </c>
      <c r="T31" s="40">
        <v>187134</v>
      </c>
      <c r="U31" s="14"/>
      <c r="Y31" s="25" t="s">
        <v>31</v>
      </c>
      <c r="Z31" s="40">
        <v>187134</v>
      </c>
      <c r="AA31" s="14"/>
    </row>
    <row r="32" spans="1:30" x14ac:dyDescent="0.2">
      <c r="A32" s="25" t="s">
        <v>32</v>
      </c>
      <c r="B32" s="40">
        <v>125000</v>
      </c>
      <c r="C32" s="14"/>
      <c r="E32" s="12"/>
      <c r="G32" s="25" t="s">
        <v>32</v>
      </c>
      <c r="H32" s="40">
        <v>125000</v>
      </c>
      <c r="I32" s="14"/>
      <c r="K32" s="12"/>
      <c r="M32" s="25" t="s">
        <v>32</v>
      </c>
      <c r="N32" s="40">
        <v>125000</v>
      </c>
      <c r="O32" s="14"/>
      <c r="S32" s="25" t="s">
        <v>32</v>
      </c>
      <c r="T32" s="40">
        <v>125000</v>
      </c>
      <c r="U32" s="14"/>
      <c r="Y32" s="25" t="s">
        <v>32</v>
      </c>
      <c r="Z32" s="40">
        <v>125000</v>
      </c>
      <c r="AA32" s="14"/>
    </row>
    <row r="33" spans="1:27" x14ac:dyDescent="0.2">
      <c r="A33" s="25" t="s">
        <v>33</v>
      </c>
      <c r="B33" s="40">
        <v>0</v>
      </c>
      <c r="C33" s="14"/>
      <c r="D33" s="51"/>
      <c r="G33" s="25" t="s">
        <v>33</v>
      </c>
      <c r="H33" s="40">
        <v>0</v>
      </c>
      <c r="I33" s="14"/>
      <c r="J33" s="51"/>
      <c r="M33" s="25" t="s">
        <v>33</v>
      </c>
      <c r="N33" s="40">
        <v>0</v>
      </c>
      <c r="O33" s="14"/>
      <c r="S33" s="25" t="s">
        <v>33</v>
      </c>
      <c r="T33" s="40">
        <v>0</v>
      </c>
      <c r="U33" s="14"/>
      <c r="Y33" s="25" t="s">
        <v>33</v>
      </c>
      <c r="Z33" s="40">
        <v>0</v>
      </c>
      <c r="AA33" s="14"/>
    </row>
    <row r="34" spans="1:27" x14ac:dyDescent="0.2">
      <c r="A34" s="25" t="s">
        <v>34</v>
      </c>
      <c r="B34" s="40">
        <v>264598</v>
      </c>
      <c r="C34" s="14"/>
      <c r="G34" s="25" t="s">
        <v>34</v>
      </c>
      <c r="H34" s="40">
        <v>264598</v>
      </c>
      <c r="I34" s="14"/>
      <c r="M34" s="25" t="s">
        <v>34</v>
      </c>
      <c r="N34" s="40">
        <v>264598</v>
      </c>
      <c r="O34" s="14"/>
      <c r="S34" s="25" t="s">
        <v>34</v>
      </c>
      <c r="T34" s="40">
        <v>264598</v>
      </c>
      <c r="U34" s="14"/>
      <c r="Y34" s="25" t="s">
        <v>34</v>
      </c>
      <c r="Z34" s="40">
        <v>264598</v>
      </c>
      <c r="AA34" s="14"/>
    </row>
    <row r="35" spans="1:27" x14ac:dyDescent="0.2">
      <c r="A35" s="25" t="s">
        <v>81</v>
      </c>
      <c r="B35" s="58">
        <v>0</v>
      </c>
      <c r="C35" s="12"/>
      <c r="G35" s="25" t="s">
        <v>81</v>
      </c>
      <c r="H35" s="58">
        <v>0</v>
      </c>
      <c r="I35" s="12"/>
      <c r="M35" s="25" t="s">
        <v>81</v>
      </c>
      <c r="N35" s="58">
        <v>0</v>
      </c>
      <c r="O35" s="12"/>
      <c r="S35" s="25" t="s">
        <v>81</v>
      </c>
      <c r="T35" s="58">
        <v>0</v>
      </c>
      <c r="U35" s="12"/>
      <c r="Y35" s="25" t="s">
        <v>81</v>
      </c>
      <c r="Z35" s="58">
        <v>0</v>
      </c>
      <c r="AA35" s="12"/>
    </row>
    <row r="36" spans="1:27" x14ac:dyDescent="0.2">
      <c r="A36" s="25" t="s">
        <v>82</v>
      </c>
      <c r="B36" s="58">
        <v>0</v>
      </c>
      <c r="C36" s="12"/>
      <c r="G36" s="25" t="s">
        <v>82</v>
      </c>
      <c r="H36" s="58">
        <v>0</v>
      </c>
      <c r="I36" s="12"/>
      <c r="M36" s="25" t="s">
        <v>82</v>
      </c>
      <c r="N36" s="58">
        <v>0</v>
      </c>
      <c r="O36" s="12"/>
      <c r="S36" s="25" t="s">
        <v>82</v>
      </c>
      <c r="T36" s="58">
        <v>0</v>
      </c>
      <c r="U36" s="12"/>
      <c r="Y36" s="25" t="s">
        <v>82</v>
      </c>
      <c r="Z36" s="58">
        <v>0</v>
      </c>
      <c r="AA36" s="12"/>
    </row>
    <row r="37" spans="1:27" x14ac:dyDescent="0.2">
      <c r="A37" s="25" t="s">
        <v>60</v>
      </c>
      <c r="B37" s="40">
        <v>0</v>
      </c>
      <c r="C37" s="1"/>
      <c r="D37" s="50"/>
      <c r="G37" s="25" t="s">
        <v>60</v>
      </c>
      <c r="H37" s="40">
        <v>0</v>
      </c>
      <c r="I37" s="1"/>
      <c r="J37" s="50"/>
      <c r="M37" s="25" t="s">
        <v>60</v>
      </c>
      <c r="N37" s="40">
        <v>0</v>
      </c>
      <c r="O37" s="1"/>
      <c r="S37" s="25" t="s">
        <v>60</v>
      </c>
      <c r="T37" s="40">
        <v>0</v>
      </c>
      <c r="U37" s="1"/>
      <c r="Y37" s="25" t="s">
        <v>60</v>
      </c>
      <c r="Z37" s="40">
        <v>0</v>
      </c>
      <c r="AA37" s="1"/>
    </row>
    <row r="38" spans="1:27" x14ac:dyDescent="0.2">
      <c r="A38" s="25" t="s">
        <v>53</v>
      </c>
      <c r="B38" s="40">
        <v>0</v>
      </c>
      <c r="C38" s="61"/>
      <c r="D38" s="49"/>
      <c r="E38" s="14"/>
      <c r="G38" s="25" t="s">
        <v>53</v>
      </c>
      <c r="H38" s="40">
        <v>0</v>
      </c>
      <c r="I38" s="61"/>
      <c r="J38" s="49"/>
      <c r="K38" s="14"/>
      <c r="M38" s="25" t="s">
        <v>53</v>
      </c>
      <c r="N38" s="40">
        <v>0</v>
      </c>
      <c r="O38" s="61"/>
      <c r="S38" s="25" t="s">
        <v>53</v>
      </c>
      <c r="T38" s="40">
        <v>0</v>
      </c>
      <c r="U38" s="61"/>
      <c r="Y38" s="25" t="s">
        <v>53</v>
      </c>
      <c r="Z38" s="40">
        <v>0</v>
      </c>
      <c r="AA38" s="61"/>
    </row>
    <row r="39" spans="1:27" x14ac:dyDescent="0.2">
      <c r="A39" s="25" t="s">
        <v>72</v>
      </c>
      <c r="B39" s="40">
        <v>0</v>
      </c>
      <c r="C39" s="1"/>
      <c r="G39" s="25" t="s">
        <v>72</v>
      </c>
      <c r="H39" s="40">
        <v>0</v>
      </c>
      <c r="I39" s="1"/>
      <c r="M39" s="25" t="s">
        <v>72</v>
      </c>
      <c r="N39" s="40">
        <v>0</v>
      </c>
      <c r="O39" s="1"/>
      <c r="S39" s="25" t="s">
        <v>72</v>
      </c>
      <c r="T39" s="40">
        <v>0</v>
      </c>
      <c r="U39" s="1"/>
      <c r="Y39" s="25" t="s">
        <v>72</v>
      </c>
      <c r="Z39" s="40">
        <v>0</v>
      </c>
      <c r="AA39" s="1"/>
    </row>
    <row r="40" spans="1:27" x14ac:dyDescent="0.2">
      <c r="A40" s="25" t="s">
        <v>74</v>
      </c>
      <c r="B40" s="40">
        <v>0</v>
      </c>
      <c r="G40" s="25" t="s">
        <v>74</v>
      </c>
      <c r="H40" s="40">
        <v>0</v>
      </c>
      <c r="M40" s="25" t="s">
        <v>74</v>
      </c>
      <c r="N40" s="40">
        <v>0</v>
      </c>
      <c r="S40" s="25" t="s">
        <v>74</v>
      </c>
      <c r="T40" s="40">
        <v>0</v>
      </c>
      <c r="Y40" s="25" t="s">
        <v>74</v>
      </c>
      <c r="Z40" s="40">
        <v>0</v>
      </c>
    </row>
    <row r="41" spans="1:27" x14ac:dyDescent="0.2">
      <c r="A41" s="25" t="s">
        <v>79</v>
      </c>
      <c r="B41" s="40">
        <v>7383</v>
      </c>
      <c r="C41" s="14"/>
      <c r="G41" s="25" t="s">
        <v>79</v>
      </c>
      <c r="H41" s="40">
        <v>7383</v>
      </c>
      <c r="I41" s="14"/>
      <c r="M41" s="25" t="s">
        <v>79</v>
      </c>
      <c r="N41" s="40">
        <v>7383</v>
      </c>
      <c r="O41" s="14"/>
      <c r="S41" s="25" t="s">
        <v>79</v>
      </c>
      <c r="T41" s="40">
        <v>7383</v>
      </c>
      <c r="U41" s="14"/>
      <c r="Y41" s="25" t="s">
        <v>79</v>
      </c>
      <c r="Z41" s="40">
        <v>7383</v>
      </c>
      <c r="AA41" s="14"/>
    </row>
    <row r="42" spans="1:27" x14ac:dyDescent="0.2">
      <c r="A42" s="25" t="s">
        <v>16</v>
      </c>
      <c r="B42" s="40">
        <v>0</v>
      </c>
      <c r="G42" s="25" t="s">
        <v>16</v>
      </c>
      <c r="H42" s="40">
        <v>0</v>
      </c>
      <c r="M42" s="25" t="s">
        <v>16</v>
      </c>
      <c r="N42" s="40">
        <v>0</v>
      </c>
      <c r="S42" s="25" t="s">
        <v>16</v>
      </c>
      <c r="T42" s="40">
        <v>0</v>
      </c>
      <c r="Y42" s="25" t="s">
        <v>16</v>
      </c>
      <c r="Z42" s="40">
        <v>0</v>
      </c>
    </row>
    <row r="43" spans="1:27" x14ac:dyDescent="0.2">
      <c r="A43" s="25" t="s">
        <v>55</v>
      </c>
      <c r="B43" s="40">
        <v>0</v>
      </c>
      <c r="E43" s="12"/>
      <c r="G43" s="25" t="s">
        <v>55</v>
      </c>
      <c r="H43" s="40">
        <v>0</v>
      </c>
      <c r="K43" s="12"/>
      <c r="M43" s="25" t="s">
        <v>55</v>
      </c>
      <c r="N43" s="40">
        <v>0</v>
      </c>
      <c r="S43" s="25" t="s">
        <v>55</v>
      </c>
      <c r="T43" s="40">
        <v>0</v>
      </c>
      <c r="Y43" s="25" t="s">
        <v>55</v>
      </c>
      <c r="Z43" s="40">
        <v>0</v>
      </c>
    </row>
    <row r="44" spans="1:27" x14ac:dyDescent="0.2">
      <c r="A44" s="25" t="s">
        <v>21</v>
      </c>
      <c r="B44" s="47"/>
      <c r="C44" s="14"/>
      <c r="E44" s="12"/>
      <c r="G44" s="25" t="s">
        <v>21</v>
      </c>
      <c r="H44" s="47"/>
      <c r="I44" s="14"/>
      <c r="K44" s="12"/>
      <c r="M44" s="25" t="s">
        <v>21</v>
      </c>
      <c r="N44" s="47"/>
      <c r="O44" s="14"/>
      <c r="S44" s="25" t="s">
        <v>21</v>
      </c>
      <c r="T44" s="47"/>
      <c r="U44" s="14"/>
      <c r="Y44" s="25" t="s">
        <v>21</v>
      </c>
      <c r="Z44" s="47"/>
      <c r="AA44" s="14"/>
    </row>
    <row r="45" spans="1:27" x14ac:dyDescent="0.2">
      <c r="A45" s="25" t="s">
        <v>50</v>
      </c>
      <c r="B45" s="40">
        <v>0</v>
      </c>
      <c r="E45" s="12"/>
      <c r="G45" s="25" t="s">
        <v>50</v>
      </c>
      <c r="H45" s="40">
        <v>0</v>
      </c>
      <c r="K45" s="12"/>
      <c r="M45" s="25" t="s">
        <v>50</v>
      </c>
      <c r="N45" s="40">
        <v>0</v>
      </c>
      <c r="S45" s="25" t="s">
        <v>50</v>
      </c>
      <c r="T45" s="40">
        <v>0</v>
      </c>
      <c r="Y45" s="25" t="s">
        <v>50</v>
      </c>
      <c r="Z45" s="40">
        <v>0</v>
      </c>
    </row>
    <row r="46" spans="1:27" x14ac:dyDescent="0.2">
      <c r="A46" s="25" t="s">
        <v>70</v>
      </c>
      <c r="B46" s="40">
        <v>20666</v>
      </c>
      <c r="C46" s="14"/>
      <c r="E46" s="12"/>
      <c r="G46" s="25" t="s">
        <v>70</v>
      </c>
      <c r="H46" s="40">
        <v>20666</v>
      </c>
      <c r="I46" s="14"/>
      <c r="K46" s="12"/>
      <c r="M46" s="25" t="s">
        <v>70</v>
      </c>
      <c r="N46" s="40">
        <v>20666</v>
      </c>
      <c r="O46" s="14"/>
      <c r="S46" s="25" t="s">
        <v>70</v>
      </c>
      <c r="T46" s="40">
        <v>20666</v>
      </c>
      <c r="U46" s="14"/>
      <c r="Y46" s="25" t="s">
        <v>70</v>
      </c>
      <c r="Z46" s="40">
        <v>20666</v>
      </c>
      <c r="AA46" s="14"/>
    </row>
    <row r="47" spans="1:27" x14ac:dyDescent="0.2">
      <c r="A47" s="25" t="s">
        <v>37</v>
      </c>
      <c r="B47" s="40">
        <v>18000</v>
      </c>
      <c r="G47" s="25" t="s">
        <v>37</v>
      </c>
      <c r="H47" s="40">
        <v>18000</v>
      </c>
      <c r="M47" s="25" t="s">
        <v>37</v>
      </c>
      <c r="N47" s="40">
        <v>18000</v>
      </c>
      <c r="S47" s="25" t="s">
        <v>37</v>
      </c>
      <c r="T47" s="40">
        <v>18000</v>
      </c>
      <c r="Y47" s="25" t="s">
        <v>37</v>
      </c>
      <c r="Z47" s="40">
        <v>18000</v>
      </c>
    </row>
    <row r="48" spans="1:27" x14ac:dyDescent="0.2">
      <c r="A48" s="25" t="s">
        <v>87</v>
      </c>
      <c r="B48" s="40">
        <v>0</v>
      </c>
      <c r="E48" s="12"/>
      <c r="G48" s="25" t="s">
        <v>87</v>
      </c>
      <c r="H48" s="40">
        <v>0</v>
      </c>
      <c r="K48" s="12"/>
      <c r="M48" s="25" t="s">
        <v>87</v>
      </c>
      <c r="N48" s="40">
        <v>0</v>
      </c>
      <c r="S48" s="25" t="s">
        <v>87</v>
      </c>
      <c r="T48" s="40">
        <v>0</v>
      </c>
      <c r="Y48" s="25" t="s">
        <v>87</v>
      </c>
      <c r="Z48" s="40">
        <v>0</v>
      </c>
    </row>
    <row r="49" spans="1:27" x14ac:dyDescent="0.2">
      <c r="A49" s="25" t="s">
        <v>38</v>
      </c>
      <c r="B49" s="40"/>
      <c r="C49" s="14" t="s">
        <v>15</v>
      </c>
      <c r="E49" s="12"/>
      <c r="G49" s="25" t="s">
        <v>38</v>
      </c>
      <c r="H49" s="40"/>
      <c r="I49" s="14" t="s">
        <v>15</v>
      </c>
      <c r="K49" s="12"/>
      <c r="M49" s="25" t="s">
        <v>38</v>
      </c>
      <c r="N49" s="40"/>
      <c r="O49" s="14" t="s">
        <v>15</v>
      </c>
      <c r="S49" s="25" t="s">
        <v>38</v>
      </c>
      <c r="T49" s="40"/>
      <c r="U49" s="14" t="s">
        <v>15</v>
      </c>
      <c r="Y49" s="25" t="s">
        <v>38</v>
      </c>
      <c r="Z49" s="40"/>
      <c r="AA49" s="14" t="s">
        <v>15</v>
      </c>
    </row>
    <row r="50" spans="1:27" x14ac:dyDescent="0.2">
      <c r="A50" s="25" t="s">
        <v>48</v>
      </c>
      <c r="B50" s="40">
        <v>35000</v>
      </c>
      <c r="E50" s="12"/>
      <c r="G50" s="25" t="s">
        <v>48</v>
      </c>
      <c r="H50" s="40">
        <v>35000</v>
      </c>
      <c r="K50" s="12"/>
      <c r="M50" s="25" t="s">
        <v>48</v>
      </c>
      <c r="N50" s="40">
        <v>35000</v>
      </c>
      <c r="S50" s="25" t="s">
        <v>48</v>
      </c>
      <c r="T50" s="40">
        <v>35000</v>
      </c>
      <c r="Y50" s="25" t="s">
        <v>48</v>
      </c>
      <c r="Z50" s="40">
        <v>35000</v>
      </c>
    </row>
    <row r="51" spans="1:27" x14ac:dyDescent="0.2">
      <c r="A51" s="25" t="s">
        <v>27</v>
      </c>
      <c r="B51" s="40">
        <v>0</v>
      </c>
      <c r="E51" s="12"/>
      <c r="G51" s="25" t="s">
        <v>27</v>
      </c>
      <c r="H51" s="40">
        <v>0</v>
      </c>
      <c r="K51" s="12"/>
      <c r="M51" s="25" t="s">
        <v>27</v>
      </c>
      <c r="N51" s="40">
        <v>0</v>
      </c>
      <c r="S51" s="25" t="s">
        <v>27</v>
      </c>
      <c r="T51" s="40">
        <v>0</v>
      </c>
      <c r="Y51" s="25" t="s">
        <v>27</v>
      </c>
      <c r="Z51" s="40">
        <v>0</v>
      </c>
    </row>
    <row r="52" spans="1:27" x14ac:dyDescent="0.2">
      <c r="A52" s="25" t="s">
        <v>88</v>
      </c>
      <c r="B52" s="58">
        <v>0</v>
      </c>
      <c r="C52" s="14"/>
      <c r="E52" s="12"/>
      <c r="G52" s="25" t="s">
        <v>88</v>
      </c>
      <c r="H52" s="58">
        <v>0</v>
      </c>
      <c r="I52" s="14"/>
      <c r="K52" s="12"/>
      <c r="M52" s="25" t="s">
        <v>88</v>
      </c>
      <c r="N52" s="58">
        <v>0</v>
      </c>
      <c r="O52" s="14"/>
      <c r="S52" s="25" t="s">
        <v>88</v>
      </c>
      <c r="T52" s="58">
        <v>0</v>
      </c>
      <c r="U52" s="14"/>
      <c r="Y52" s="25" t="s">
        <v>88</v>
      </c>
      <c r="Z52" s="58">
        <v>0</v>
      </c>
      <c r="AA52" s="14"/>
    </row>
    <row r="53" spans="1:27" x14ac:dyDescent="0.2">
      <c r="A53" s="25" t="s">
        <v>41</v>
      </c>
      <c r="B53" s="40">
        <v>50000</v>
      </c>
      <c r="C53" s="61"/>
      <c r="E53" s="12"/>
      <c r="G53" s="25" t="s">
        <v>41</v>
      </c>
      <c r="H53" s="40">
        <v>50000</v>
      </c>
      <c r="I53" s="61"/>
      <c r="K53" s="12"/>
      <c r="M53" s="25" t="s">
        <v>41</v>
      </c>
      <c r="N53" s="40">
        <v>50000</v>
      </c>
      <c r="O53" s="61"/>
      <c r="S53" s="25" t="s">
        <v>41</v>
      </c>
      <c r="T53" s="40">
        <v>50000</v>
      </c>
      <c r="U53" s="61"/>
      <c r="Y53" s="25" t="s">
        <v>41</v>
      </c>
      <c r="Z53" s="40">
        <v>50000</v>
      </c>
      <c r="AA53" s="61"/>
    </row>
    <row r="54" spans="1:27" x14ac:dyDescent="0.2">
      <c r="A54" s="25" t="s">
        <v>39</v>
      </c>
      <c r="B54" s="40">
        <v>0</v>
      </c>
      <c r="C54" s="61"/>
      <c r="E54" s="12"/>
      <c r="G54" s="25" t="s">
        <v>39</v>
      </c>
      <c r="H54" s="40">
        <v>0</v>
      </c>
      <c r="I54" s="61"/>
      <c r="K54" s="12"/>
      <c r="M54" s="25" t="s">
        <v>39</v>
      </c>
      <c r="N54" s="40">
        <v>0</v>
      </c>
      <c r="O54" s="61"/>
      <c r="S54" s="25" t="s">
        <v>39</v>
      </c>
      <c r="T54" s="40">
        <v>0</v>
      </c>
      <c r="U54" s="61"/>
      <c r="Y54" s="25" t="s">
        <v>39</v>
      </c>
      <c r="Z54" s="40">
        <v>0</v>
      </c>
      <c r="AA54" s="61"/>
    </row>
    <row r="55" spans="1:27" x14ac:dyDescent="0.2">
      <c r="A55" s="25" t="s">
        <v>40</v>
      </c>
      <c r="B55" s="40">
        <v>0</v>
      </c>
      <c r="C55" s="14"/>
      <c r="E55" s="12"/>
      <c r="G55" s="25" t="s">
        <v>40</v>
      </c>
      <c r="H55" s="40">
        <v>0</v>
      </c>
      <c r="I55" s="14"/>
      <c r="K55" s="12"/>
      <c r="M55" s="25" t="s">
        <v>40</v>
      </c>
      <c r="N55" s="40">
        <v>0</v>
      </c>
      <c r="O55" s="14"/>
      <c r="S55" s="25" t="s">
        <v>40</v>
      </c>
      <c r="T55" s="40">
        <v>0</v>
      </c>
      <c r="U55" s="14"/>
      <c r="Y55" s="25" t="s">
        <v>40</v>
      </c>
      <c r="Z55" s="40">
        <v>0</v>
      </c>
      <c r="AA55" s="14"/>
    </row>
    <row r="56" spans="1:27" x14ac:dyDescent="0.2">
      <c r="A56" s="25" t="s">
        <v>75</v>
      </c>
      <c r="B56" s="40">
        <v>31500</v>
      </c>
      <c r="C56" s="14"/>
      <c r="E56" s="12"/>
      <c r="G56" s="25" t="s">
        <v>75</v>
      </c>
      <c r="H56" s="40">
        <v>31500</v>
      </c>
      <c r="I56" s="14"/>
      <c r="K56" s="12"/>
      <c r="M56" s="25" t="s">
        <v>75</v>
      </c>
      <c r="N56" s="40">
        <v>31500</v>
      </c>
      <c r="O56" s="14"/>
      <c r="S56" s="25" t="s">
        <v>75</v>
      </c>
      <c r="T56" s="40">
        <v>31500</v>
      </c>
      <c r="U56" s="14"/>
      <c r="Y56" s="25" t="s">
        <v>75</v>
      </c>
      <c r="Z56" s="40">
        <v>31500</v>
      </c>
      <c r="AA56" s="14"/>
    </row>
    <row r="57" spans="1:27" x14ac:dyDescent="0.2">
      <c r="A57" s="25" t="s">
        <v>80</v>
      </c>
      <c r="B57" s="58">
        <v>0</v>
      </c>
      <c r="C57" s="14"/>
      <c r="E57" s="12"/>
      <c r="G57" s="25" t="s">
        <v>80</v>
      </c>
      <c r="H57" s="58">
        <v>0</v>
      </c>
      <c r="I57" s="14"/>
      <c r="K57" s="12"/>
      <c r="M57" s="25" t="s">
        <v>80</v>
      </c>
      <c r="N57" s="58">
        <v>0</v>
      </c>
      <c r="O57" s="14"/>
      <c r="S57" s="25" t="s">
        <v>80</v>
      </c>
      <c r="T57" s="58">
        <v>0</v>
      </c>
      <c r="U57" s="14"/>
      <c r="Y57" s="25" t="s">
        <v>80</v>
      </c>
      <c r="Z57" s="58">
        <v>0</v>
      </c>
      <c r="AA57" s="14"/>
    </row>
    <row r="58" spans="1:27" x14ac:dyDescent="0.2">
      <c r="A58" s="25" t="s">
        <v>83</v>
      </c>
      <c r="B58" s="40">
        <v>0</v>
      </c>
      <c r="C58" s="14"/>
      <c r="G58" s="25" t="s">
        <v>83</v>
      </c>
      <c r="H58" s="40">
        <v>0</v>
      </c>
      <c r="I58" s="14"/>
      <c r="M58" s="25" t="s">
        <v>83</v>
      </c>
      <c r="N58" s="40">
        <v>0</v>
      </c>
      <c r="O58" s="14"/>
      <c r="S58" s="25" t="s">
        <v>83</v>
      </c>
      <c r="T58" s="40">
        <v>0</v>
      </c>
      <c r="U58" s="14"/>
      <c r="Y58" s="25" t="s">
        <v>83</v>
      </c>
      <c r="Z58" s="40">
        <v>0</v>
      </c>
      <c r="AA58" s="14"/>
    </row>
    <row r="59" spans="1:27" x14ac:dyDescent="0.2">
      <c r="A59" s="25" t="s">
        <v>84</v>
      </c>
      <c r="B59" s="40">
        <v>20000</v>
      </c>
      <c r="C59" s="14"/>
      <c r="E59" s="12"/>
      <c r="G59" s="25" t="s">
        <v>84</v>
      </c>
      <c r="H59" s="40">
        <v>20000</v>
      </c>
      <c r="I59" s="14"/>
      <c r="K59" s="12"/>
      <c r="M59" s="25" t="s">
        <v>84</v>
      </c>
      <c r="N59" s="40">
        <v>20000</v>
      </c>
      <c r="O59" s="14"/>
      <c r="S59" s="25" t="s">
        <v>84</v>
      </c>
      <c r="T59" s="40">
        <v>20000</v>
      </c>
      <c r="U59" s="14"/>
      <c r="Y59" s="25" t="s">
        <v>84</v>
      </c>
      <c r="Z59" s="40">
        <v>20000</v>
      </c>
      <c r="AA59" s="14"/>
    </row>
    <row r="60" spans="1:27" x14ac:dyDescent="0.2">
      <c r="A60" s="25" t="s">
        <v>61</v>
      </c>
      <c r="B60" s="58">
        <v>0</v>
      </c>
      <c r="C60" s="14"/>
      <c r="G60" s="25" t="s">
        <v>61</v>
      </c>
      <c r="H60" s="58">
        <v>0</v>
      </c>
      <c r="I60" s="14"/>
      <c r="M60" s="25" t="s">
        <v>61</v>
      </c>
      <c r="N60" s="58">
        <v>0</v>
      </c>
      <c r="O60" s="14"/>
      <c r="S60" s="25" t="s">
        <v>61</v>
      </c>
      <c r="T60" s="58">
        <v>0</v>
      </c>
      <c r="U60" s="14"/>
      <c r="Y60" s="25" t="s">
        <v>61</v>
      </c>
      <c r="Z60" s="58">
        <v>0</v>
      </c>
      <c r="AA60" s="14"/>
    </row>
    <row r="61" spans="1:27" x14ac:dyDescent="0.2">
      <c r="A61" s="25" t="s">
        <v>59</v>
      </c>
      <c r="B61" s="40">
        <v>0</v>
      </c>
      <c r="C61" s="62"/>
      <c r="G61" s="25" t="s">
        <v>59</v>
      </c>
      <c r="H61" s="40">
        <v>0</v>
      </c>
      <c r="I61" s="62"/>
      <c r="M61" s="25" t="s">
        <v>59</v>
      </c>
      <c r="N61" s="40">
        <v>0</v>
      </c>
      <c r="O61" s="62"/>
      <c r="S61" s="25" t="s">
        <v>59</v>
      </c>
      <c r="T61" s="40">
        <v>0</v>
      </c>
      <c r="U61" s="62"/>
      <c r="Y61" s="25" t="s">
        <v>59</v>
      </c>
      <c r="Z61" s="40">
        <v>0</v>
      </c>
      <c r="AA61" s="62"/>
    </row>
    <row r="62" spans="1:27" ht="13.5" thickBot="1" x14ac:dyDescent="0.25">
      <c r="A62" s="60" t="s">
        <v>35</v>
      </c>
      <c r="B62" s="58">
        <v>46651</v>
      </c>
      <c r="G62" s="60" t="s">
        <v>35</v>
      </c>
      <c r="H62" s="58">
        <v>-46651</v>
      </c>
      <c r="M62" s="60" t="s">
        <v>35</v>
      </c>
      <c r="N62" s="58">
        <v>61651</v>
      </c>
      <c r="S62" s="60" t="s">
        <v>35</v>
      </c>
      <c r="T62" s="58">
        <v>147451</v>
      </c>
      <c r="Y62" s="25" t="s">
        <v>35</v>
      </c>
      <c r="Z62" s="40">
        <v>0</v>
      </c>
    </row>
    <row r="63" spans="1:27" ht="13.5" thickBot="1" x14ac:dyDescent="0.25">
      <c r="A63" s="33" t="s">
        <v>36</v>
      </c>
      <c r="B63" s="34">
        <f>SUM(B31:B62)</f>
        <v>805932</v>
      </c>
      <c r="G63" s="33" t="s">
        <v>36</v>
      </c>
      <c r="H63" s="34">
        <f>SUM(H31:H62)</f>
        <v>712630</v>
      </c>
      <c r="M63" s="33" t="s">
        <v>36</v>
      </c>
      <c r="N63" s="34">
        <f>SUM(N31:N62)</f>
        <v>820932</v>
      </c>
      <c r="S63" s="33" t="s">
        <v>36</v>
      </c>
      <c r="T63" s="34">
        <f>SUM(T31:T62)</f>
        <v>906732</v>
      </c>
      <c r="Y63" s="33" t="s">
        <v>36</v>
      </c>
      <c r="Z63" s="34">
        <f>SUM(Z31:Z62)</f>
        <v>759281</v>
      </c>
    </row>
    <row r="64" spans="1:27" ht="13.5" thickBot="1" x14ac:dyDescent="0.25">
      <c r="A64" s="30"/>
      <c r="B64" s="36"/>
      <c r="G64" s="30"/>
      <c r="H64" s="36"/>
      <c r="M64" s="30"/>
      <c r="N64" s="36"/>
      <c r="S64" s="30"/>
      <c r="T64" s="36"/>
      <c r="Y64" s="30"/>
      <c r="Z64" s="36"/>
    </row>
  </sheetData>
  <phoneticPr fontId="0" type="noConversion"/>
  <pageMargins left="0.55000000000000004" right="0.3" top="1" bottom="0.5" header="0.5" footer="0.5"/>
  <pageSetup scale="60" fitToWidth="2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DAILY</vt:lpstr>
      <vt:lpstr>WEEKEND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Jan Havlíček</cp:lastModifiedBy>
  <cp:lastPrinted>2001-11-20T20:25:58Z</cp:lastPrinted>
  <dcterms:created xsi:type="dcterms:W3CDTF">2000-09-26T13:26:15Z</dcterms:created>
  <dcterms:modified xsi:type="dcterms:W3CDTF">2023-09-10T17:10:52Z</dcterms:modified>
</cp:coreProperties>
</file>