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1CB794-4F0C-4EAF-931E-985A1056CF6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<sst xmlns="http://schemas.openxmlformats.org/spreadsheetml/2006/main" count="2070" uniqueCount="814">
  <si>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</si>
  <si>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</si>
  <si>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</si>
  <si>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</si>
  <si>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</si>
  <si>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</si>
  <si>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</si>
  <si>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</si>
  <si>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</si>
  <si>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</si>
  <si>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</si>
  <si>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</si>
  <si>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</si>
  <si>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</si>
  <si>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</si>
  <si>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</si>
  <si>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</si>
  <si>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</si>
  <si>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</si>
  <si>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</si>
  <si>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</si>
  <si>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</si>
  <si>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</si>
  <si>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</si>
  <si>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</si>
  <si>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</si>
  <si>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</si>
  <si>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</si>
  <si>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</si>
  <si>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</si>
  <si>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</si>
  <si>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</si>
  <si>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</si>
  <si>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</si>
  <si>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</si>
  <si>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</si>
  <si>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</si>
  <si>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</si>
  <si>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</si>
  <si>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</si>
  <si>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</si>
  <si>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</si>
  <si>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</si>
  <si>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</si>
  <si>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</si>
  <si>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</si>
  <si>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</si>
  <si>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</si>
  <si>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</si>
  <si>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</si>
  <si>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</si>
  <si>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</si>
  <si>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</si>
  <si>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</si>
  <si>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</si>
  <si>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</si>
  <si>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</si>
  <si>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</si>
  <si>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</si>
  <si>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</si>
  <si>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</si>
  <si>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</si>
  <si>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</si>
  <si>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</si>
  <si>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</si>
  <si>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</si>
  <si>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</si>
  <si>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</si>
  <si>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</si>
  <si>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</si>
  <si>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</si>
  <si>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</si>
  <si>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</si>
  <si>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</si>
  <si>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</si>
  <si>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</si>
  <si>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</si>
  <si>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</si>
  <si>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</si>
  <si>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</si>
  <si>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</si>
  <si>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</si>
  <si>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</si>
  <si>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</si>
  <si>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</si>
  <si>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</si>
  <si>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</si>
  <si>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</si>
  <si>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</si>
  <si>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</si>
  <si>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</si>
  <si>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</si>
  <si>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</si>
  <si>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</si>
  <si>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</si>
  <si>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</si>
  <si>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</si>
  <si>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</si>
  <si>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</si>
  <si>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</si>
  <si>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</si>
  <si>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</si>
  <si>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</si>
  <si>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</si>
  <si>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</si>
  <si>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</si>
  <si>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</si>
  <si>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</si>
  <si>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</si>
  <si>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</si>
  <si>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</si>
  <si>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</si>
  <si>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</si>
  <si>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</si>
  <si>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</si>
  <si>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</si>
  <si>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</si>
  <si>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</si>
  <si>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</si>
  <si>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</si>
  <si>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</si>
  <si>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</si>
  <si>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</si>
  <si>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</si>
  <si>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</si>
  <si>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</si>
  <si>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</si>
  <si>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</si>
  <si>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</si>
  <si>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</si>
  <si>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</si>
  <si>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</si>
  <si>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</si>
  <si>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</si>
  <si>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</si>
  <si>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</si>
  <si>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</si>
  <si>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</si>
  <si>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</si>
  <si>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</si>
  <si>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</si>
  <si>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</si>
  <si>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</si>
  <si>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</si>
  <si>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</si>
  <si>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</si>
  <si>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</si>
  <si>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</si>
  <si>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</si>
  <si>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</si>
  <si>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</si>
  <si>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</si>
  <si>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</si>
  <si>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</si>
  <si>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</si>
  <si>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</si>
  <si>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</si>
  <si>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</si>
  <si>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</si>
  <si>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</si>
  <si>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</si>
  <si>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</si>
  <si>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</si>
  <si>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</si>
  <si>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</si>
  <si>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</si>
  <si>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</si>
  <si>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</si>
  <si>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</si>
  <si>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</si>
  <si>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</si>
  <si>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</si>
  <si>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</si>
  <si>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</si>
  <si>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</si>
  <si>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</si>
  <si>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</si>
  <si>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</si>
  <si>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</si>
  <si>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</si>
  <si>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</si>
  <si>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</si>
  <si>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</si>
  <si>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</si>
  <si>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</si>
  <si>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</si>
  <si>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</si>
  <si>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</si>
  <si>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</si>
  <si>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</si>
  <si>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</si>
  <si>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</si>
  <si>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</si>
  <si>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</si>
  <si>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</si>
  <si>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</si>
  <si>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</si>
  <si>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</si>
  <si>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</si>
  <si>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</si>
  <si>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</si>
  <si>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</si>
  <si>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</si>
  <si>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</si>
  <si>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</si>
  <si>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</si>
  <si>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</si>
  <si>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</si>
  <si>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</si>
  <si>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</si>
  <si>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</si>
  <si>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</si>
  <si>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</si>
  <si>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</si>
  <si>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</si>
  <si>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</si>
  <si>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</si>
  <si>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</si>
  <si>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</si>
  <si>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</si>
  <si>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</si>
  <si>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</si>
  <si>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</si>
  <si>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</si>
  <si>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</si>
  <si>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</si>
  <si>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</si>
  <si>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</si>
  <si>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</si>
  <si>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</si>
  <si>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</si>
  <si>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</si>
  <si>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</si>
  <si>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</si>
  <si>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</si>
  <si>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</si>
  <si>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</si>
  <si>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</si>
  <si>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</si>
  <si>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</si>
  <si>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</si>
  <si>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</si>
  <si>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</si>
  <si>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</si>
  <si>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</si>
  <si>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</si>
  <si>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</si>
  <si>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</si>
  <si>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</si>
  <si>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</si>
  <si>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</si>
  <si>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</si>
  <si>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</si>
  <si>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</si>
  <si>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</si>
  <si>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</si>
  <si>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</si>
  <si>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</si>
  <si>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</si>
  <si>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</si>
  <si>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</si>
  <si>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</si>
  <si>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</si>
  <si>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</si>
  <si>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</si>
  <si>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</si>
  <si>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</si>
  <si>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</si>
  <si>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</si>
  <si>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</si>
  <si>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</si>
  <si>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</si>
  <si>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</si>
  <si>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</si>
  <si>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</si>
  <si>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</si>
  <si>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</si>
  <si>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</si>
  <si>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</si>
  <si>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</si>
  <si>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</si>
  <si>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</si>
  <si>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</si>
  <si>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</si>
  <si>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</si>
  <si>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</si>
  <si>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</si>
  <si>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</si>
  <si>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</si>
  <si>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</si>
  <si>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</si>
  <si>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</si>
  <si>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</si>
  <si>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</si>
  <si>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</si>
  <si>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</si>
  <si>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</si>
  <si>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</si>
  <si>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</si>
  <si>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</si>
  <si>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</si>
  <si>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</si>
  <si>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</si>
  <si>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</si>
  <si>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</si>
  <si>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</si>
  <si>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</si>
  <si>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</si>
  <si>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</si>
  <si>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</si>
  <si>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</si>
  <si>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</si>
  <si>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</si>
  <si>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</si>
  <si>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</si>
  <si>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</si>
  <si>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</si>
  <si>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</si>
  <si>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</si>
  <si>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</si>
  <si>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</si>
  <si>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</si>
  <si>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</si>
  <si>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</si>
  <si>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</si>
  <si>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</si>
  <si>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</si>
  <si>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</si>
  <si>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</si>
  <si>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</si>
  <si>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</si>
  <si>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</si>
  <si>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</si>
  <si>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</si>
  <si>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</si>
  <si>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</si>
  <si>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</si>
  <si>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</si>
  <si>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</si>
  <si>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</si>
  <si>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</si>
  <si>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</si>
  <si>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</si>
  <si>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</si>
  <si>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</si>
  <si>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</si>
  <si>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</si>
  <si>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</si>
  <si>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</si>
  <si>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</si>
  <si>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</si>
  <si>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</si>
  <si>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</si>
  <si>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</si>
  <si>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</si>
  <si>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</si>
  <si>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</si>
  <si>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</si>
  <si>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</si>
  <si>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</si>
  <si>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</si>
  <si>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</si>
  <si>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</si>
  <si>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</si>
  <si>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</si>
  <si>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</si>
  <si>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</si>
  <si>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</si>
  <si>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</si>
  <si>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</si>
  <si>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</si>
  <si>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</si>
  <si>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</si>
  <si>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</si>
  <si>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</si>
  <si>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</si>
  <si>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</si>
  <si>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</si>
  <si>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</si>
  <si>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</si>
  <si>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</si>
  <si>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</si>
  <si>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</si>
  <si>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</si>
  <si>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</si>
  <si>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</si>
  <si>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</si>
  <si>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</si>
  <si>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</si>
  <si>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</si>
  <si>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</si>
  <si>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</si>
  <si>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</si>
  <si>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</si>
  <si>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</si>
  <si>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</si>
  <si>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</si>
  <si>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</si>
  <si>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</si>
  <si>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</si>
  <si>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</si>
  <si>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</si>
  <si>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</si>
  <si>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</si>
  <si>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</si>
  <si>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</si>
  <si>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</si>
  <si>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</si>
  <si>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</si>
  <si>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</si>
  <si>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</si>
  <si>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</si>
  <si>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</si>
  <si>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</si>
  <si>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</si>
  <si>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</si>
  <si>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</si>
  <si>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</si>
  <si>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</si>
  <si>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</si>
  <si>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</si>
  <si>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</si>
  <si>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</si>
  <si>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</si>
  <si>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</si>
  <si>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</si>
  <si>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</si>
  <si>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</si>
  <si>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</si>
  <si>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</si>
  <si>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</si>
  <si>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</si>
  <si>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</si>
  <si>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</si>
  <si>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</si>
  <si>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</si>
  <si>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</si>
  <si>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</si>
  <si>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</si>
  <si>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</si>
  <si>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</si>
  <si>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</si>
  <si>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</si>
  <si>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</si>
  <si>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</si>
  <si>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</si>
  <si>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</si>
  <si>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</si>
  <si>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</si>
  <si>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</si>
  <si>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</si>
  <si>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</si>
  <si>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</si>
  <si>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</si>
  <si>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</si>
  <si>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</si>
  <si>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</si>
  <si>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</si>
  <si>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</si>
  <si>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</si>
  <si>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</si>
  <si>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</si>
  <si>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</si>
  <si>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</si>
  <si>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</si>
  <si>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</si>
  <si>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</si>
  <si>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</si>
  <si>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</si>
  <si>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</si>
  <si>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</si>
  <si>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</si>
  <si>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</si>
  <si>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</si>
  <si>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</si>
  <si>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</si>
  <si>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</si>
  <si>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</si>
  <si>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</si>
  <si>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</si>
  <si>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</si>
  <si>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</si>
  <si>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</si>
  <si>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</si>
  <si>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</si>
  <si>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</si>
  <si>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</si>
  <si>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</si>
  <si>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</si>
  <si>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</si>
  <si>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</si>
  <si>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</si>
  <si>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</si>
  <si>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</si>
  <si>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</si>
  <si>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</si>
  <si>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</si>
  <si>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</si>
  <si>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</si>
  <si>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</si>
  <si>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</si>
  <si>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</si>
  <si>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</si>
  <si>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</si>
  <si>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</si>
  <si>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</si>
  <si>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</si>
  <si>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</si>
  <si>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</si>
  <si>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</si>
  <si>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</si>
  <si>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</si>
  <si>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</si>
  <si>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</si>
  <si>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</si>
  <si>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</si>
  <si>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</si>
  <si>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</si>
  <si>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</si>
  <si>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</si>
  <si>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</si>
  <si>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</si>
  <si>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</si>
  <si>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</si>
  <si>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</si>
  <si>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</si>
  <si>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</si>
  <si>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</si>
  <si>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</si>
  <si>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</si>
  <si>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</si>
  <si>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</si>
  <si>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</si>
  <si>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</si>
  <si>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</si>
  <si>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</si>
  <si>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</si>
  <si>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</si>
  <si>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</si>
  <si>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</si>
  <si>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</si>
  <si>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</si>
  <si>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</si>
  <si>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</si>
  <si>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</si>
  <si>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</si>
  <si>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</si>
  <si>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</si>
  <si>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</si>
  <si>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</si>
  <si>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</si>
  <si>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</si>
  <si>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</si>
  <si>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</si>
  <si>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</si>
  <si>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</si>
  <si>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</si>
  <si>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</si>
  <si>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</si>
  <si>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</si>
  <si>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</si>
  <si>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</si>
  <si>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</si>
  <si>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</si>
  <si>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</si>
  <si>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</si>
  <si>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</si>
  <si>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</si>
  <si>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</si>
  <si>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</si>
  <si>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</si>
  <si>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</si>
  <si>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</si>
  <si>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</si>
  <si>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</si>
  <si>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</si>
  <si>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</si>
  <si>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</si>
  <si>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</si>
  <si>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</si>
  <si>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</si>
  <si>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</si>
  <si>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</si>
  <si>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</si>
  <si>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</si>
  <si>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</si>
  <si>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</si>
  <si>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</si>
  <si>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</si>
  <si>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</si>
  <si>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</si>
  <si>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</si>
  <si>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</si>
  <si>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</si>
  <si>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</si>
  <si>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</si>
  <si>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</si>
  <si>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</si>
  <si>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</si>
  <si>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</si>
  <si>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</si>
  <si>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</si>
  <si>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</si>
  <si>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</si>
  <si>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</si>
  <si>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</si>
  <si>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</si>
  <si>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</si>
  <si>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</si>
  <si>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</si>
  <si>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</si>
  <si>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</si>
  <si>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</si>
  <si>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</si>
  <si>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</si>
  <si>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</si>
  <si>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</si>
  <si>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</si>
  <si>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</si>
  <si>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</si>
  <si>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</si>
  <si>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</si>
  <si>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</si>
  <si>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</si>
  <si>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</si>
  <si>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</si>
  <si>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</si>
  <si>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</si>
  <si>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</si>
  <si>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</si>
  <si>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</si>
  <si>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</si>
  <si>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</si>
  <si>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</si>
  <si>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</si>
  <si>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</si>
  <si>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</si>
  <si>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</si>
  <si>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</si>
  <si>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</si>
  <si>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</si>
  <si>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</si>
  <si>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</si>
  <si>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</si>
  <si>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</si>
  <si>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</si>
  <si>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</si>
  <si>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</si>
  <si>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</si>
  <si>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</si>
  <si>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</si>
  <si>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</si>
  <si>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</si>
  <si>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</si>
  <si>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</si>
  <si>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</si>
  <si>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</si>
  <si>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</si>
  <si>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</si>
  <si>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</si>
  <si>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</si>
  <si>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</si>
  <si>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</si>
  <si>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</si>
  <si>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</si>
  <si>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</si>
  <si>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</si>
  <si>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</si>
  <si>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</si>
  <si>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</si>
  <si>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</si>
  <si>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</si>
  <si>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</si>
  <si>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</si>
  <si>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</si>
  <si>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</si>
  <si>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</si>
  <si>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</si>
  <si>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</si>
  <si>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</si>
  <si>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</si>
  <si>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</si>
  <si>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</si>
  <si>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</si>
  <si>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</si>
  <si>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</si>
  <si>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</si>
  <si>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</si>
  <si>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</si>
  <si>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</si>
  <si>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</si>
  <si>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</si>
  <si>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</si>
  <si>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</si>
  <si>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</si>
  <si>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</si>
  <si>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</si>
  <si>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</si>
  <si>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</si>
  <si>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</si>
  <si>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</si>
  <si>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</si>
  <si>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</si>
  <si>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</si>
  <si>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</si>
  <si>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</si>
  <si>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</si>
  <si>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</si>
  <si>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</si>
  <si>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</si>
  <si>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</si>
  <si>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</si>
  <si>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</si>
  <si>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</si>
  <si>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</si>
  <si>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</si>
  <si>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</si>
  <si>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</si>
  <si>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</si>
  <si>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</si>
  <si>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</si>
  <si>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</si>
  <si>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</si>
  <si>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</si>
  <si>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</si>
  <si>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</si>
  <si>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</si>
  <si>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</si>
  <si>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</si>
  <si>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</si>
  <si>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</si>
  <si>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</si>
  <si>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</si>
  <si>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</si>
  <si>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</si>
  <si>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</si>
  <si>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</si>
  <si>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</si>
  <si>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</si>
  <si>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</si>
  <si>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</si>
  <si>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</si>
  <si>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</si>
  <si>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</si>
  <si>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</si>
  <si>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</si>
  <si>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</si>
  <si>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</si>
  <si>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</si>
  <si>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</si>
  <si>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</si>
  <si>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</si>
  <si>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</si>
  <si>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</si>
  <si>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</si>
  <si>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</si>
  <si>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</si>
  <si>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</si>
  <si>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</si>
  <si>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</si>
  <si>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</si>
  <si>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</si>
  <si>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</si>
  <si>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</si>
  <si>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</si>
  <si>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</si>
  <si>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</si>
  <si>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</si>
  <si>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</si>
  <si>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</si>
  <si>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</si>
  <si>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</si>
  <si>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</si>
  <si>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</si>
  <si>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</si>
  <si>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</si>
  <si>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</si>
  <si>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</si>
  <si>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</si>
  <si>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</si>
  <si>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</si>
  <si>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</si>
  <si>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</si>
  <si>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</si>
  <si>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</si>
  <si>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</si>
  <si>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</si>
  <si>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</si>
  <si>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</si>
  <si>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</si>
  <si>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</si>
  <si>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</si>
  <si>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</si>
  <si>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</si>
  <si>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</si>
  <si>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</si>
  <si>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</si>
  <si>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</si>
  <si>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</si>
  <si>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</si>
  <si>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</si>
  <si>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</si>
  <si>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</si>
  <si>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</si>
  <si>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</si>
  <si>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</si>
  <si>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</si>
  <si>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</si>
  <si>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</si>
  <si>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</si>
  <si>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 TONIGHT…FAIR    WITH  LIGHT  VARIABLE  WINDS.  </t>
  </si>
  <si>
    <t xml:space="preserve">    MOSTLY  SUNNY  </t>
  </si>
  <si>
    <t xml:space="preserve">    MOSTLY  SUNNY  WIND   SE   5  TO   10   MPH.</t>
  </si>
  <si>
    <t xml:space="preserve">    PARTLY   CLOUDY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</si>
</sst>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39FDFB2-1CD4-24A0-5C7D-E4E9FD549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ED3DD52-8AC0-1463-9E5F-46444CE41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25C384A-5563-E949-9807-D82F14D56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53718C7-5D7F-5ACF-1E9E-DDF617813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1C00B78-0887-59B5-5B54-1C2B8E8F5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30CE5A8-D407-8A53-0926-E1013A9D5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A6F648F-5EE3-88F5-4CFD-124C84894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F727A3C-3A56-CBDA-C36E-D2C3FC0DF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92B485C-4F92-70AE-9500-9472B27AA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CFB20EB-34B7-ABD1-B724-1C193699C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426587D-34AE-E94E-CA41-7963582B1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EA1162D-9E54-257E-246B-6624AC9A2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A0BF22C-2E41-C1DE-81B9-1D1C6B67E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703A86E-19BF-3933-17CE-5D54E2F2D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47AC264-52B9-12C8-B657-6345DD263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DC65-8B5C-26E0-514D-85EFFF092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57408588-B776-C66A-8814-1D7B27B0B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B53AA64-DE48-359A-C86C-282F5C6A5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5F05CC37-7D62-9CA9-D23D-B4652DEA6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9FEC1DE-17B4-131B-A5A6-AFA6F3C3A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DB915A41-B245-ACEE-FFE0-17D3D3B10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2ACD94A-E396-3A42-BE02-D5F5F2114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19934CDB-5EF8-D138-849D-3635C3A36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7CA0A53-4C10-806A-51DF-B79433A10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5625EB08-EDEA-2F31-06DB-E30ECE86A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D330CE9-F241-D4EE-E014-68736367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7B3EEF9E-469F-EE7E-3B58-52A252EC7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FC7B07CB-0072-2DA0-C315-0E35DC3D6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A22AF4F-73A7-CB7E-29C6-D73506673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7D56084A-FDA1-3DEC-71E1-531AB353F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E1F4AFB-1604-E7E9-8377-501FB5DBD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F5FFF35-568A-45EE-41F9-D8695C528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B49F6A05-4211-1DEB-77FE-F877355B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BF886CF4-A94C-6D5D-89E9-ECD67AAC1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B40A60E-33CF-6191-C1A3-A3E40153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34888AD6-3C55-AF15-7686-37001FF06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AED56F7-7F7D-0DD4-215D-F95E4DBA2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1EE27615-7A10-A0FA-AF1A-F1958EE16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1C9A56B-2B1E-90FB-8167-ABF5B617B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67DED1FD-B453-764F-81DB-CEEC9C473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87EA8B06-938C-5938-826A-953B3CA2E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CBD91D71-FAB7-8651-B648-CC4101CF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8B30D1CF-9A63-F926-7D25-0BECA0AEC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38500FF5-1463-3ABB-44EE-8342F73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63" name="Day_1">
          <a:extLst>
            <a:ext uri="{FF2B5EF4-FFF2-40B4-BE49-F238E27FC236}">
              <a16:creationId xmlns:a16="http://schemas.microsoft.com/office/drawing/2014/main" id="{C0107E72-678D-3394-B14E-50CE50E09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64" name="Day_2">
          <a:extLst>
            <a:ext uri="{FF2B5EF4-FFF2-40B4-BE49-F238E27FC236}">
              <a16:creationId xmlns:a16="http://schemas.microsoft.com/office/drawing/2014/main" id="{97E04BFC-E57B-AE39-222D-0A5D51DF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65" name="Day_3">
          <a:extLst>
            <a:ext uri="{FF2B5EF4-FFF2-40B4-BE49-F238E27FC236}">
              <a16:creationId xmlns:a16="http://schemas.microsoft.com/office/drawing/2014/main" id="{28C098C2-8FCB-EE54-8F0D-5650D9E40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66" name="Day_4">
          <a:extLst>
            <a:ext uri="{FF2B5EF4-FFF2-40B4-BE49-F238E27FC236}">
              <a16:creationId xmlns:a16="http://schemas.microsoft.com/office/drawing/2014/main" id="{652A1E5A-40D2-5994-86D3-D2AA77E1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67" name="Day_5">
          <a:extLst>
            <a:ext uri="{FF2B5EF4-FFF2-40B4-BE49-F238E27FC236}">
              <a16:creationId xmlns:a16="http://schemas.microsoft.com/office/drawing/2014/main" id="{481FE08A-AE03-5FC1-CC9F-1E9DE4386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68" name="Day_6">
          <a:extLst>
            <a:ext uri="{FF2B5EF4-FFF2-40B4-BE49-F238E27FC236}">
              <a16:creationId xmlns:a16="http://schemas.microsoft.com/office/drawing/2014/main" id="{2D060B76-529A-DEF0-4A88-02275C279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633CAEB-AFAB-F0E2-721A-A643172918B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2A6C1A9-5160-1FBC-8FE7-948623C95FC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9D79DE1-A61B-0C96-7E75-E5D64615102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DEC78350-2E2E-90EE-CD7D-EAC97A509B0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7678CBCA-D7D6-6ABE-5199-6830C25928D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59AE5510-3F22-AC44-ABEE-9796C6B2764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C68B9843-5EF7-B7A3-8746-01C3DEC2FE5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945E6889-CAC7-0601-E3AA-6A734A0C4DC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2B6B05C4-753D-1FC8-68B9-D42C93C80C5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FE898ADE-8C53-45B9-3373-C4FCEF2C227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4CCEE757-53E3-BC12-F1FA-2533E57DE3E8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75F62AD5-92F7-4012-EA61-D90AF6BEE6B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F3FE469-6F78-50C4-4B10-97F7307E59AA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364B0F39-0FF4-8687-E3B2-049E38659835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BDA5431C-44AF-2ADC-46D9-6073EAEC0ED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BE94AB7-3B94-B1D0-E649-EFCA791E27FA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8F5F9744-944C-F3B1-587D-11AB4862B081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0AEE190-DB2D-B5EE-39DB-51A81C8C488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A93C82F-BDA8-C58A-FB5D-D0A292F19E9F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23B97CB-103B-3B79-B0D4-421C91C8E3C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1549FE1-347B-E00D-8A9D-E26A2E7D4B8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8E826729-4740-83A2-460E-7D39A14318AA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DEFFD8A-AEB8-147E-232E-1A2349B838C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C78029C0-FE51-8605-2D34-D28A34E75A2A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75512442-450C-E89F-6A38-8B4ACEEDB41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701E0D3-7694-1E77-7919-784F057AFF39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DF1FDB92-A2F4-15AD-8E7A-4EA7B531C78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01A12EC4-6E8C-5541-D4B0-0CB167FFA4BF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29353241-9A1E-D5B2-CA44-CC389A4AD1A3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E280BC39-99FE-AC2C-7FF6-73E30B4FC5B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7DB4408-F934-3B7C-F8B8-FC93A42701A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FB01E25-B14E-675A-1CE2-805854A7129D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A58966D-FFA4-37B0-553C-603AD78271F1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30F829FC-3614-2403-0744-ED22971F27E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6AD0A1A-935B-E8E8-1F15-A66B5FDF60D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7C02CCD-3B10-60FA-0E17-50CB01913E36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B81482D4-D5A8-382D-1FE7-5B7B2BD73955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96A5A5B-8010-7373-A0CB-130F2A070C6E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B230DC78-391E-524B-FB7E-01B3722A3DF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1F3C15A0-D12C-568B-F4AF-A74CD96A8300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E41C9636-BEE7-1E80-F72C-2212DE0D3963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012845B6-B424-044F-0A8A-28DC80EBCDA2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A91C1D6F-5EBA-7DEB-A919-907A43AC1758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B96E469-8086-DA42-F19C-FBE66C9AE9C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A2D51F58-AC73-9387-DCA1-5922956786E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661EE02-0906-925F-43A3-BDCAD0CBFEF4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B159D734-6727-62A2-CF74-B39DC2A2601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EBA082E9-65A3-812A-224A-64DFA69BBF78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E6918CD0-D79A-C328-FB93-93819CD01FC9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4F5DE8B7-7E7A-6527-9315-B952303E2F1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29D89FE7-C52D-17E0-1426-CFB9A825DC0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B97927F1-6134-1B60-8B17-9F35421A81D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27977E3-D547-C891-4174-33A392F3301F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C03B0372-3BE2-1FE2-B67A-0F068FB4F30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5D534F9A-48A3-C466-4E40-88E3D54B726F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21A35C0-A42B-0AB6-6A29-B45C4CED0BD4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DE1CE26D-4F18-79F8-A949-ECB6E3FE97A6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35B8E360-D162-D1B5-24A5-1671CC4B6067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690A4CC7-576D-6733-C0C9-CAFC0B8EA24A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F9A2839F-13C3-2545-148D-06B848AC6F6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027D6C68-F4A3-5C6C-9C4E-D593E5693DB2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76118FE9-3255-DC39-848C-E21F11A4932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726A1D3-2441-5EA0-1F4D-345AB97E132D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A153712-084C-7AFE-66E5-C32D583CF0CF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55F1E5C9-2C11-561E-D4FA-B6A2797CF55C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A4BAAA9-5C44-77B1-ADD3-3446B13DE47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A496C0E-01C9-D1BD-6CD9-5E9C587716E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6550378-067E-8BC8-00BA-7DCFC4B0565E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CF0202A-E429-A8DF-1E2A-A65C1F844E57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8A8EE67C-C3D0-F30D-A3F1-3F82F5837D02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CEE4A23-47E7-75A7-CFBD-38AB196AEFF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56DF91C9-6618-E835-414E-27B42A45214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257BBF4B-5F6B-FD0C-A4B3-24958860B6E2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3F6026F-E5BD-1133-D592-17FC83C5E34D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3DA343FD-26F4-8067-BF81-2BD9F575F0C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C03CAEE-CDEB-21C6-495E-1DB39EB2DCB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D0756CB8-F2C6-E66E-219F-2DCC0D9940B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84984B6-5793-229B-AA1B-83CC7C553B4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B836B70-192A-C081-4A19-113435B18DEB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4878FA36-476C-1525-6D2D-97C625091A5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01F49AF-F6FF-A50A-418E-A6047CB065B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014CB974-F197-1A82-2204-59112E97D5A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1443B81-B8D1-D445-AB86-17635A1DA5E6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2C56BB5-6A90-A427-0065-57D4365B2B12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480DA788-E066-BA59-EBD8-B6B9EFDE053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4FDFB43C-8E72-0FB5-6C30-19C63921228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74F0049-F668-5A69-2D6D-ECF49FEA316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59A79F38-4F17-5442-ABA7-B4D11EBACBE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304DF31F-554D-C968-17B4-48E62451764F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01C49739-B25C-C6BC-9A38-0C35BFCE4A05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6D754CE-ADA2-3A6F-FFFE-97C36C4FFCF9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229AD43-CBE0-8CCF-EFFA-9B4C6D4DE72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D7F0B6A-0E50-A6A9-0676-3481431862D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50BDB321-1CD9-8C53-0FC1-C142EF3DAECC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5ED5A1A7-C688-4680-A15C-8A39A3BE4FF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20DA885-1A94-EE80-1D21-75FF05021567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D1AE831-9A2B-90F7-D513-1662BC25D043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D3EAEDA-172F-0136-99B4-75F002706E5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E8B59FA-8134-A075-177A-DF4E00EBFB05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676CF5AB-6298-88F5-1165-D7EB7CC03E33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F9985B9A-E6A5-62F2-8921-65D596052806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3E81CBE8-4700-77E6-4BBA-C66B638F895E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E242E277-A65F-971E-1FA4-33E34831DF93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B5F2539-71E0-6E14-FE8B-9E33B6107CAF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692C0E4C-B2E2-9C8C-1B57-91E55537E1DA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1A0B67B-5F17-7311-DF91-F62AE77B224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C2E7517-4257-461B-397B-AB405CCD3E1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4A8B1FB-BAE7-8FC9-8C07-E9C81318780D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B8D2125E-8A8F-EC8C-B82C-0EE474D0FF7B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D1C0513-8B53-09C9-CD52-99FDA484310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392AACD-BAF0-2177-5B45-BAFB554A12A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042AE177-ADB7-C3B1-D77D-30764A68047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8EEED82C-883A-CB2F-F1F7-3D0BA004A07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80207A1-6482-B7A0-E94E-7D2A8995CDC0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4D2B3E6-D45E-3C84-7E4D-718E1C7169B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5020BC39-8479-6F1E-02A6-90ECD509A9B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A863AC69-C5F1-E176-8593-3AB4DAB05C1B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94D4EEC9-6ECD-BF41-F27A-DC9EA8565F72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4B64CB8F-99E1-2548-5F21-F19810BA11C1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ABFDFEC-4364-F636-C358-2E466A7A250A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8BBD7EE-DB4E-AB08-A2DD-2BAC7713C9CC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4EC8D317-6CAD-8F37-3448-51F1C6708E59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8B8BD3A4-48E0-F53A-D5F3-6CA2F558F4A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961CAA1-07AE-1235-C18A-79A4FD0FCD7D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66FE7E74-FAD7-AB7B-8674-F8298D0A04F9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47172E44-9A3E-36C6-30A0-F4DFFED2FF2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8A75DF2B-94FF-91B7-7EB6-322A647B9F01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5F226F8-458F-924D-5D68-3469D2EAF56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C97CC386-FE4C-79E3-C74A-099297B860C3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3235A5A7-AC14-37E0-E3B2-EE2D7A05DB6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37069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37069</v>
      </c>
      <c r="E4" s="833">
        <f>Weather_Input!A6</f>
        <v>37070</v>
      </c>
      <c r="F4" s="833">
        <f>Weather_Input!A7</f>
        <v>37071</v>
      </c>
      <c r="G4" s="833">
        <f>Weather_Input!A8</f>
        <v>37072</v>
      </c>
      <c r="H4" s="833">
        <f>Weather_Input!A9</f>
        <v>37073</v>
      </c>
      <c r="I4" s="834">
        <f>Weather_Input!A10</f>
        <v>37074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87/66/77</v>
      </c>
      <c r="E5" s="866" t="str">
        <f>TEXT(Weather_Input!B6,"0")&amp;"/"&amp;TEXT(Weather_Input!C6,"0") &amp; "/" &amp; TEXT((Weather_Input!B6+Weather_Input!C6)/2,"0")</f>
        <v>87/67/77</v>
      </c>
      <c r="F5" s="866" t="str">
        <f>TEXT(Weather_Input!B7,"0")&amp;"/"&amp;TEXT(Weather_Input!C7,"0") &amp; "/" &amp; TEXT((Weather_Input!B7+Weather_Input!C7)/2,"0")</f>
        <v>87/68/78</v>
      </c>
      <c r="G5" s="866" t="str">
        <f>TEXT(Weather_Input!B8,"0")&amp;"/"&amp;TEXT(Weather_Input!C8,"0") &amp; "/" &amp; TEXT((Weather_Input!B8+Weather_Input!C8)/2,"0")</f>
        <v>85/65/75</v>
      </c>
      <c r="H5" s="866" t="str">
        <f>TEXT(Weather_Input!B9,"0")&amp;"/"&amp;TEXT(Weather_Input!C9,"0") &amp; "/" &amp; TEXT((Weather_Input!B9+Weather_Input!C9)/2,"0")</f>
        <v>81/59/70</v>
      </c>
      <c r="I5" s="867" t="str">
        <f>TEXT(Weather_Input!B10,"0")&amp;"/"&amp;TEXT(Weather_Input!C10,"0") &amp; "/" &amp; TEXT((Weather_Input!B10+Weather_Input!C10)/2,"0")</f>
        <v>81/59/70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37.5</v>
      </c>
      <c r="E6" s="836">
        <f ca="1">VLOOKUP(E4,NSG_Sendouts,CELL("Col",NSG_Deliveries!C6),FALSE)/1000</f>
        <v>37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35</v>
      </c>
      <c r="I6" s="841">
        <f ca="1">VLOOKUP(I4,NSG_Sendouts,CELL("Col",NSG_Deliveries!C10),FALSE)/1000</f>
        <v>36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3.55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41.05</v>
      </c>
      <c r="E11" s="845">
        <f t="shared" ca="1" si="1"/>
        <v>37</v>
      </c>
      <c r="F11" s="845">
        <f t="shared" ca="1" si="1"/>
        <v>34</v>
      </c>
      <c r="G11" s="845">
        <f t="shared" ca="1" si="1"/>
        <v>33</v>
      </c>
      <c r="H11" s="845">
        <f t="shared" ca="1" si="1"/>
        <v>35</v>
      </c>
      <c r="I11" s="846">
        <f t="shared" ca="1" si="1"/>
        <v>36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29.135999999999999</v>
      </c>
      <c r="E19" s="836">
        <f>NSG_Supplies!Q8/1000</f>
        <v>32.259</v>
      </c>
      <c r="F19" s="836">
        <f>NSG_Supplies!Q9/1000</f>
        <v>32.259</v>
      </c>
      <c r="G19" s="836">
        <f>NSG_Supplies!Q10/1000</f>
        <v>32.259</v>
      </c>
      <c r="H19" s="836">
        <f>NSG_Supplies!Q11/1000</f>
        <v>32.259</v>
      </c>
      <c r="I19" s="837">
        <f>NSG_Supplies!Q12/1000</f>
        <v>32.259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11.914</v>
      </c>
      <c r="G20" s="836">
        <f>NSG_Supplies!P10/1000</f>
        <v>11.914</v>
      </c>
      <c r="H20" s="836">
        <f>NSG_Supplies!P11/1000</f>
        <v>11.914</v>
      </c>
      <c r="I20" s="837">
        <f>NSG_Supplies!P12/1000</f>
        <v>11.914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41.05</v>
      </c>
      <c r="E21" s="1244">
        <f t="shared" si="2"/>
        <v>44.173000000000002</v>
      </c>
      <c r="F21" s="1244">
        <f t="shared" si="2"/>
        <v>44.173000000000002</v>
      </c>
      <c r="G21" s="1244">
        <f t="shared" si="2"/>
        <v>44.173000000000002</v>
      </c>
      <c r="H21" s="1244">
        <f t="shared" si="2"/>
        <v>44.173000000000002</v>
      </c>
      <c r="I21" s="1245">
        <f t="shared" si="2"/>
        <v>44.173000000000002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7.1730000000000018</v>
      </c>
      <c r="F22" s="877">
        <f t="shared" ca="1" si="3"/>
        <v>10.173000000000002</v>
      </c>
      <c r="G22" s="877">
        <f t="shared" ca="1" si="3"/>
        <v>11.173000000000002</v>
      </c>
      <c r="H22" s="877">
        <f t="shared" ca="1" si="3"/>
        <v>9.1730000000000018</v>
      </c>
      <c r="I22" s="878">
        <f t="shared" ca="1" si="3"/>
        <v>8.1730000000000018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17.175000000000001</v>
      </c>
      <c r="E24" s="1097">
        <f>NSG_Supplies!R8/1000</f>
        <v>17.262</v>
      </c>
      <c r="F24" s="1097">
        <f>NSG_Supplies!R9/1000</f>
        <v>17.262</v>
      </c>
      <c r="G24" s="1097">
        <f>NSG_Supplies!R10/1000</f>
        <v>17.262</v>
      </c>
      <c r="H24" s="1097">
        <f>NSG_Supplies!R11/1000</f>
        <v>17.262</v>
      </c>
      <c r="I24" s="1098">
        <f>NSG_Supplies!R12/1000</f>
        <v>17.262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5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22" zoomScale="75" workbookViewId="0">
      <selection activeCell="P30" sqref="P3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37069</v>
      </c>
      <c r="N1" s="1218" t="str">
        <f>CHOOSE(WEEKDAY(M1),"SUN","MON","TUE","WED","THU","FRI","SAT")</f>
        <v>WED</v>
      </c>
      <c r="O1" s="588"/>
    </row>
    <row r="2" spans="1:17" ht="16.5" thickTop="1" thickBot="1">
      <c r="A2" s="420" t="s">
        <v>698</v>
      </c>
      <c r="B2" s="319">
        <f>PGL_Supplies!W7/1000</f>
        <v>0.6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87</v>
      </c>
      <c r="K3" s="945">
        <f>Weather_Input!C5</f>
        <v>66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76.8</v>
      </c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98.796999999999997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210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99.396999999999991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17</v>
      </c>
      <c r="G9" s="319"/>
      <c r="H9" s="1126"/>
      <c r="I9" s="119" t="s">
        <v>695</v>
      </c>
      <c r="J9" s="1044"/>
      <c r="K9" s="1264">
        <f>+B6</f>
        <v>99.396999999999991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21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-134.22999999999999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135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219.69399999999999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21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-7.28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2.0249999999999999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-0.32800000000000001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-134.22999999999999</v>
      </c>
      <c r="C19" s="515"/>
      <c r="D19" s="527"/>
      <c r="E19" s="1146" t="s">
        <v>743</v>
      </c>
      <c r="F19" s="1211">
        <f>PGL_Requirements!J7/1000</f>
        <v>0.32800000000000001</v>
      </c>
      <c r="G19" s="1033" t="s">
        <v>9</v>
      </c>
      <c r="H19" s="1147" t="s">
        <v>9</v>
      </c>
      <c r="I19" t="s">
        <v>536</v>
      </c>
      <c r="J19" s="1214"/>
      <c r="K19" s="1268">
        <f>-F24</f>
        <v>-10.199999999999999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203.053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6.9470000000000027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10.199999999999999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2.0249999999999999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8.9720000000000031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23.7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-32.668999999999997</v>
      </c>
      <c r="L30" s="1161"/>
      <c r="M30" s="1061">
        <f>-PGL_Supplies!AB7/1000</f>
        <v>-32.668999999999997</v>
      </c>
      <c r="N30" s="1162"/>
      <c r="O30" s="1222">
        <f>-PGL_Supplies!AB7/1000</f>
        <v>-32.668999999999997</v>
      </c>
    </row>
    <row r="31" spans="1:15" ht="16.5" thickBot="1">
      <c r="A31" s="365" t="s">
        <v>459</v>
      </c>
      <c r="B31" s="966">
        <f>PGL_Supplies!D7/1000</f>
        <v>3.2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208.994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219.69399999999999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209.494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10.199999999999999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045">
        <f>PGL_Requirements!J7/1000</f>
        <v>0.32800000000000001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220.02199999999999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4">
        <f>Weather_Input!A5</f>
        <v>37069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76.8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87</v>
      </c>
      <c r="C4" s="750">
        <f>Weather_Input!C5</f>
        <v>66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37.5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29.135999999999999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8.3640000000000008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29.135999999999999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-29.135999999999999</v>
      </c>
      <c r="D25" s="710"/>
      <c r="E25" s="703">
        <f>-NSG_Supplies!Q7/1000</f>
        <v>-29.135999999999999</v>
      </c>
      <c r="F25" s="710"/>
      <c r="G25" s="703">
        <f>-NSG_Supplies!Q7/1000</f>
        <v>-29.135999999999999</v>
      </c>
      <c r="H25" s="709"/>
      <c r="I25" s="766">
        <f>-NSG_Supplies!Q7/1000</f>
        <v>-29.135999999999999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3.55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8.3640000000000008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87</v>
      </c>
      <c r="C5" s="261">
        <f>Weather_Input!C5</f>
        <v>66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210</v>
      </c>
      <c r="C8" s="269">
        <f>NSG_Deliveries!C5/1000</f>
        <v>37.5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119.892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-15.203000000000003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7.28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37.5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2.0249999999999999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37.5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-32.668999999999997</v>
      </c>
      <c r="C32" s="310">
        <f>-NSG_Supplies!Q7/1000</f>
        <v>-29.135999999999999</v>
      </c>
      <c r="D32" s="310">
        <f>B32</f>
        <v>-32.668999999999997</v>
      </c>
      <c r="E32" s="310">
        <f>C32</f>
        <v>-29.135999999999999</v>
      </c>
      <c r="F32" s="310">
        <f>B32</f>
        <v>-32.668999999999997</v>
      </c>
      <c r="G32" s="310">
        <f>C32</f>
        <v>-29.135999999999999</v>
      </c>
      <c r="H32" s="315">
        <f>B32</f>
        <v>-32.668999999999997</v>
      </c>
      <c r="I32" s="316">
        <f>C32</f>
        <v>-29.135999999999999</v>
      </c>
    </row>
    <row r="33" spans="1:9" ht="17.100000000000001" customHeight="1">
      <c r="A33" s="314" t="s">
        <v>371</v>
      </c>
      <c r="B33" s="310">
        <f>-PGL_Supplies!W7/1000</f>
        <v>-0.6</v>
      </c>
      <c r="C33" s="310">
        <f>-NSG_Supplies!R7/1000</f>
        <v>-17.175000000000001</v>
      </c>
      <c r="D33" s="310">
        <f>B33</f>
        <v>-0.6</v>
      </c>
      <c r="E33" s="310">
        <f>C33</f>
        <v>-17.175000000000001</v>
      </c>
      <c r="F33" s="310">
        <f>B33</f>
        <v>-0.6</v>
      </c>
      <c r="G33" s="310">
        <f>C33</f>
        <v>-17.175000000000001</v>
      </c>
      <c r="H33" s="315">
        <f>B33</f>
        <v>-0.6</v>
      </c>
      <c r="I33" s="316">
        <f>C33</f>
        <v>-17.175000000000001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23.7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2.0249999999999999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2.0249999999999999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119.892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119.892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98.796999999999997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21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-15.203000000000003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37069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119.892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119.797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7.28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-0.6</v>
      </c>
      <c r="C123" s="310">
        <f>-NSG_Supplies!R7/1000</f>
        <v>-17.175000000000001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23.7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119.892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119.892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2.0249999999999999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17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98.796999999999997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119.797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37070.143745717593</v>
      </c>
      <c r="F22" s="161" t="s">
        <v>257</v>
      </c>
      <c r="G22" s="188">
        <f ca="1">NOW()</f>
        <v>37070.143745717593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37069</v>
      </c>
      <c r="C5" s="15"/>
      <c r="D5" s="22" t="s">
        <v>275</v>
      </c>
      <c r="E5" s="23">
        <f>Weather_Input!B5</f>
        <v>87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66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 MOSTLY  SUNNY  WIND   SE   5  TO   10 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TONIGHT…FAIR    WITH  LIGHT  VARIABLE  WINDS. 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37070</v>
      </c>
      <c r="C10" s="15"/>
      <c r="D10" s="150" t="s">
        <v>275</v>
      </c>
      <c r="E10" s="23">
        <f>Weather_Input!B6</f>
        <v>87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67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 xml:space="preserve">    MOSTLY  SUNNY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37071</v>
      </c>
      <c r="C15" s="15"/>
      <c r="D15" s="22" t="s">
        <v>275</v>
      </c>
      <c r="E15" s="23">
        <f>Weather_Input!B7</f>
        <v>87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88</v>
      </c>
      <c r="H16" s="30" t="s">
        <v>279</v>
      </c>
      <c r="I16" s="27">
        <f ca="1">G16-(VLOOKUP(B15,DD_Normal_Data,CELL("Col",C17),FALSE))</f>
        <v>42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77.5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 xml:space="preserve">    PARTLY   CLOUDY    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37072</v>
      </c>
      <c r="C20" s="15"/>
      <c r="D20" s="22" t="s">
        <v>275</v>
      </c>
      <c r="E20" s="23">
        <f>Weather_Input!B8</f>
        <v>85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65</v>
      </c>
      <c r="F21" s="24" t="s">
        <v>278</v>
      </c>
      <c r="G21" s="25">
        <f>IF(DAY(B20)=1,G20,G16+G20)</f>
        <v>88</v>
      </c>
      <c r="H21" s="30" t="s">
        <v>279</v>
      </c>
      <c r="I21" s="27">
        <f ca="1">G21-(VLOOKUP(B20,DD_Normal_Data,CELL("Col",C22),FALSE))</f>
        <v>42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75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 xml:space="preserve">    PARTLY   CLOUDY    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37073</v>
      </c>
      <c r="C25" s="15"/>
      <c r="D25" s="22" t="s">
        <v>275</v>
      </c>
      <c r="E25" s="23">
        <f>Weather_Input!B9</f>
        <v>81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59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 xml:space="preserve">    PARTLY   CLOUDY    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37074</v>
      </c>
      <c r="C30" s="15"/>
      <c r="D30" s="22" t="s">
        <v>275</v>
      </c>
      <c r="E30" s="23">
        <f>Weather_Input!B10</f>
        <v>81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59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70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 xml:space="preserve">    PARTLY   CLOUDY    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37069</v>
      </c>
      <c r="C36" s="89">
        <f>B10</f>
        <v>37070</v>
      </c>
      <c r="D36" s="89">
        <f>B15</f>
        <v>37071</v>
      </c>
      <c r="E36" s="89">
        <f xml:space="preserve">       B20</f>
        <v>37072</v>
      </c>
      <c r="F36" s="89">
        <f>B25</f>
        <v>37073</v>
      </c>
      <c r="G36" s="89">
        <f>B30</f>
        <v>37074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388.96299999999997</v>
      </c>
      <c r="C38" s="41">
        <f>PGL_6_Day_Report!E25</f>
        <v>360.85449999999997</v>
      </c>
      <c r="D38" s="41">
        <f>PGL_6_Day_Report!F25</f>
        <v>336.45499999999998</v>
      </c>
      <c r="E38" s="41">
        <f>PGL_6_Day_Report!G25</f>
        <v>321.45499999999998</v>
      </c>
      <c r="F38" s="41">
        <f>PGL_6_Day_Report!H25</f>
        <v>336.45499999999998</v>
      </c>
      <c r="G38" s="41">
        <f>PGL_6_Day_Report!I25</f>
        <v>351.45499999999998</v>
      </c>
      <c r="H38" s="14"/>
      <c r="I38" s="15"/>
    </row>
    <row r="39" spans="1:9" ht="15">
      <c r="A39" s="42" t="s">
        <v>104</v>
      </c>
      <c r="B39" s="41">
        <f>SUM(PGL_Supplies!Y7:AD7)/1000</f>
        <v>245.863</v>
      </c>
      <c r="C39" s="41">
        <f>SUM(PGL_Supplies!Y8:AD8)/1000</f>
        <v>234.57599999999999</v>
      </c>
      <c r="D39" s="41">
        <f>SUM(PGL_Supplies!Y9:AD9)/1000</f>
        <v>234.57599999999999</v>
      </c>
      <c r="E39" s="41">
        <f>SUM(PGL_Supplies!Y10:AD10)/1000</f>
        <v>234.57599999999999</v>
      </c>
      <c r="F39" s="41">
        <f>SUM(PGL_Supplies!Y11:AD11)/1000</f>
        <v>234.57599999999999</v>
      </c>
      <c r="G39" s="41">
        <f>SUM(PGL_Supplies!Y12:AD12)/1000</f>
        <v>234.57599999999999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0.43</v>
      </c>
      <c r="C41" s="41">
        <f>SUM(PGL_Requirements!Q7:T7)/1000</f>
        <v>0.43</v>
      </c>
      <c r="D41" s="41">
        <f>SUM(PGL_Requirements!Q7:T7)/1000</f>
        <v>0.43</v>
      </c>
      <c r="E41" s="41">
        <f>SUM(PGL_Requirements!Q7:T7)/1000</f>
        <v>0.43</v>
      </c>
      <c r="F41" s="41">
        <f>SUM(PGL_Requirements!Q7:T7)/1000</f>
        <v>0.43</v>
      </c>
      <c r="G41" s="41">
        <f>SUM(PGL_Requirements!Q7:T7)/1000</f>
        <v>0.43</v>
      </c>
      <c r="H41" s="14"/>
      <c r="I41" s="15"/>
    </row>
    <row r="42" spans="1:9" ht="15">
      <c r="A42" s="15" t="s">
        <v>127</v>
      </c>
      <c r="B42" s="41">
        <f>PGL_Supplies!U7/1000</f>
        <v>119.892</v>
      </c>
      <c r="C42" s="41">
        <f>PGL_Supplies!U8/1000</f>
        <v>131.11600000000001</v>
      </c>
      <c r="D42" s="41">
        <f>PGL_Supplies!U9/1000</f>
        <v>131.11600000000001</v>
      </c>
      <c r="E42" s="41">
        <f>PGL_Supplies!U10/1000</f>
        <v>131.11600000000001</v>
      </c>
      <c r="F42" s="41">
        <f>PGL_Supplies!U11/1000</f>
        <v>131.11600000000001</v>
      </c>
      <c r="G42" s="41">
        <f>PGL_Supplies!U12/1000</f>
        <v>131.11600000000001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37069</v>
      </c>
      <c r="C44" s="89">
        <f t="shared" si="0"/>
        <v>37070</v>
      </c>
      <c r="D44" s="89">
        <f t="shared" si="0"/>
        <v>37071</v>
      </c>
      <c r="E44" s="89">
        <f t="shared" si="0"/>
        <v>37072</v>
      </c>
      <c r="F44" s="89">
        <f t="shared" si="0"/>
        <v>37073</v>
      </c>
      <c r="G44" s="89">
        <f t="shared" si="0"/>
        <v>37074</v>
      </c>
      <c r="H44" s="14"/>
      <c r="I44" s="15"/>
    </row>
    <row r="45" spans="1:9" ht="15">
      <c r="A45" s="15" t="s">
        <v>54</v>
      </c>
      <c r="B45" s="41">
        <f ca="1">NSG_6_Day_Report!D6</f>
        <v>37.5</v>
      </c>
      <c r="C45" s="41">
        <f ca="1">NSG_6_Day_Report!E6</f>
        <v>37</v>
      </c>
      <c r="D45" s="41">
        <f ca="1">NSG_6_Day_Report!F6</f>
        <v>34</v>
      </c>
      <c r="E45" s="41">
        <f ca="1">NSG_6_Day_Report!G6</f>
        <v>33</v>
      </c>
      <c r="F45" s="41">
        <f ca="1">NSG_6_Day_Report!H6</f>
        <v>35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41.05</v>
      </c>
      <c r="C46" s="41">
        <f ca="1">NSG_6_Day_Report!E11</f>
        <v>37</v>
      </c>
      <c r="D46" s="41">
        <f ca="1">NSG_6_Day_Report!F11</f>
        <v>34</v>
      </c>
      <c r="E46" s="41">
        <f ca="1">NSG_6_Day_Report!G11</f>
        <v>33</v>
      </c>
      <c r="F46" s="41">
        <f ca="1">NSG_6_Day_Report!H11</f>
        <v>35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41.05</v>
      </c>
      <c r="C47" s="41">
        <f>SUM(NSG_Supplies!O8:Q8)/1000</f>
        <v>44.173000000000002</v>
      </c>
      <c r="D47" s="41">
        <f>SUM(NSG_Supplies!O9:Q9)/1000</f>
        <v>44.173000000000002</v>
      </c>
      <c r="E47" s="41">
        <f>SUM(NSG_Supplies!O10:Q10)/1000</f>
        <v>44.173000000000002</v>
      </c>
      <c r="F47" s="41">
        <f>SUM(NSG_Supplies!O11:Q11)/1000</f>
        <v>44.173000000000002</v>
      </c>
      <c r="G47" s="41">
        <f>SUM(NSG_Supplies!O12:Q12)/1000</f>
        <v>44.173000000000002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17.175000000000001</v>
      </c>
      <c r="C50" s="41">
        <f>NSG_Supplies!R8/1000</f>
        <v>17.262</v>
      </c>
      <c r="D50" s="41">
        <f>NSG_Supplies!R9/1000</f>
        <v>17.262</v>
      </c>
      <c r="E50" s="41">
        <f>NSG_Supplies!R10/1000</f>
        <v>17.262</v>
      </c>
      <c r="F50" s="41">
        <f>NSG_Supplies!R11/1000</f>
        <v>17.262</v>
      </c>
      <c r="G50" s="41">
        <f>NSG_Supplies!R12/1000</f>
        <v>17.262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37069</v>
      </c>
      <c r="C52" s="89">
        <f t="shared" si="1"/>
        <v>37070</v>
      </c>
      <c r="D52" s="89">
        <f t="shared" si="1"/>
        <v>37071</v>
      </c>
      <c r="E52" s="89">
        <f t="shared" si="1"/>
        <v>37072</v>
      </c>
      <c r="F52" s="89">
        <f t="shared" si="1"/>
        <v>37073</v>
      </c>
      <c r="G52" s="89">
        <f t="shared" si="1"/>
        <v>37074</v>
      </c>
      <c r="H52" s="14"/>
      <c r="I52" s="15"/>
    </row>
    <row r="53" spans="1:9" ht="15">
      <c r="A53" s="92" t="s">
        <v>290</v>
      </c>
      <c r="B53" s="41">
        <f>PGL_Requirements!O7/1000</f>
        <v>135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37070</v>
      </c>
      <c r="C5" s="1069">
        <f>Weather_Input!A7</f>
        <v>37071</v>
      </c>
      <c r="D5" s="1069">
        <f>Weather_Input!A8</f>
        <v>37072</v>
      </c>
      <c r="E5" s="1069">
        <f>Weather_Input!A9</f>
        <v>37073</v>
      </c>
      <c r="F5" s="1070">
        <f>Weather_Input!A10</f>
        <v>37074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31.637</v>
      </c>
      <c r="C6" s="1071">
        <f>PGL_Supplies!AB9/1000+PGL_Supplies!K9/1000-PGL_Requirements!N9/1000+C15-PGL_Requirements!S9/1000</f>
        <v>31.637</v>
      </c>
      <c r="D6" s="1071">
        <f>PGL_Supplies!AB10/1000+PGL_Supplies!K10/1000-PGL_Requirements!N10/1000+D15-PGL_Requirements!S10/1000</f>
        <v>31.637</v>
      </c>
      <c r="E6" s="1071">
        <f>PGL_Supplies!AB11/1000+PGL_Supplies!K11/1000-PGL_Requirements!N11/1000+E15-PGL_Requirements!S11/1000</f>
        <v>31.637</v>
      </c>
      <c r="F6" s="1072">
        <f>PGL_Supplies!AB12/1000+PGL_Supplies!K12/1000-PGL_Requirements!N12/1000+F15-PGL_Requirements!S12/1000</f>
        <v>31.637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37070</v>
      </c>
      <c r="C22" s="1083">
        <f t="shared" si="0"/>
        <v>37071</v>
      </c>
      <c r="D22" s="1083">
        <f t="shared" si="0"/>
        <v>37072</v>
      </c>
      <c r="E22" s="1083">
        <f t="shared" si="0"/>
        <v>37073</v>
      </c>
      <c r="F22" s="1084">
        <f t="shared" si="0"/>
        <v>37074</v>
      </c>
      <c r="G22" s="98"/>
    </row>
    <row r="23" spans="1:7">
      <c r="A23" s="98" t="s">
        <v>298</v>
      </c>
      <c r="B23" s="1077">
        <f>NSG_Supplies!Q8/1000+NSG_Supplies!F8/1000-NSG_Requirements!H8/1000</f>
        <v>32.259</v>
      </c>
      <c r="C23" s="1077">
        <f>NSG_Supplies!Q9/1000+NSG_Supplies!F9/1000-NSG_Requirements!H9/1000</f>
        <v>32.259</v>
      </c>
      <c r="D23" s="1077">
        <f>NSG_Supplies!Q10/1000+NSG_Supplies!F10/1000-NSG_Requirements!H10/1000</f>
        <v>32.259</v>
      </c>
      <c r="E23" s="1077">
        <f>NSG_Supplies!Q12/1000+NSG_Supplies!F11/1000-NSG_Requirements!H11/1000</f>
        <v>32.259</v>
      </c>
      <c r="F23" s="1072">
        <f>NSG_Supplies!Q12/1000+NSG_Supplies!F12/1000-NSG_Requirements!H12/1000</f>
        <v>32.259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37070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11.914</v>
      </c>
      <c r="D5" s="433"/>
      <c r="E5" s="435">
        <f>AVERAGE(C5/24)</f>
        <v>0.49641666666666667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5.625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200.239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105.45399999999999</v>
      </c>
      <c r="D11" s="778"/>
      <c r="E11" s="1056"/>
      <c r="F11" s="430" t="s">
        <v>356</v>
      </c>
      <c r="G11" s="442">
        <f>G8+G10</f>
        <v>250.239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105.45399999999999</v>
      </c>
      <c r="D14" s="433"/>
      <c r="E14" s="435">
        <f>AVERAGE(C14/24)</f>
        <v>4.3939166666666667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231.44</v>
      </c>
      <c r="H15" s="433" t="s">
        <v>9</v>
      </c>
      <c r="I15" s="435">
        <f>AVERAGE(G15/24)</f>
        <v>9.6433333333333326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18.798999999999999</v>
      </c>
      <c r="H16" s="443" t="s">
        <v>9</v>
      </c>
      <c r="I16" s="435">
        <f>AVERAGE(G16/24)</f>
        <v>0.78329166666666661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-1.5</v>
      </c>
      <c r="H25" s="425"/>
      <c r="I25" s="889">
        <f>AVERAGE(G25/24)</f>
        <v>-6.25E-2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37070</v>
      </c>
      <c r="I1" s="914"/>
      <c r="J1" s="916"/>
      <c r="K1" s="916"/>
    </row>
    <row r="2" spans="1:22" ht="16.5" customHeight="1">
      <c r="A2" s="934" t="s">
        <v>641</v>
      </c>
      <c r="C2" s="982">
        <v>357</v>
      </c>
      <c r="F2" s="983">
        <v>360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11.914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32.259</v>
      </c>
      <c r="I9" s="987"/>
      <c r="K9" s="914" t="s">
        <v>645</v>
      </c>
      <c r="L9" s="936">
        <f>NSG_Deliveries!C6/1000</f>
        <v>37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7.1730000000000018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105.45399999999999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360</v>
      </c>
      <c r="F15" s="988">
        <v>360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520</v>
      </c>
      <c r="D18" s="990"/>
      <c r="E18" s="990"/>
      <c r="F18" s="983">
        <v>794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231.44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0.32800000000000001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-1.5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210</v>
      </c>
      <c r="L26" s="914" t="s">
        <v>645</v>
      </c>
      <c r="M26" s="936">
        <f>NSG_Deliveries!C6/1000</f>
        <v>37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197.595</v>
      </c>
      <c r="L28" s="917" t="s">
        <v>689</v>
      </c>
      <c r="M28" s="942">
        <f>SUM(J2+K17+K19+H11+H9-M26)</f>
        <v>7.1730000000000018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37069</v>
      </c>
      <c r="G29" s="936">
        <f>PGL_Requirements!G7/1000</f>
        <v>20.399999999999999</v>
      </c>
      <c r="H29" s="915"/>
      <c r="J29" s="917" t="s">
        <v>649</v>
      </c>
      <c r="K29" s="936">
        <f>PGL_Supplies!AB8/1000+PGL_Supplies!K8/1000-PGL_Requirements!N8/1000</f>
        <v>31.637</v>
      </c>
    </row>
    <row r="30" spans="1:17" ht="10.5" customHeight="1">
      <c r="A30" s="919"/>
      <c r="B30" s="936"/>
      <c r="C30" s="917"/>
      <c r="D30" s="936"/>
      <c r="F30" s="1041">
        <f>PGL_Requirements!A8</f>
        <v>37070</v>
      </c>
      <c r="G30" s="936">
        <f>PGL_Requirements!G8/1000</f>
        <v>18.798999999999999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19.231999999999999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524</v>
      </c>
      <c r="F38" s="988">
        <v>751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351.39400000000001</v>
      </c>
      <c r="B40" s="930"/>
      <c r="C40" s="929"/>
      <c r="D40" s="930"/>
      <c r="E40" s="930"/>
      <c r="F40" s="998"/>
      <c r="G40" s="998">
        <f>SUM(G30:G35)</f>
        <v>153.79900000000001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197.595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250</v>
      </c>
      <c r="C45" s="1001">
        <v>410</v>
      </c>
      <c r="D45" s="1002">
        <f>SUM(F2+F15)/2</f>
        <v>360</v>
      </c>
      <c r="E45" s="1003"/>
      <c r="F45" s="1004">
        <v>6.7000000000000004E-2</v>
      </c>
      <c r="G45" s="1005">
        <f>(C45-D45)*F45</f>
        <v>3.35</v>
      </c>
      <c r="H45" s="1005">
        <f>(D45-B45)*F45</f>
        <v>7.37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250</v>
      </c>
      <c r="C47" s="1001">
        <v>410</v>
      </c>
      <c r="D47" s="1002">
        <f>SUM(C2+C15)/2</f>
        <v>358.5</v>
      </c>
      <c r="E47" s="1003"/>
      <c r="F47" s="1004">
        <v>0.14099999999999999</v>
      </c>
      <c r="G47" s="1005">
        <f>(C47-D47)*F47</f>
        <v>7.261499999999999</v>
      </c>
      <c r="H47" s="1005">
        <f>(D47-B47)*F47</f>
        <v>15.298499999999999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522</v>
      </c>
      <c r="E48" s="1003"/>
      <c r="F48" s="1004">
        <v>0.161</v>
      </c>
      <c r="G48" s="1005">
        <f>(C48-D48)*F48</f>
        <v>36.707999999999998</v>
      </c>
      <c r="H48" s="1005">
        <f>(D48-B48)*F48</f>
        <v>38.157000000000004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47.319499999999998</v>
      </c>
      <c r="H49" s="1005">
        <f>SUM(H45:H48)</f>
        <v>60.825500000000005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37069</v>
      </c>
      <c r="B5" s="11">
        <v>87</v>
      </c>
      <c r="C5" s="49">
        <v>66</v>
      </c>
      <c r="D5" s="49">
        <v>5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812</v>
      </c>
      <c r="J5" s="894" t="s">
        <v>810</v>
      </c>
      <c r="K5" s="11">
        <v>3</v>
      </c>
      <c r="L5" s="11">
        <v>1</v>
      </c>
      <c r="N5" s="15" t="str">
        <f>I5&amp;" "&amp;I5</f>
        <v xml:space="preserve">    MOSTLY  SUNNY  WIND   SE   5  TO   10   MPH.     MOSTLY  SUNNY  WIND   SE   5  TO   10   MPH.</v>
      </c>
      <c r="AE5" s="15">
        <v>1</v>
      </c>
      <c r="AH5" s="15" t="s">
        <v>32</v>
      </c>
    </row>
    <row r="6" spans="1:34" ht="16.5" customHeight="1">
      <c r="A6" s="86">
        <f>A5+1</f>
        <v>37070</v>
      </c>
      <c r="B6" s="11">
        <v>87</v>
      </c>
      <c r="C6" s="49">
        <v>67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    MOSTLY  SUNNY    </v>
      </c>
      <c r="AE6" s="15">
        <v>1</v>
      </c>
      <c r="AH6" s="15" t="s">
        <v>33</v>
      </c>
    </row>
    <row r="7" spans="1:34" ht="16.5" customHeight="1">
      <c r="A7" s="86">
        <f>A6+1</f>
        <v>37071</v>
      </c>
      <c r="B7" s="11">
        <v>87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  PARTLY   CLOUDY       </v>
      </c>
    </row>
    <row r="8" spans="1:34" ht="16.5" customHeight="1">
      <c r="A8" s="86">
        <f>A7+1</f>
        <v>37072</v>
      </c>
      <c r="B8" s="11">
        <v>85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3</v>
      </c>
      <c r="L8" s="11"/>
      <c r="N8" s="15" t="str">
        <f>I8&amp;" "&amp;J8</f>
        <v xml:space="preserve">    PARTLY   CLOUDY       </v>
      </c>
    </row>
    <row r="9" spans="1:34" ht="16.5" customHeight="1">
      <c r="A9" s="86">
        <f>A8+1</f>
        <v>37073</v>
      </c>
      <c r="B9" s="11">
        <v>81</v>
      </c>
      <c r="C9" s="49">
        <v>59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94" t="s">
        <v>813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    PARTLY   CLOUDY       </v>
      </c>
    </row>
    <row r="10" spans="1:34" ht="16.5" customHeight="1">
      <c r="A10" s="86">
        <f>A9+1</f>
        <v>37074</v>
      </c>
      <c r="B10" s="11">
        <v>81</v>
      </c>
      <c r="C10" s="49">
        <v>59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813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  PARTLY   CLOUDY     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37069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98.796999999999997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0.6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99.396999999999991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23.7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32.668999999999997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135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27.447999999999997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0.32800000000000001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208.994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87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66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5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37069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29.135999999999999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30.768000000000001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37069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108431</v>
      </c>
      <c r="O6" s="201">
        <v>0</v>
      </c>
      <c r="P6" s="201">
        <v>52694893</v>
      </c>
      <c r="Q6" s="201">
        <v>15045098</v>
      </c>
      <c r="R6" s="201">
        <v>37649795</v>
      </c>
      <c r="S6" s="201">
        <v>0</v>
      </c>
    </row>
    <row r="7" spans="1:19">
      <c r="A7" s="4">
        <f>B1</f>
        <v>37069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102797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52797690</v>
      </c>
      <c r="Q7">
        <f>IF(O7&gt;0,Q6+O7,Q6)</f>
        <v>15045098</v>
      </c>
      <c r="R7">
        <f>IF(P7&gt;Q7,P7-Q7,0)</f>
        <v>37752592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37069</v>
      </c>
      <c r="B5" s="1">
        <f>(Weather_Input!B5+Weather_Input!C5)/2</f>
        <v>76.5</v>
      </c>
      <c r="C5" s="895">
        <v>210000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37070</v>
      </c>
      <c r="B6" s="913">
        <f>(Weather_Input!B6+Weather_Input!C6)/2</f>
        <v>77</v>
      </c>
      <c r="C6" s="895">
        <v>210000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37071</v>
      </c>
      <c r="B7" s="913">
        <f>(Weather_Input!B7+Weather_Input!C7)/2</f>
        <v>77.5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37072</v>
      </c>
      <c r="B8" s="913">
        <f>(Weather_Input!B8+Weather_Input!C8)/2</f>
        <v>75</v>
      </c>
      <c r="C8" s="895">
        <v>180000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37073</v>
      </c>
      <c r="B9" s="913">
        <f>(Weather_Input!B9+Weather_Input!C9)/2</f>
        <v>70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37074</v>
      </c>
      <c r="B10" s="913">
        <f>(Weather_Input!B10+Weather_Input!C10)/2</f>
        <v>70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37069</v>
      </c>
      <c r="B5" s="1">
        <f>(Weather_Input!B5+Weather_Input!C5)/2</f>
        <v>76.5</v>
      </c>
      <c r="C5" s="895">
        <v>37500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37070</v>
      </c>
      <c r="B6" s="913">
        <f>(Weather_Input!B6+Weather_Input!C6)/2</f>
        <v>77</v>
      </c>
      <c r="C6" s="895">
        <v>37000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37071</v>
      </c>
      <c r="B7" s="913">
        <f>(Weather_Input!B7+Weather_Input!C7)/2</f>
        <v>77.5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37072</v>
      </c>
      <c r="B8" s="913">
        <f>(Weather_Input!B8+Weather_Input!C8)/2</f>
        <v>75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37073</v>
      </c>
      <c r="B9" s="913">
        <f>(Weather_Input!B9+Weather_Input!C9)/2</f>
        <v>70</v>
      </c>
      <c r="C9" s="895">
        <v>35000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37074</v>
      </c>
      <c r="B10" s="913">
        <f>(Weather_Input!B10+Weather_Input!C10)/2</f>
        <v>70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37069</v>
      </c>
      <c r="B7" s="904">
        <v>0</v>
      </c>
      <c r="C7" s="620">
        <v>0</v>
      </c>
      <c r="D7" s="620">
        <v>0</v>
      </c>
      <c r="E7" s="904">
        <v>0</v>
      </c>
      <c r="F7" s="904">
        <v>7280</v>
      </c>
      <c r="G7" s="906">
        <v>20400</v>
      </c>
      <c r="H7" s="619">
        <v>0</v>
      </c>
      <c r="I7" s="619">
        <v>0</v>
      </c>
      <c r="J7" s="620">
        <v>328</v>
      </c>
      <c r="K7" s="619">
        <v>0</v>
      </c>
      <c r="L7" s="620">
        <v>0</v>
      </c>
      <c r="M7" s="620">
        <v>0</v>
      </c>
      <c r="N7" s="621">
        <v>23700</v>
      </c>
      <c r="O7" s="620">
        <v>135000</v>
      </c>
      <c r="P7" s="622">
        <f t="shared" ref="P7:P12" si="0">O7*0.015</f>
        <v>2025</v>
      </c>
      <c r="Q7" s="620">
        <v>230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37070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18799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230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37071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230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37072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230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37073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230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37074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230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37069</v>
      </c>
      <c r="B7" s="622">
        <v>0</v>
      </c>
      <c r="C7" s="622">
        <v>0</v>
      </c>
      <c r="D7" s="622">
        <v>3200</v>
      </c>
      <c r="E7" s="622">
        <v>0</v>
      </c>
      <c r="F7" s="904">
        <v>17000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119892</v>
      </c>
      <c r="V7" s="621">
        <v>0</v>
      </c>
      <c r="W7" s="619">
        <v>600</v>
      </c>
      <c r="X7" s="907">
        <v>98797</v>
      </c>
      <c r="Y7" s="621">
        <v>200</v>
      </c>
      <c r="Z7" s="1">
        <v>0</v>
      </c>
      <c r="AA7" s="619">
        <v>208994</v>
      </c>
      <c r="AB7" s="619">
        <v>32669</v>
      </c>
      <c r="AC7" s="619">
        <v>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37070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50000</v>
      </c>
      <c r="T8" s="620">
        <v>0</v>
      </c>
      <c r="U8" s="621">
        <v>131116</v>
      </c>
      <c r="V8" s="621">
        <v>0</v>
      </c>
      <c r="W8" s="619">
        <v>0</v>
      </c>
      <c r="X8" s="907">
        <v>105454</v>
      </c>
      <c r="Y8" s="621">
        <v>200</v>
      </c>
      <c r="Z8" s="1">
        <v>0</v>
      </c>
      <c r="AA8" s="619">
        <v>200239</v>
      </c>
      <c r="AB8" s="619">
        <v>31637</v>
      </c>
      <c r="AC8" s="619">
        <v>2500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131116</v>
      </c>
      <c r="V9" s="621">
        <v>0</v>
      </c>
      <c r="W9" s="619">
        <v>0</v>
      </c>
      <c r="X9" s="907">
        <v>105454</v>
      </c>
      <c r="Y9" s="621">
        <v>200</v>
      </c>
      <c r="Z9" s="1">
        <v>0</v>
      </c>
      <c r="AA9" s="619">
        <v>200239</v>
      </c>
      <c r="AB9" s="619">
        <v>31637</v>
      </c>
      <c r="AC9" s="619">
        <v>2500</v>
      </c>
      <c r="AD9" s="907">
        <v>0</v>
      </c>
      <c r="AE9" s="819">
        <f t="shared" si="0"/>
        <v>3</v>
      </c>
    </row>
    <row r="10" spans="1:36">
      <c r="A10" s="819">
        <f>A9+1</f>
        <v>37072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131116</v>
      </c>
      <c r="V10" s="621">
        <v>0</v>
      </c>
      <c r="W10" s="619">
        <v>0</v>
      </c>
      <c r="X10" s="907">
        <v>105454</v>
      </c>
      <c r="Y10" s="621">
        <v>200</v>
      </c>
      <c r="Z10" s="1">
        <v>0</v>
      </c>
      <c r="AA10" s="619">
        <v>200239</v>
      </c>
      <c r="AB10" s="619">
        <v>31637</v>
      </c>
      <c r="AC10" s="619">
        <v>2500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131116</v>
      </c>
      <c r="V11" s="621">
        <v>0</v>
      </c>
      <c r="W11" s="619">
        <v>0</v>
      </c>
      <c r="X11" s="907">
        <v>105454</v>
      </c>
      <c r="Y11" s="621">
        <v>200</v>
      </c>
      <c r="Z11" s="1">
        <v>0</v>
      </c>
      <c r="AA11" s="619">
        <v>200239</v>
      </c>
      <c r="AB11" s="619">
        <v>31637</v>
      </c>
      <c r="AC11" s="619">
        <v>2500</v>
      </c>
      <c r="AD11" s="907">
        <v>0</v>
      </c>
      <c r="AE11" s="819">
        <f t="shared" si="0"/>
        <v>5</v>
      </c>
    </row>
    <row r="12" spans="1:36">
      <c r="A12" s="819">
        <f>A11+1</f>
        <v>37074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131116</v>
      </c>
      <c r="V12" s="621">
        <v>0</v>
      </c>
      <c r="W12" s="619">
        <v>0</v>
      </c>
      <c r="X12" s="907">
        <v>105454</v>
      </c>
      <c r="Y12" s="621">
        <v>200</v>
      </c>
      <c r="Z12" s="1">
        <v>0</v>
      </c>
      <c r="AA12" s="619">
        <v>200239</v>
      </c>
      <c r="AB12" s="619">
        <v>31637</v>
      </c>
      <c r="AC12" s="619">
        <v>2500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37069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3550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37069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37070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37070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37071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37071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37072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37072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37073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37073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37074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37074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37069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29136</v>
      </c>
      <c r="R7" s="622">
        <v>17175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32259</v>
      </c>
      <c r="R8" s="622">
        <v>17262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11914</v>
      </c>
      <c r="Q9" s="622">
        <v>32259</v>
      </c>
      <c r="R9" s="622">
        <v>17262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11914</v>
      </c>
      <c r="Q10" s="622">
        <v>32259</v>
      </c>
      <c r="R10" s="622">
        <v>17262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11914</v>
      </c>
      <c r="Q11" s="622">
        <v>32259</v>
      </c>
      <c r="R11" s="622">
        <v>17262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11914</v>
      </c>
      <c r="Q12" s="622">
        <v>32259</v>
      </c>
      <c r="R12" s="622">
        <v>17262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7" zoomScale="75" workbookViewId="0">
      <selection activeCell="D54" sqref="D54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37069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95" customHeight="1" thickBot="1">
      <c r="A4" s="831"/>
      <c r="B4" s="832"/>
      <c r="C4" s="832"/>
      <c r="D4" s="461">
        <f>Weather_Input!A5</f>
        <v>37069</v>
      </c>
      <c r="E4" s="461">
        <f>Weather_Input!A6</f>
        <v>37070</v>
      </c>
      <c r="F4" s="461">
        <f>Weather_Input!A7</f>
        <v>37071</v>
      </c>
      <c r="G4" s="461">
        <f>Weather_Input!A8</f>
        <v>37072</v>
      </c>
      <c r="H4" s="461">
        <f>Weather_Input!A9</f>
        <v>37073</v>
      </c>
      <c r="I4" s="462">
        <f>Weather_Input!A10</f>
        <v>37074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87/66/77</v>
      </c>
      <c r="E5" s="463" t="str">
        <f>TEXT(Weather_Input!B6,"0")&amp;"/"&amp;TEXT(Weather_Input!C6,"0") &amp; "/" &amp; TEXT((Weather_Input!B6+Weather_Input!C6)/2,"0")</f>
        <v>87/67/77</v>
      </c>
      <c r="F5" s="463" t="str">
        <f>TEXT(Weather_Input!B7,"0")&amp;"/"&amp;TEXT(Weather_Input!C7,"0") &amp; "/" &amp; TEXT((Weather_Input!B7+Weather_Input!C7)/2,"0")</f>
        <v>87/68/78</v>
      </c>
      <c r="G5" s="463" t="str">
        <f>TEXT(Weather_Input!B8,"0")&amp;"/"&amp;TEXT(Weather_Input!C8,"0") &amp; "/" &amp; TEXT((Weather_Input!B8+Weather_Input!C8)/2,"0")</f>
        <v>85/65/75</v>
      </c>
      <c r="H5" s="463" t="str">
        <f>TEXT(Weather_Input!B9,"0")&amp;"/"&amp;TEXT(Weather_Input!C9,"0") &amp; "/" &amp; TEXT((Weather_Input!B9+Weather_Input!C9)/2,"0")</f>
        <v>81/59/70</v>
      </c>
      <c r="I5" s="464" t="str">
        <f>TEXT(Weather_Input!B10,"0")&amp;"/"&amp;TEXT(Weather_Input!C10,"0") &amp; "/" &amp; TEXT((Weather_Input!B10+Weather_Input!C10)/2,"0")</f>
        <v>81/59/70</v>
      </c>
    </row>
    <row r="6" spans="1:256" ht="18.95" customHeight="1">
      <c r="A6" s="838" t="s">
        <v>134</v>
      </c>
      <c r="B6" s="826"/>
      <c r="C6" s="826"/>
      <c r="D6" s="463">
        <f>PGL_Deliveries!C5/1000</f>
        <v>210</v>
      </c>
      <c r="E6" s="463">
        <f>PGL_Deliveries!C6/1000</f>
        <v>210</v>
      </c>
      <c r="F6" s="463">
        <f>PGL_Deliveries!C7/1000</f>
        <v>195</v>
      </c>
      <c r="G6" s="463">
        <f>PGL_Deliveries!C8/1000</f>
        <v>180</v>
      </c>
      <c r="H6" s="463">
        <f>PGL_Deliveries!C9/1000</f>
        <v>195</v>
      </c>
      <c r="I6" s="464">
        <f>PGL_Deliveries!C10/1000</f>
        <v>210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10.199999999999999</v>
      </c>
      <c r="E7" s="463">
        <f>PGL_Requirements!G8/1000*0.5</f>
        <v>9.3994999999999997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775</v>
      </c>
      <c r="B8" s="826"/>
      <c r="C8" s="826"/>
      <c r="D8" s="463">
        <f>PGL_Requirements!J7/1000</f>
        <v>0.32800000000000001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135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95" customHeight="1">
      <c r="A12" s="835"/>
      <c r="B12" s="826"/>
      <c r="C12" s="826" t="s">
        <v>97</v>
      </c>
      <c r="D12" s="463">
        <f>PGL_Requirements!P7/1000</f>
        <v>2.0249999999999999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95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778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23.7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7.28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388.96299999999997</v>
      </c>
      <c r="E25" s="467">
        <f t="shared" si="1"/>
        <v>360.85449999999997</v>
      </c>
      <c r="F25" s="467">
        <f t="shared" si="1"/>
        <v>336.45499999999998</v>
      </c>
      <c r="G25" s="467">
        <f t="shared" si="1"/>
        <v>321.45499999999998</v>
      </c>
      <c r="H25" s="467">
        <f t="shared" si="1"/>
        <v>336.45499999999998</v>
      </c>
      <c r="I25" s="1099">
        <f t="shared" si="1"/>
        <v>351.45499999999998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98.796999999999997</v>
      </c>
      <c r="E37" s="463">
        <f>PGL_Supplies!X8/1000</f>
        <v>105.45399999999999</v>
      </c>
      <c r="F37" s="463">
        <f>PGL_Supplies!X9/1000</f>
        <v>105.45399999999999</v>
      </c>
      <c r="G37" s="463">
        <f>PGL_Supplies!X10/1000</f>
        <v>105.45399999999999</v>
      </c>
      <c r="H37" s="463">
        <f>PGL_Supplies!X11/1000</f>
        <v>105.45399999999999</v>
      </c>
      <c r="I37" s="464">
        <f>PGL_Supplies!X12/1000</f>
        <v>105.45399999999999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208.994</v>
      </c>
      <c r="E40" s="463">
        <f>PGL_Supplies!AA8/1000</f>
        <v>200.239</v>
      </c>
      <c r="F40" s="463">
        <f>PGL_Supplies!AA9/1000</f>
        <v>200.239</v>
      </c>
      <c r="G40" s="463">
        <f>PGL_Supplies!AA10/1000</f>
        <v>200.239</v>
      </c>
      <c r="H40" s="463">
        <f>PGL_Supplies!AA11/1000</f>
        <v>200.239</v>
      </c>
      <c r="I40" s="464">
        <f>PGL_Supplies!AA12/1000</f>
        <v>200.239</v>
      </c>
    </row>
    <row r="41" spans="1:10" ht="18.95" customHeight="1">
      <c r="A41" s="838"/>
      <c r="B41" s="826" t="s">
        <v>135</v>
      </c>
      <c r="C41" s="826"/>
      <c r="D41" s="463">
        <f>PGL_Supplies!AB7/1000</f>
        <v>32.668999999999997</v>
      </c>
      <c r="E41" s="463">
        <f>PGL_Supplies!AB8/1000</f>
        <v>31.637</v>
      </c>
      <c r="F41" s="463">
        <f>PGL_Supplies!AB9/1000</f>
        <v>31.637</v>
      </c>
      <c r="G41" s="463">
        <f>PGL_Supplies!AB10/1000</f>
        <v>31.637</v>
      </c>
      <c r="H41" s="463">
        <f>PGL_Supplies!AB11/1000</f>
        <v>31.637</v>
      </c>
      <c r="I41" s="464">
        <f>PGL_Supplies!AB12/1000</f>
        <v>31.637</v>
      </c>
    </row>
    <row r="42" spans="1:10" ht="18.95" customHeight="1">
      <c r="A42" s="838"/>
      <c r="B42" s="826" t="s">
        <v>136</v>
      </c>
      <c r="C42" s="826"/>
      <c r="D42" s="463">
        <f>PGL_Supplies!AC7/1000</f>
        <v>4</v>
      </c>
      <c r="E42" s="463">
        <f>PGL_Supplies!AC8/1000</f>
        <v>2.5</v>
      </c>
      <c r="F42" s="463">
        <f>PGL_Supplies!AC9/1000</f>
        <v>2.5</v>
      </c>
      <c r="G42" s="463">
        <f>PGL_Supplies!AC10/1000</f>
        <v>2.5</v>
      </c>
      <c r="H42" s="463">
        <f>PGL_Supplies!AC11/1000</f>
        <v>2.5</v>
      </c>
      <c r="I42" s="464">
        <f>PGL_Supplies!AC12/1000</f>
        <v>2.5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0.6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3.2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17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388.96</v>
      </c>
      <c r="E50" s="473">
        <f t="shared" si="2"/>
        <v>381.03000000000003</v>
      </c>
      <c r="F50" s="473">
        <f t="shared" si="2"/>
        <v>356.03000000000003</v>
      </c>
      <c r="G50" s="473">
        <f t="shared" si="2"/>
        <v>356.03000000000003</v>
      </c>
      <c r="H50" s="473">
        <f t="shared" si="2"/>
        <v>356.03000000000003</v>
      </c>
      <c r="I50" s="1101">
        <f t="shared" si="2"/>
        <v>356.03000000000003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20.175500000000056</v>
      </c>
      <c r="F51" s="474">
        <f t="shared" si="3"/>
        <v>19.575000000000045</v>
      </c>
      <c r="G51" s="474">
        <f t="shared" si="3"/>
        <v>34.575000000000045</v>
      </c>
      <c r="H51" s="474">
        <f t="shared" si="3"/>
        <v>19.575000000000045</v>
      </c>
      <c r="I51" s="1102">
        <f t="shared" si="3"/>
        <v>4.5750000000000455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2.9999999999859028E-3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119.892</v>
      </c>
      <c r="E53" s="1092">
        <f>PGL_Supplies!U8/1000</f>
        <v>131.11600000000001</v>
      </c>
      <c r="F53" s="1092">
        <f>PGL_Supplies!U9/1000</f>
        <v>131.11600000000001</v>
      </c>
      <c r="G53" s="1092">
        <f>PGL_Supplies!U10/1000</f>
        <v>131.11600000000001</v>
      </c>
      <c r="H53" s="1092">
        <f>PGL_Supplies!U11/1000</f>
        <v>131.11600000000001</v>
      </c>
      <c r="I53" s="1093">
        <f>PGL_Supplies!U12/1000</f>
        <v>131.11600000000001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2001-06-27T19:55:18Z</cp:lastPrinted>
  <dcterms:created xsi:type="dcterms:W3CDTF">1997-07-16T16:14:22Z</dcterms:created>
  <dcterms:modified xsi:type="dcterms:W3CDTF">2023-09-10T17:11:02Z</dcterms:modified>
</cp:coreProperties>
</file>