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8B60F6-1C3D-4DE7-8A05-77636EFC3E55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G2" i="9"/>
  <c r="AH2" i="9"/>
  <c r="AJ2" i="9"/>
  <c r="AK2" i="9"/>
  <c r="K3" i="9"/>
  <c r="L3" i="9"/>
  <c r="P3" i="9"/>
  <c r="T3" i="9"/>
  <c r="Z3" i="9"/>
  <c r="AG3" i="9"/>
  <c r="AH3" i="9"/>
  <c r="AJ3" i="9"/>
  <c r="AK3" i="9"/>
  <c r="D4" i="9"/>
  <c r="M4" i="9"/>
  <c r="Z4" i="9"/>
  <c r="AG4" i="9"/>
  <c r="AH4" i="9"/>
  <c r="AJ4" i="9"/>
  <c r="AK4" i="9"/>
  <c r="L5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X17" i="9"/>
  <c r="Z17" i="9"/>
  <c r="AG17" i="9"/>
  <c r="AH17" i="9"/>
  <c r="AJ17" i="9"/>
  <c r="AK17" i="9"/>
  <c r="Z18" i="9"/>
  <c r="AG18" i="9"/>
  <c r="AH18" i="9"/>
  <c r="AJ18" i="9"/>
  <c r="AK18" i="9"/>
  <c r="Z19" i="9"/>
  <c r="AG19" i="9"/>
  <c r="AH19" i="9"/>
  <c r="AJ19" i="9"/>
  <c r="AK19" i="9"/>
  <c r="X20" i="9"/>
  <c r="Z20" i="9"/>
  <c r="AG20" i="9"/>
  <c r="AJ20" i="9"/>
  <c r="Z21" i="9"/>
  <c r="AG21" i="9"/>
  <c r="AJ21" i="9"/>
  <c r="Z22" i="9"/>
  <c r="AG22" i="9"/>
  <c r="AJ22" i="9"/>
  <c r="Z23" i="9"/>
  <c r="AG23" i="9"/>
  <c r="AJ23" i="9"/>
  <c r="Z24" i="9"/>
  <c r="AG24" i="9"/>
  <c r="AJ24" i="9"/>
  <c r="Z25" i="9"/>
  <c r="AJ25" i="9"/>
  <c r="Z26" i="9"/>
  <c r="AJ26" i="9"/>
  <c r="C27" i="9"/>
  <c r="Z27" i="9"/>
  <c r="AJ27" i="9"/>
  <c r="B28" i="9"/>
  <c r="Z28" i="9"/>
  <c r="AJ28" i="9"/>
  <c r="E29" i="9"/>
  <c r="Z29" i="9"/>
  <c r="AJ29" i="9"/>
  <c r="Z30" i="9"/>
  <c r="AJ30" i="9"/>
  <c r="Z31" i="9"/>
  <c r="AJ31" i="9"/>
  <c r="B42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<sst xmlns="http://schemas.openxmlformats.org/spreadsheetml/2006/main" count="279" uniqueCount="74">
  <si>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</si>
  <si>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</si>
  <si>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</si>
  <si>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</si>
  <si>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</si>
  <si>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</si>
  <si>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</si>
  <si>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</si>
  <si>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</si>
  <si>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</si>
  <si>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</si>
  <si>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</si>
  <si>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</si>
  <si>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</si>
  <si>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</si>
  <si>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</si>
  <si>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</si>
  <si>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</si>
  <si>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</si>
  <si>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</si>
  <si>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</si>
  <si>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</si>
  <si>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</si>
  <si>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</si>
  <si>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</si>
  <si>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</si>
  <si>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</si>
  <si>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</si>
  <si>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</si>
  <si>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</si>
  <si>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</si>
  <si>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</si>
  <si>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</si>
  <si>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</si>
  <si>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</si>
  <si>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</si>
  <si>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</si>
  <si>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</si>
  <si>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</si>
  <si>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</si>
  <si>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</si>
  <si>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</si>
  <si>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</si>
  <si>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</si>
  <si>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</si>
  <si>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</si>
  <si>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</si>
  <si>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</si>
  <si>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</si>
  <si>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</si>
  <si>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</si>
  <si>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</si>
  <si>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</si>
  <si>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</si>
  <si>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</si>
  <si>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</si>
  <si>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</si>
  <si>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</si>
  <si>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</si>
  <si>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</si>
  <si>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</si>
  <si>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</si>
  <si>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</si>
  <si>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</si>
  <si>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</si>
  <si>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</si>
  <si>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</si>
  <si>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</si>
  <si>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</si>
  <si>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</si>
  <si>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</si>
  <si>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</si>
  <si>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SOUTH TX CALL</t>
  </si>
  <si>
    <t>ANR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</si>
</sst>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6-426B-9E18-A9E24E65BF5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6-426B-9E18-A9E24E65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1920"/>
        <c:axId val="1"/>
      </c:lineChart>
      <c:catAx>
        <c:axId val="115381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819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D6-4DCE-953D-5742964E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8880"/>
        <c:axId val="1"/>
      </c:lineChart>
      <c:catAx>
        <c:axId val="1190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588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83-4640-B104-1298F9FA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1664"/>
        <c:axId val="1"/>
      </c:lineChart>
      <c:catAx>
        <c:axId val="1190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616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D1-4FF5-BED8-95A22708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4448"/>
        <c:axId val="1"/>
      </c:lineChart>
      <c:catAx>
        <c:axId val="11906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64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5-4F2E-B92A-83B3E7F7089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5-4F2E-B92A-83B3E7F7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9344"/>
        <c:axId val="1"/>
      </c:lineChart>
      <c:catAx>
        <c:axId val="119059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593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071-9D91-432B872D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2592"/>
        <c:axId val="1"/>
      </c:lineChart>
      <c:dateAx>
        <c:axId val="119062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625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3-43B4-9385-2E14B2F5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2240"/>
        <c:axId val="1"/>
      </c:lineChart>
      <c:catAx>
        <c:axId val="119582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822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CC-4097-9DDC-4844F3DF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0848"/>
        <c:axId val="1"/>
      </c:lineChart>
      <c:catAx>
        <c:axId val="11958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808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08-4C0C-B4AB-7CD01A84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1776"/>
        <c:axId val="1"/>
      </c:lineChart>
      <c:catAx>
        <c:axId val="11958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81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DD-4AA4-9DA9-030288087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8304"/>
        <c:axId val="1"/>
      </c:lineChart>
      <c:catAx>
        <c:axId val="1200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783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D75-AF2C-58B88FE1386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D75-AF2C-58B88FE1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3664"/>
        <c:axId val="1"/>
      </c:lineChart>
      <c:catAx>
        <c:axId val="120073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7366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2-4F97-B072-B049C728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77280"/>
        <c:axId val="1"/>
      </c:lineChart>
      <c:dateAx>
        <c:axId val="115377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772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5-427C-B828-A0DF261C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5056"/>
        <c:axId val="1"/>
      </c:lineChart>
      <c:dateAx>
        <c:axId val="120075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75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B-46CB-AB79-5A9274BF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4592"/>
        <c:axId val="1"/>
      </c:lineChart>
      <c:catAx>
        <c:axId val="120074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745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22-43E2-9FE3-1AEC10A5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5984"/>
        <c:axId val="1"/>
      </c:lineChart>
      <c:catAx>
        <c:axId val="12007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0759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F-4F3E-929E-12D5B69F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5520"/>
        <c:axId val="1"/>
      </c:lineChart>
      <c:catAx>
        <c:axId val="12054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5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08-4570-B3E5-A29D759E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6448"/>
        <c:axId val="1"/>
      </c:lineChart>
      <c:catAx>
        <c:axId val="12054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6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7-4D6A-B57A-3463FFB8AB7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7-4D6A-B57A-3463FFB8A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4592"/>
        <c:axId val="1"/>
      </c:lineChart>
      <c:catAx>
        <c:axId val="120544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459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CB1-8FF4-45B91DCD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7376"/>
        <c:axId val="1"/>
      </c:lineChart>
      <c:dateAx>
        <c:axId val="120547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73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E-45F1-9066-E6482C3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5056"/>
        <c:axId val="1"/>
      </c:lineChart>
      <c:catAx>
        <c:axId val="120545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50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AF-43EE-BDBC-036A8905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1808"/>
        <c:axId val="1"/>
      </c:lineChart>
      <c:catAx>
        <c:axId val="12054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418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F4-4809-8871-5AC8F898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4448"/>
        <c:axId val="1"/>
      </c:lineChart>
      <c:catAx>
        <c:axId val="12983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34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D-4748-B786-7480A1C4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0064"/>
        <c:axId val="1"/>
      </c:lineChart>
      <c:catAx>
        <c:axId val="115380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800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27-4588-BEE4-100B6171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0736"/>
        <c:axId val="1"/>
      </c:lineChart>
      <c:catAx>
        <c:axId val="12983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307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806000</c:v>
                </c:pt>
                <c:pt idx="1">
                  <c:v>698000</c:v>
                </c:pt>
                <c:pt idx="2">
                  <c:v>874000</c:v>
                </c:pt>
                <c:pt idx="3">
                  <c:v>760000</c:v>
                </c:pt>
                <c:pt idx="4">
                  <c:v>610000</c:v>
                </c:pt>
                <c:pt idx="5">
                  <c:v>500000</c:v>
                </c:pt>
                <c:pt idx="6">
                  <c:v>295000</c:v>
                </c:pt>
                <c:pt idx="7">
                  <c:v>348000</c:v>
                </c:pt>
                <c:pt idx="8">
                  <c:v>435000</c:v>
                </c:pt>
                <c:pt idx="9">
                  <c:v>403000</c:v>
                </c:pt>
                <c:pt idx="10">
                  <c:v>361000</c:v>
                </c:pt>
                <c:pt idx="11">
                  <c:v>614000</c:v>
                </c:pt>
                <c:pt idx="12">
                  <c:v>668000</c:v>
                </c:pt>
                <c:pt idx="13">
                  <c:v>590000</c:v>
                </c:pt>
                <c:pt idx="14">
                  <c:v>634000</c:v>
                </c:pt>
                <c:pt idx="15">
                  <c:v>710000</c:v>
                </c:pt>
                <c:pt idx="16">
                  <c:v>747000</c:v>
                </c:pt>
                <c:pt idx="17">
                  <c:v>745000</c:v>
                </c:pt>
                <c:pt idx="18">
                  <c:v>504000</c:v>
                </c:pt>
                <c:pt idx="19">
                  <c:v>312000</c:v>
                </c:pt>
                <c:pt idx="20">
                  <c:v>276000</c:v>
                </c:pt>
                <c:pt idx="21">
                  <c:v>388000</c:v>
                </c:pt>
                <c:pt idx="22">
                  <c:v>423000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D-468A-9128-6F198D3E023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819107</c:v>
                </c:pt>
                <c:pt idx="1">
                  <c:v>781363</c:v>
                </c:pt>
                <c:pt idx="2">
                  <c:v>893615</c:v>
                </c:pt>
                <c:pt idx="3">
                  <c:v>761806</c:v>
                </c:pt>
                <c:pt idx="4">
                  <c:v>591070</c:v>
                </c:pt>
                <c:pt idx="5">
                  <c:v>590546</c:v>
                </c:pt>
                <c:pt idx="6">
                  <c:v>315134</c:v>
                </c:pt>
                <c:pt idx="7">
                  <c:v>377219</c:v>
                </c:pt>
                <c:pt idx="8">
                  <c:v>566981</c:v>
                </c:pt>
                <c:pt idx="9">
                  <c:v>624348</c:v>
                </c:pt>
                <c:pt idx="10">
                  <c:v>399746</c:v>
                </c:pt>
                <c:pt idx="11">
                  <c:v>605438</c:v>
                </c:pt>
                <c:pt idx="12">
                  <c:v>505682</c:v>
                </c:pt>
                <c:pt idx="13">
                  <c:v>424141</c:v>
                </c:pt>
                <c:pt idx="14">
                  <c:v>593833</c:v>
                </c:pt>
                <c:pt idx="15">
                  <c:v>1004436</c:v>
                </c:pt>
                <c:pt idx="16">
                  <c:v>936301</c:v>
                </c:pt>
                <c:pt idx="17">
                  <c:v>706000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68A-9128-6F198D3E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3520"/>
        <c:axId val="1"/>
      </c:lineChart>
      <c:catAx>
        <c:axId val="12983352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33520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2010</c:v>
                </c:pt>
                <c:pt idx="16">
                  <c:v>0</c:v>
                </c:pt>
                <c:pt idx="17">
                  <c:v>0</c:v>
                </c:pt>
                <c:pt idx="18">
                  <c:v>6344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00D-A5AE-6A730BC6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2592"/>
        <c:axId val="1"/>
      </c:lineChart>
      <c:dateAx>
        <c:axId val="129832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325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301029</c:v>
                </c:pt>
                <c:pt idx="1">
                  <c:v>299604</c:v>
                </c:pt>
                <c:pt idx="2">
                  <c:v>308524</c:v>
                </c:pt>
                <c:pt idx="3">
                  <c:v>290405</c:v>
                </c:pt>
                <c:pt idx="4">
                  <c:v>302078</c:v>
                </c:pt>
                <c:pt idx="5">
                  <c:v>330799</c:v>
                </c:pt>
                <c:pt idx="6">
                  <c:v>213256</c:v>
                </c:pt>
                <c:pt idx="7">
                  <c:v>213256</c:v>
                </c:pt>
                <c:pt idx="8">
                  <c:v>213256</c:v>
                </c:pt>
                <c:pt idx="9">
                  <c:v>197388</c:v>
                </c:pt>
                <c:pt idx="10">
                  <c:v>210920</c:v>
                </c:pt>
                <c:pt idx="11">
                  <c:v>318268</c:v>
                </c:pt>
                <c:pt idx="12">
                  <c:v>324894</c:v>
                </c:pt>
                <c:pt idx="13">
                  <c:v>327964</c:v>
                </c:pt>
                <c:pt idx="14">
                  <c:v>327744</c:v>
                </c:pt>
                <c:pt idx="15">
                  <c:v>321289</c:v>
                </c:pt>
                <c:pt idx="16">
                  <c:v>265714</c:v>
                </c:pt>
                <c:pt idx="17">
                  <c:v>272547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A89-BD9B-8795A0BF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8880"/>
        <c:axId val="1"/>
      </c:lineChart>
      <c:catAx>
        <c:axId val="12982888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288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288516.4192</c:v>
                </c:pt>
                <c:pt idx="1">
                  <c:v>288516.4192</c:v>
                </c:pt>
                <c:pt idx="2">
                  <c:v>288516.4192</c:v>
                </c:pt>
                <c:pt idx="3">
                  <c:v>288516.4192</c:v>
                </c:pt>
                <c:pt idx="4">
                  <c:v>288516.4192</c:v>
                </c:pt>
                <c:pt idx="5">
                  <c:v>288516.4192</c:v>
                </c:pt>
                <c:pt idx="6">
                  <c:v>288516.4192</c:v>
                </c:pt>
                <c:pt idx="7">
                  <c:v>288516.4192</c:v>
                </c:pt>
                <c:pt idx="8">
                  <c:v>288516.4192</c:v>
                </c:pt>
                <c:pt idx="9">
                  <c:v>288516.4192</c:v>
                </c:pt>
                <c:pt idx="10">
                  <c:v>288516.4192</c:v>
                </c:pt>
                <c:pt idx="11">
                  <c:v>288516.4192</c:v>
                </c:pt>
                <c:pt idx="12">
                  <c:v>288516.4192</c:v>
                </c:pt>
                <c:pt idx="13">
                  <c:v>288516.4192</c:v>
                </c:pt>
                <c:pt idx="14">
                  <c:v>288516.4192</c:v>
                </c:pt>
                <c:pt idx="15">
                  <c:v>286506.4192</c:v>
                </c:pt>
                <c:pt idx="16">
                  <c:v>286506.4192</c:v>
                </c:pt>
                <c:pt idx="17">
                  <c:v>286506.4192</c:v>
                </c:pt>
                <c:pt idx="18">
                  <c:v>280162.4192</c:v>
                </c:pt>
                <c:pt idx="19">
                  <c:v>280162.4192</c:v>
                </c:pt>
                <c:pt idx="20">
                  <c:v>280162.4192</c:v>
                </c:pt>
                <c:pt idx="21">
                  <c:v>280162.4192</c:v>
                </c:pt>
                <c:pt idx="22">
                  <c:v>280162.4192</c:v>
                </c:pt>
                <c:pt idx="23">
                  <c:v>280162.4192</c:v>
                </c:pt>
                <c:pt idx="24">
                  <c:v>280162.4192</c:v>
                </c:pt>
                <c:pt idx="25">
                  <c:v>280162.4192</c:v>
                </c:pt>
                <c:pt idx="26">
                  <c:v>280162.4192</c:v>
                </c:pt>
                <c:pt idx="27">
                  <c:v>280162.4192</c:v>
                </c:pt>
                <c:pt idx="28">
                  <c:v>280162.4192</c:v>
                </c:pt>
                <c:pt idx="29">
                  <c:v>280162.4192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4D-4087-BFA4-589D21B4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0272"/>
        <c:axId val="1"/>
      </c:lineChart>
      <c:catAx>
        <c:axId val="129830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302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2D-42A6-AC23-69F1E1B8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91200"/>
        <c:axId val="1"/>
      </c:lineChart>
      <c:catAx>
        <c:axId val="11959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912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06-4F95-BA01-6495BBFE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91664"/>
        <c:axId val="1"/>
      </c:lineChart>
      <c:catAx>
        <c:axId val="11959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916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84-4133-B704-90E6A92D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6704"/>
        <c:axId val="1"/>
      </c:lineChart>
      <c:catAx>
        <c:axId val="1185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5167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8A-4E4B-A05F-C742F438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7168"/>
        <c:axId val="1"/>
      </c:lineChart>
      <c:catAx>
        <c:axId val="11851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517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A3-4279-8C5A-F840E46D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8560"/>
        <c:axId val="1"/>
      </c:lineChart>
      <c:catAx>
        <c:axId val="1185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5185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6-4BFD-9FA5-B7040BA7511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6-4BFD-9FA5-B7040BA7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9024"/>
        <c:axId val="1"/>
      </c:lineChart>
      <c:catAx>
        <c:axId val="118519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5190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E-4203-9B8B-118A0FFC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9488"/>
        <c:axId val="1"/>
      </c:lineChart>
      <c:dateAx>
        <c:axId val="118519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5194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2-44B2-ACAC-6901F4F43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3984"/>
        <c:axId val="1"/>
      </c:lineChart>
      <c:catAx>
        <c:axId val="1190639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6398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DA3324A-D384-E9F9-67A9-E753AE92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6E96D94-F93D-0684-6639-9D349A5A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B6FF173-5D47-E919-37EE-AFEF7EC0B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293B428-A166-1908-F589-D3E209C87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A392CED5-7D82-993B-DDCC-6FE634515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622708D-6B72-8573-760C-4A693F03E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5E7255E-115F-AC8D-6386-03462428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1FA9F06B-E076-CE7E-766A-3213CCFFB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DE6062F-885D-4F14-21E9-714011847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B6141BB-BB83-0D4F-FD35-B109F89F2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8E41ABF-70D1-33F5-D71A-3AB39D240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BCB306D-29F0-C21E-EB36-3FFE0168B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A384B573-0F8B-A34E-4C79-E9EB30431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F738481B-2C37-6D76-126E-365B73F02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DC7CA999-73C3-DD5D-E9AD-2958F8F55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845AC7CF-910D-DE80-D34B-44FCD6420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1DBD80DA-8CE6-0643-E5F2-F451F5D25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469A9F3B-CBA7-AC03-5923-732314F7E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3CA2A09E-637A-EF66-7ACB-F03D698C5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4A0ABAAC-F459-84DB-D3C8-DF37E0984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E3530CFA-BEDF-F557-BBA3-A74C7CBE3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C5053829-D435-B09D-80C9-47ADDA484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E9D3F04-7AC8-A954-7EA0-2C13E607F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C4975871-4E6C-907E-C8B6-335B6B4E6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CE143A50-50D9-1462-8ABA-1E8D6C82F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A113852-2A2F-C97D-9DF4-07E3EED88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71FE7C6F-524F-FCE2-E6E8-2CF81D97D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610A5B2E-CFB6-F1E2-BE0B-83927A495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8EEA00B-5FC7-FF71-93B7-DD2AF9F39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297F9BB2-D8B6-6838-6C17-0AEF01434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186E58F5-E237-5EFD-8C31-7189AD270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B0763BD4-FBC3-90C5-3112-4736D2F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241D0BEF-9B71-D49E-908A-1DEDC7516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68FD7CF2-327C-50DB-8941-6A62151D6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A8057964-0FBB-C681-5795-2F8C802FA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C7209B2B-7731-B867-7CBF-144C8BEA1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RowHeight="12.75" x14ac:dyDescent="0.2"/>
  <cols>
    <col min="1" max="1" width="30.42578125" style="45" bestFit="1" customWidth="1"/>
    <col min="2" max="2" width="11" style="45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5" t="s">
        <v>0</v>
      </c>
      <c r="B1" s="46">
        <f ca="1">TODAY()</f>
        <v>37000</v>
      </c>
      <c r="G1" s="2" t="s">
        <v>0</v>
      </c>
      <c r="H1" s="3">
        <f ca="1">TODAY()</f>
        <v>37000</v>
      </c>
    </row>
    <row r="2" spans="1:12" ht="13.5" thickBot="1" x14ac:dyDescent="0.25">
      <c r="A2" s="45" t="s">
        <v>12</v>
      </c>
      <c r="B2" s="46">
        <f ca="1">TODAY()+2</f>
        <v>37002</v>
      </c>
      <c r="G2" s="2" t="s">
        <v>12</v>
      </c>
      <c r="H2" s="3">
        <f ca="1">TODAY()+3</f>
        <v>37003</v>
      </c>
    </row>
    <row r="3" spans="1:12" ht="25.5" customHeight="1" thickBot="1" x14ac:dyDescent="0.25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5" thickBot="1" x14ac:dyDescent="0.25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5" thickBot="1" x14ac:dyDescent="0.25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5" thickBot="1" x14ac:dyDescent="0.25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5" thickBot="1" x14ac:dyDescent="0.25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5" thickBot="1" x14ac:dyDescent="0.25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5" thickBot="1" x14ac:dyDescent="0.25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5" thickBot="1" x14ac:dyDescent="0.25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">
      <c r="A39" s="50" t="s">
        <v>24</v>
      </c>
      <c r="B39" s="35"/>
      <c r="G39" s="25" t="s">
        <v>24</v>
      </c>
      <c r="H39" s="35"/>
    </row>
    <row r="40" spans="1:11" x14ac:dyDescent="0.2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">
      <c r="A41" s="50" t="s">
        <v>29</v>
      </c>
      <c r="B41" s="26"/>
      <c r="G41" s="25" t="s">
        <v>29</v>
      </c>
      <c r="H41" s="26"/>
    </row>
    <row r="42" spans="1:11" x14ac:dyDescent="0.2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5" thickBot="1" x14ac:dyDescent="0.25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5" thickBot="1" x14ac:dyDescent="0.25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5" thickBot="1" x14ac:dyDescent="0.25">
      <c r="A57" s="53"/>
      <c r="B57" s="54"/>
      <c r="E57" s="12"/>
      <c r="G57" s="30"/>
      <c r="H57" s="37"/>
      <c r="K57" s="12"/>
    </row>
    <row r="58" spans="1:11" x14ac:dyDescent="0.2">
      <c r="E58" s="12"/>
      <c r="K58" s="12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37000</v>
      </c>
      <c r="F1" s="4" t="s">
        <v>1</v>
      </c>
      <c r="G1" s="5">
        <v>390000</v>
      </c>
      <c r="H1" s="6"/>
      <c r="I1" s="7" t="s">
        <v>2</v>
      </c>
      <c r="J1" s="8">
        <v>52000</v>
      </c>
      <c r="O1" s="44" t="s">
        <v>3</v>
      </c>
      <c r="P1" s="11">
        <f ca="1">TODAY()+2</f>
        <v>37002</v>
      </c>
      <c r="Q1" s="12">
        <v>240000</v>
      </c>
      <c r="S1" s="44" t="s">
        <v>4</v>
      </c>
      <c r="T1" s="11">
        <f ca="1">TODAY()+2</f>
        <v>37002</v>
      </c>
      <c r="U1" s="12">
        <v>36000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37001</v>
      </c>
      <c r="D2" s="14"/>
      <c r="P2" s="11">
        <f ca="1">TODAY()+3</f>
        <v>37003</v>
      </c>
      <c r="Q2" s="12">
        <v>330000</v>
      </c>
      <c r="T2" s="11">
        <f ca="1">TODAY()+3</f>
        <v>37003</v>
      </c>
      <c r="U2" s="12">
        <v>58000</v>
      </c>
      <c r="W2" s="11">
        <v>36982</v>
      </c>
      <c r="X2" s="14">
        <v>0</v>
      </c>
      <c r="Y2" s="14">
        <v>0</v>
      </c>
      <c r="Z2" s="13">
        <v>288516.4192</v>
      </c>
      <c r="AA2" s="13"/>
      <c r="AB2" s="14">
        <v>0</v>
      </c>
      <c r="AC2" s="14">
        <v>0</v>
      </c>
      <c r="AD2" s="14">
        <v>0</v>
      </c>
      <c r="AF2" s="11">
        <v>36982</v>
      </c>
      <c r="AG2" s="12">
        <f>690000+116000</f>
        <v>806000</v>
      </c>
      <c r="AH2" s="12">
        <f>703233+115874</f>
        <v>819107</v>
      </c>
      <c r="AI2" s="14"/>
      <c r="AJ2" s="15">
        <f>+AF2</f>
        <v>36982</v>
      </c>
      <c r="AK2" s="12">
        <f>270206+30823</f>
        <v>301029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36999</v>
      </c>
      <c r="L3" s="23">
        <f ca="1">TODAY()</f>
        <v>37000</v>
      </c>
      <c r="M3" s="24" t="s">
        <v>20</v>
      </c>
      <c r="P3" s="11">
        <f ca="1">TODAY()+4</f>
        <v>37004</v>
      </c>
      <c r="Q3" s="12">
        <v>360000</v>
      </c>
      <c r="T3" s="11">
        <f ca="1">TODAY()+4</f>
        <v>37004</v>
      </c>
      <c r="U3" s="12">
        <v>63000</v>
      </c>
      <c r="W3" s="11">
        <v>36983</v>
      </c>
      <c r="X3" s="14">
        <v>0</v>
      </c>
      <c r="Y3" s="14">
        <v>0</v>
      </c>
      <c r="Z3" s="13">
        <f>Z2-X3+Y3</f>
        <v>288516.4192</v>
      </c>
      <c r="AA3" s="13"/>
      <c r="AB3" s="14">
        <v>0</v>
      </c>
      <c r="AC3" s="14">
        <v>0</v>
      </c>
      <c r="AD3" s="14">
        <v>0</v>
      </c>
      <c r="AF3" s="11">
        <v>36983</v>
      </c>
      <c r="AG3" s="12">
        <f>600000+98000</f>
        <v>698000</v>
      </c>
      <c r="AH3" s="12">
        <f>664075+117288</f>
        <v>781363</v>
      </c>
      <c r="AI3" s="14"/>
      <c r="AJ3" s="15">
        <f t="shared" ref="AJ3:AJ15" si="0">+AF3</f>
        <v>36983</v>
      </c>
      <c r="AK3" s="12">
        <f>268781+30823</f>
        <v>299604</v>
      </c>
      <c r="AL3" s="12"/>
      <c r="AM3" s="12"/>
    </row>
    <row r="4" spans="1:39" ht="13.5" thickBot="1" x14ac:dyDescent="0.25">
      <c r="A4" s="2" t="s">
        <v>16</v>
      </c>
      <c r="B4" s="16">
        <v>52</v>
      </c>
      <c r="C4" s="17">
        <v>35</v>
      </c>
      <c r="D4" s="18">
        <f>AVERAGE(B4,C4)</f>
        <v>43.5</v>
      </c>
      <c r="J4" s="25" t="s">
        <v>23</v>
      </c>
      <c r="K4" s="38">
        <v>0</v>
      </c>
      <c r="L4" s="9">
        <v>0</v>
      </c>
      <c r="M4" s="28">
        <f>+L4-K4</f>
        <v>0</v>
      </c>
      <c r="Q4" s="12"/>
      <c r="R4" s="11" t="s">
        <v>17</v>
      </c>
      <c r="W4" s="11">
        <v>36984</v>
      </c>
      <c r="X4" s="14">
        <v>0</v>
      </c>
      <c r="Y4" s="14">
        <v>0</v>
      </c>
      <c r="Z4" s="13">
        <f t="shared" ref="Z4:Z31" si="1">Z3-X4+Y4</f>
        <v>288516.4192</v>
      </c>
      <c r="AA4" s="13"/>
      <c r="AB4" s="14">
        <v>0</v>
      </c>
      <c r="AC4" s="14">
        <v>0</v>
      </c>
      <c r="AD4" s="14">
        <v>0</v>
      </c>
      <c r="AF4" s="11">
        <v>36984</v>
      </c>
      <c r="AG4" s="12">
        <f>750000+124000</f>
        <v>874000</v>
      </c>
      <c r="AH4" s="12">
        <f>765681+127934</f>
        <v>893615</v>
      </c>
      <c r="AI4" s="14"/>
      <c r="AJ4" s="15">
        <f t="shared" si="0"/>
        <v>36984</v>
      </c>
      <c r="AK4" s="12">
        <f>278111+30413</f>
        <v>308524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v>0</v>
      </c>
      <c r="L5" s="9">
        <f>3172*2</f>
        <v>6344</v>
      </c>
      <c r="M5" s="29">
        <f>+L5-K5</f>
        <v>6344</v>
      </c>
      <c r="W5" s="11">
        <v>36985</v>
      </c>
      <c r="X5" s="14">
        <v>0</v>
      </c>
      <c r="Y5" s="14">
        <v>0</v>
      </c>
      <c r="Z5" s="13">
        <f t="shared" si="1"/>
        <v>288516.4192</v>
      </c>
      <c r="AA5" s="13"/>
      <c r="AB5" s="14">
        <v>0</v>
      </c>
      <c r="AC5" s="14">
        <v>0</v>
      </c>
      <c r="AD5" s="14">
        <v>0</v>
      </c>
      <c r="AF5" s="11">
        <v>36985</v>
      </c>
      <c r="AG5" s="12">
        <f>650000+110000</f>
        <v>760000</v>
      </c>
      <c r="AH5" s="12">
        <f>656525+105281</f>
        <v>761806</v>
      </c>
      <c r="AI5" s="14"/>
      <c r="AJ5" s="15">
        <f t="shared" si="0"/>
        <v>36985</v>
      </c>
      <c r="AK5" s="12">
        <f>259763+30642</f>
        <v>290405</v>
      </c>
      <c r="AL5" s="12"/>
      <c r="AM5" s="12"/>
    </row>
    <row r="6" spans="1:39" ht="13.5" thickBot="1" x14ac:dyDescent="0.25">
      <c r="A6" s="25" t="s">
        <v>21</v>
      </c>
      <c r="B6" s="26">
        <v>-270000</v>
      </c>
      <c r="C6" s="12">
        <v>-299000</v>
      </c>
      <c r="D6" s="25" t="s">
        <v>22</v>
      </c>
      <c r="E6" s="26">
        <v>-42000</v>
      </c>
      <c r="F6" s="12">
        <v>-44000</v>
      </c>
      <c r="H6" s="12"/>
      <c r="J6" s="30" t="s">
        <v>28</v>
      </c>
      <c r="K6" s="40">
        <f>(+K4-K5)/2</f>
        <v>0</v>
      </c>
      <c r="L6" s="31">
        <f>(+L4-L5)/2</f>
        <v>-3172</v>
      </c>
      <c r="M6" s="32">
        <f>+L6-K6</f>
        <v>-3172</v>
      </c>
      <c r="W6" s="11">
        <v>36986</v>
      </c>
      <c r="X6" s="14">
        <v>0</v>
      </c>
      <c r="Y6" s="14">
        <v>0</v>
      </c>
      <c r="Z6" s="13">
        <f t="shared" si="1"/>
        <v>288516.4192</v>
      </c>
      <c r="AA6" s="13"/>
      <c r="AB6" s="14">
        <v>0</v>
      </c>
      <c r="AC6" s="14">
        <v>0</v>
      </c>
      <c r="AD6" s="14">
        <v>0</v>
      </c>
      <c r="AF6" s="11">
        <v>36986</v>
      </c>
      <c r="AG6" s="12">
        <f>525000+85000</f>
        <v>610000</v>
      </c>
      <c r="AH6" s="12">
        <f>504491+86579</f>
        <v>591070</v>
      </c>
      <c r="AJ6" s="15">
        <f t="shared" si="0"/>
        <v>36986</v>
      </c>
      <c r="AK6" s="12">
        <f>271436+30642</f>
        <v>302078</v>
      </c>
      <c r="AL6" s="12"/>
      <c r="AM6" s="12"/>
    </row>
    <row r="7" spans="1:39" x14ac:dyDescent="0.2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36987</v>
      </c>
      <c r="X7" s="14">
        <v>0</v>
      </c>
      <c r="Y7" s="14">
        <v>0</v>
      </c>
      <c r="Z7" s="13">
        <f t="shared" si="1"/>
        <v>288516.4192</v>
      </c>
      <c r="AA7" s="13"/>
      <c r="AB7" s="14">
        <v>0</v>
      </c>
      <c r="AC7" s="14">
        <v>0</v>
      </c>
      <c r="AD7" s="14">
        <v>0</v>
      </c>
      <c r="AF7" s="11">
        <v>36987</v>
      </c>
      <c r="AG7" s="12">
        <f>435000+65000</f>
        <v>500000</v>
      </c>
      <c r="AH7" s="56">
        <f>503378+87168</f>
        <v>590546</v>
      </c>
      <c r="AJ7" s="15">
        <f t="shared" si="0"/>
        <v>36987</v>
      </c>
      <c r="AK7" s="12">
        <f>294460+36339</f>
        <v>330799</v>
      </c>
      <c r="AL7" s="12"/>
      <c r="AM7" s="12"/>
    </row>
    <row r="8" spans="1:39" x14ac:dyDescent="0.2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36988</v>
      </c>
      <c r="X8" s="14">
        <v>0</v>
      </c>
      <c r="Y8" s="14">
        <v>0</v>
      </c>
      <c r="Z8" s="13">
        <f t="shared" si="1"/>
        <v>288516.4192</v>
      </c>
      <c r="AA8" s="13"/>
      <c r="AB8" s="14">
        <v>0</v>
      </c>
      <c r="AC8" s="14">
        <v>0</v>
      </c>
      <c r="AD8" s="14">
        <v>0</v>
      </c>
      <c r="AF8" s="11">
        <v>36988</v>
      </c>
      <c r="AG8" s="12">
        <f>250000+45000</f>
        <v>295000</v>
      </c>
      <c r="AH8" s="12">
        <f>268407+46727</f>
        <v>315134</v>
      </c>
      <c r="AJ8" s="15">
        <f t="shared" si="0"/>
        <v>36988</v>
      </c>
      <c r="AK8" s="12">
        <f>183724+29532</f>
        <v>213256</v>
      </c>
      <c r="AL8" s="12"/>
      <c r="AM8" s="12"/>
    </row>
    <row r="9" spans="1:39" x14ac:dyDescent="0.2">
      <c r="A9" s="25" t="s">
        <v>69</v>
      </c>
      <c r="B9" s="26">
        <v>-60000</v>
      </c>
      <c r="D9" s="25" t="s">
        <v>29</v>
      </c>
      <c r="E9" s="26">
        <v>0</v>
      </c>
      <c r="G9" s="12"/>
      <c r="H9" s="12"/>
      <c r="L9" s="12"/>
      <c r="W9" s="11">
        <v>36989</v>
      </c>
      <c r="X9" s="14">
        <v>0</v>
      </c>
      <c r="Y9" s="14">
        <v>0</v>
      </c>
      <c r="Z9" s="13">
        <f t="shared" si="1"/>
        <v>288516.4192</v>
      </c>
      <c r="AA9" s="13"/>
      <c r="AB9" s="14">
        <v>0</v>
      </c>
      <c r="AC9" s="14">
        <v>0</v>
      </c>
      <c r="AD9" s="14">
        <v>0</v>
      </c>
      <c r="AF9" s="11">
        <v>36989</v>
      </c>
      <c r="AG9" s="12">
        <f>300000+48000</f>
        <v>348000</v>
      </c>
      <c r="AH9" s="12">
        <f>319276+57943</f>
        <v>377219</v>
      </c>
      <c r="AJ9" s="15">
        <f t="shared" si="0"/>
        <v>36989</v>
      </c>
      <c r="AK9" s="12">
        <f>183724+29532</f>
        <v>213256</v>
      </c>
      <c r="AL9" s="12"/>
      <c r="AM9" s="12"/>
    </row>
    <row r="10" spans="1:39" x14ac:dyDescent="0.2">
      <c r="A10" s="43" t="s">
        <v>64</v>
      </c>
      <c r="B10" s="26">
        <v>0</v>
      </c>
      <c r="C10" s="14" t="s">
        <v>17</v>
      </c>
      <c r="D10" s="25" t="s">
        <v>52</v>
      </c>
      <c r="E10" s="26">
        <v>-12681</v>
      </c>
      <c r="G10" s="12"/>
      <c r="H10" s="12"/>
      <c r="W10" s="11">
        <v>36990</v>
      </c>
      <c r="X10" s="14">
        <v>0</v>
      </c>
      <c r="Y10" s="14">
        <v>0</v>
      </c>
      <c r="Z10" s="13">
        <f t="shared" si="1"/>
        <v>288516.4192</v>
      </c>
      <c r="AA10" s="13"/>
      <c r="AB10" s="14">
        <v>0</v>
      </c>
      <c r="AC10" s="14">
        <v>0</v>
      </c>
      <c r="AD10" s="14">
        <v>0</v>
      </c>
      <c r="AF10" s="11">
        <v>36990</v>
      </c>
      <c r="AG10" s="12">
        <f>375000+60000</f>
        <v>435000</v>
      </c>
      <c r="AH10" s="12">
        <f>481086+85895</f>
        <v>566981</v>
      </c>
      <c r="AJ10" s="15">
        <f t="shared" si="0"/>
        <v>36990</v>
      </c>
      <c r="AK10" s="12">
        <f>183724+29532</f>
        <v>213256</v>
      </c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36991</v>
      </c>
      <c r="X11" s="14">
        <v>0</v>
      </c>
      <c r="Y11" s="14">
        <v>0</v>
      </c>
      <c r="Z11" s="13">
        <f t="shared" si="1"/>
        <v>288516.4192</v>
      </c>
      <c r="AA11" s="13"/>
      <c r="AB11" s="14">
        <v>0</v>
      </c>
      <c r="AC11" s="14">
        <v>0</v>
      </c>
      <c r="AD11" s="14">
        <v>0</v>
      </c>
      <c r="AF11" s="11">
        <v>36991</v>
      </c>
      <c r="AG11" s="12">
        <f>340000+63000</f>
        <v>403000</v>
      </c>
      <c r="AH11" s="12">
        <f>527236+97112</f>
        <v>624348</v>
      </c>
      <c r="AJ11" s="15">
        <f t="shared" si="0"/>
        <v>36991</v>
      </c>
      <c r="AK11" s="12">
        <f>167656+29732</f>
        <v>197388</v>
      </c>
      <c r="AL11" s="12"/>
      <c r="AM11" s="12"/>
    </row>
    <row r="12" spans="1:39" x14ac:dyDescent="0.2">
      <c r="A12" s="25" t="s">
        <v>29</v>
      </c>
      <c r="B12" s="26">
        <f>-170994-79006</f>
        <v>-250000</v>
      </c>
      <c r="C12" s="14"/>
      <c r="D12" s="43" t="s">
        <v>56</v>
      </c>
      <c r="E12" s="41">
        <v>-15633</v>
      </c>
      <c r="G12" s="12" t="s">
        <v>17</v>
      </c>
      <c r="H12" s="12"/>
      <c r="R12" s="13"/>
      <c r="W12" s="11">
        <v>36992</v>
      </c>
      <c r="X12" s="14">
        <v>0</v>
      </c>
      <c r="Y12" s="14">
        <v>0</v>
      </c>
      <c r="Z12" s="13">
        <f t="shared" si="1"/>
        <v>288516.4192</v>
      </c>
      <c r="AA12" s="13"/>
      <c r="AB12" s="14">
        <v>0</v>
      </c>
      <c r="AC12" s="14">
        <v>0</v>
      </c>
      <c r="AD12" s="14">
        <v>0</v>
      </c>
      <c r="AF12" s="11">
        <v>36992</v>
      </c>
      <c r="AG12" s="12">
        <f>305000+56000</f>
        <v>361000</v>
      </c>
      <c r="AH12" s="12">
        <f>340222+59524</f>
        <v>399746</v>
      </c>
      <c r="AJ12" s="15">
        <f t="shared" si="0"/>
        <v>36992</v>
      </c>
      <c r="AK12" s="12">
        <f>182176+28744</f>
        <v>210920</v>
      </c>
      <c r="AL12" s="12"/>
      <c r="AM12" s="12"/>
    </row>
    <row r="13" spans="1:39" ht="13.5" thickBot="1" x14ac:dyDescent="0.25">
      <c r="A13" s="25" t="s">
        <v>62</v>
      </c>
      <c r="B13" s="26">
        <v>0</v>
      </c>
      <c r="C13" s="1"/>
      <c r="D13" s="25" t="s">
        <v>32</v>
      </c>
      <c r="E13" s="26">
        <v>-20000</v>
      </c>
      <c r="G13" s="12"/>
      <c r="H13" s="12"/>
      <c r="R13" s="13"/>
      <c r="W13" s="11">
        <v>36993</v>
      </c>
      <c r="X13" s="14">
        <v>0</v>
      </c>
      <c r="Y13" s="14">
        <v>0</v>
      </c>
      <c r="Z13" s="13">
        <f t="shared" si="1"/>
        <v>288516.4192</v>
      </c>
      <c r="AA13" s="13"/>
      <c r="AB13" s="14">
        <v>0</v>
      </c>
      <c r="AC13" s="14">
        <v>0</v>
      </c>
      <c r="AD13" s="14">
        <v>0</v>
      </c>
      <c r="AF13" s="11">
        <v>36993</v>
      </c>
      <c r="AG13" s="12">
        <f>520000+94000</f>
        <v>614000</v>
      </c>
      <c r="AH13" s="12">
        <f>510963+94475</f>
        <v>605438</v>
      </c>
      <c r="AJ13" s="15">
        <f t="shared" si="0"/>
        <v>36993</v>
      </c>
      <c r="AK13" s="12">
        <f>289014+29254</f>
        <v>318268</v>
      </c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-110314</v>
      </c>
      <c r="G14" s="12"/>
      <c r="H14" s="12"/>
      <c r="L14" s="12"/>
      <c r="R14" s="13"/>
      <c r="W14" s="11">
        <v>36994</v>
      </c>
      <c r="X14" s="14">
        <v>0</v>
      </c>
      <c r="Y14" s="14">
        <v>0</v>
      </c>
      <c r="Z14" s="13">
        <f t="shared" si="1"/>
        <v>288516.4192</v>
      </c>
      <c r="AA14" s="13"/>
      <c r="AB14" s="14">
        <v>0</v>
      </c>
      <c r="AC14" s="14">
        <v>0</v>
      </c>
      <c r="AD14" s="14">
        <v>0</v>
      </c>
      <c r="AF14" s="11">
        <v>36994</v>
      </c>
      <c r="AG14" s="12">
        <f>570000+98000</f>
        <v>668000</v>
      </c>
      <c r="AH14" s="12">
        <f>427822+77860</f>
        <v>505682</v>
      </c>
      <c r="AJ14" s="15">
        <f t="shared" si="0"/>
        <v>36994</v>
      </c>
      <c r="AK14" s="12">
        <f>285191+39703</f>
        <v>324894</v>
      </c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36995</v>
      </c>
      <c r="X15" s="14">
        <v>0</v>
      </c>
      <c r="Y15" s="14">
        <v>0</v>
      </c>
      <c r="Z15" s="13">
        <f t="shared" si="1"/>
        <v>288516.4192</v>
      </c>
      <c r="AA15" s="13"/>
      <c r="AB15" s="14">
        <v>0</v>
      </c>
      <c r="AC15" s="14">
        <v>0</v>
      </c>
      <c r="AD15" s="14">
        <v>0</v>
      </c>
      <c r="AF15" s="11">
        <v>36995</v>
      </c>
      <c r="AG15" s="12">
        <f>500000+90000</f>
        <v>590000</v>
      </c>
      <c r="AH15" s="12">
        <f>361867+62274</f>
        <v>424141</v>
      </c>
      <c r="AJ15" s="15">
        <f t="shared" si="0"/>
        <v>36995</v>
      </c>
      <c r="AK15" s="12">
        <f>298261+29703</f>
        <v>327964</v>
      </c>
      <c r="AL15" s="12"/>
      <c r="AM15" s="12"/>
    </row>
    <row r="16" spans="1:39" x14ac:dyDescent="0.2">
      <c r="A16" s="25" t="s">
        <v>61</v>
      </c>
      <c r="B16" s="26">
        <v>-40000</v>
      </c>
      <c r="C16" s="14"/>
      <c r="D16" s="25" t="s">
        <v>38</v>
      </c>
      <c r="E16" s="26">
        <v>39111</v>
      </c>
      <c r="G16" s="12"/>
      <c r="H16" s="12"/>
      <c r="L16" s="12"/>
      <c r="R16" s="13"/>
      <c r="W16" s="11">
        <v>36996</v>
      </c>
      <c r="X16" s="14">
        <v>0</v>
      </c>
      <c r="Y16" s="14">
        <v>0</v>
      </c>
      <c r="Z16" s="13">
        <f t="shared" si="1"/>
        <v>288516.4192</v>
      </c>
      <c r="AA16" s="13"/>
      <c r="AB16" s="14">
        <v>0</v>
      </c>
      <c r="AC16" s="14">
        <v>0</v>
      </c>
      <c r="AD16" s="14">
        <v>0</v>
      </c>
      <c r="AF16" s="11">
        <v>36996</v>
      </c>
      <c r="AG16" s="12">
        <f>540000+94000</f>
        <v>634000</v>
      </c>
      <c r="AH16" s="12">
        <f>506766+87067</f>
        <v>593833</v>
      </c>
      <c r="AJ16" s="15">
        <f t="shared" ref="AJ16:AJ31" si="2">+AF16</f>
        <v>36996</v>
      </c>
      <c r="AK16" s="12">
        <f>298041+29703</f>
        <v>327744</v>
      </c>
      <c r="AL16" s="12"/>
      <c r="AM16" s="12"/>
    </row>
    <row r="17" spans="1:39" x14ac:dyDescent="0.2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36997</v>
      </c>
      <c r="X17" s="14">
        <f>1005*2</f>
        <v>2010</v>
      </c>
      <c r="Y17" s="14">
        <v>0</v>
      </c>
      <c r="Z17" s="13">
        <f t="shared" si="1"/>
        <v>286506.4192</v>
      </c>
      <c r="AA17" s="13"/>
      <c r="AB17" s="14">
        <v>0</v>
      </c>
      <c r="AC17" s="14">
        <v>0</v>
      </c>
      <c r="AD17" s="14">
        <v>0</v>
      </c>
      <c r="AF17" s="11">
        <v>36997</v>
      </c>
      <c r="AG17" s="12">
        <f>600000+110000</f>
        <v>710000</v>
      </c>
      <c r="AH17" s="12">
        <f>849945+154491</f>
        <v>1004436</v>
      </c>
      <c r="AJ17" s="15">
        <f t="shared" si="2"/>
        <v>36997</v>
      </c>
      <c r="AK17" s="12">
        <f>291586+29703</f>
        <v>321289</v>
      </c>
      <c r="AL17" s="12"/>
      <c r="AM17" s="12"/>
    </row>
    <row r="18" spans="1:39" x14ac:dyDescent="0.2">
      <c r="A18" s="25" t="s">
        <v>34</v>
      </c>
      <c r="B18" s="26">
        <v>-138679</v>
      </c>
      <c r="D18" s="25" t="s">
        <v>40</v>
      </c>
      <c r="E18" s="26">
        <v>0</v>
      </c>
      <c r="F18" s="14" t="s">
        <v>17</v>
      </c>
      <c r="G18" s="12"/>
      <c r="H18" s="12"/>
      <c r="L18" s="12"/>
      <c r="R18" s="13"/>
      <c r="W18" s="11">
        <v>36998</v>
      </c>
      <c r="X18" s="14">
        <v>0</v>
      </c>
      <c r="Y18" s="14">
        <v>0</v>
      </c>
      <c r="Z18" s="13">
        <f t="shared" si="1"/>
        <v>286506.4192</v>
      </c>
      <c r="AA18" s="13"/>
      <c r="AB18" s="14">
        <v>0</v>
      </c>
      <c r="AC18" s="14">
        <v>0</v>
      </c>
      <c r="AD18" s="14">
        <v>0</v>
      </c>
      <c r="AF18" s="11">
        <v>36998</v>
      </c>
      <c r="AG18" s="12">
        <f>630000+117000</f>
        <v>747000</v>
      </c>
      <c r="AH18" s="12">
        <f>803766+132535</f>
        <v>936301</v>
      </c>
      <c r="AJ18" s="15">
        <f t="shared" si="2"/>
        <v>36998</v>
      </c>
      <c r="AK18" s="12">
        <f>236011+29703</f>
        <v>265714</v>
      </c>
      <c r="AL18" s="12"/>
      <c r="AM18" s="12"/>
    </row>
    <row r="19" spans="1:39" x14ac:dyDescent="0.2">
      <c r="A19" s="25" t="s">
        <v>30</v>
      </c>
      <c r="B19" s="26">
        <v>0</v>
      </c>
      <c r="C19" s="42"/>
      <c r="D19" s="25" t="s">
        <v>41</v>
      </c>
      <c r="E19" s="26">
        <v>29203</v>
      </c>
      <c r="G19" s="12"/>
      <c r="H19" s="12"/>
      <c r="L19" s="12"/>
      <c r="R19" s="13"/>
      <c r="W19" s="11">
        <v>36999</v>
      </c>
      <c r="X19" s="14">
        <v>0</v>
      </c>
      <c r="Y19" s="14">
        <v>0</v>
      </c>
      <c r="Z19" s="13">
        <f t="shared" si="1"/>
        <v>286506.4192</v>
      </c>
      <c r="AA19" s="13"/>
      <c r="AB19" s="14">
        <v>0</v>
      </c>
      <c r="AC19" s="14">
        <v>0</v>
      </c>
      <c r="AD19" s="14">
        <v>0</v>
      </c>
      <c r="AF19" s="11">
        <v>36999</v>
      </c>
      <c r="AG19" s="12">
        <f>630000+115000</f>
        <v>745000</v>
      </c>
      <c r="AH19" s="12">
        <f>605000+101000</f>
        <v>706000</v>
      </c>
      <c r="AJ19" s="15">
        <f t="shared" si="2"/>
        <v>36999</v>
      </c>
      <c r="AK19" s="12">
        <f>243044+29503</f>
        <v>272547</v>
      </c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37000</v>
      </c>
      <c r="X20" s="14">
        <f>3172*2</f>
        <v>6344</v>
      </c>
      <c r="Y20" s="14">
        <v>0</v>
      </c>
      <c r="Z20" s="13">
        <f t="shared" si="1"/>
        <v>280162.4192</v>
      </c>
      <c r="AA20" s="13"/>
      <c r="AB20" s="14">
        <v>0</v>
      </c>
      <c r="AC20" s="14">
        <v>0</v>
      </c>
      <c r="AD20" s="14">
        <v>0</v>
      </c>
      <c r="AF20" s="11">
        <v>37000</v>
      </c>
      <c r="AG20" s="12">
        <f>430000+74000</f>
        <v>504000</v>
      </c>
      <c r="AH20" s="12"/>
      <c r="AJ20" s="15">
        <f t="shared" si="2"/>
        <v>37000</v>
      </c>
      <c r="AK20" s="12"/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60</v>
      </c>
      <c r="E21" s="26">
        <v>5000</v>
      </c>
      <c r="G21" s="12"/>
      <c r="H21" s="12"/>
      <c r="R21" s="13"/>
      <c r="W21" s="11">
        <v>37001</v>
      </c>
      <c r="X21" s="14">
        <v>0</v>
      </c>
      <c r="Y21" s="14">
        <v>0</v>
      </c>
      <c r="Z21" s="13">
        <f t="shared" si="1"/>
        <v>280162.4192</v>
      </c>
      <c r="AA21" s="13"/>
      <c r="AB21" s="14">
        <v>0</v>
      </c>
      <c r="AC21" s="14">
        <v>0</v>
      </c>
      <c r="AD21" s="14">
        <v>0</v>
      </c>
      <c r="AF21" s="11">
        <v>37001</v>
      </c>
      <c r="AG21" s="12">
        <f>270000+42000</f>
        <v>312000</v>
      </c>
      <c r="AH21" s="12"/>
      <c r="AJ21" s="15">
        <f t="shared" si="2"/>
        <v>37001</v>
      </c>
      <c r="AK21" s="12"/>
      <c r="AL21" s="12"/>
      <c r="AM21" s="12"/>
    </row>
    <row r="22" spans="1:39" x14ac:dyDescent="0.2">
      <c r="A22" s="25" t="s">
        <v>35</v>
      </c>
      <c r="B22" s="26">
        <v>0</v>
      </c>
      <c r="D22" s="25" t="s">
        <v>70</v>
      </c>
      <c r="E22" s="26">
        <v>7000</v>
      </c>
      <c r="G22" s="12"/>
      <c r="H22" s="12"/>
      <c r="R22" s="13"/>
      <c r="W22" s="11">
        <v>37002</v>
      </c>
      <c r="X22" s="14">
        <v>0</v>
      </c>
      <c r="Y22" s="14">
        <v>0</v>
      </c>
      <c r="Z22" s="13">
        <f t="shared" si="1"/>
        <v>280162.4192</v>
      </c>
      <c r="AA22" s="13"/>
      <c r="AB22" s="14">
        <v>0</v>
      </c>
      <c r="AC22" s="14">
        <v>0</v>
      </c>
      <c r="AD22" s="14">
        <v>0</v>
      </c>
      <c r="AF22" s="11">
        <v>37002</v>
      </c>
      <c r="AG22" s="12">
        <f>240000+36000</f>
        <v>276000</v>
      </c>
      <c r="AH22" s="12"/>
      <c r="AJ22" s="15">
        <f t="shared" si="2"/>
        <v>37002</v>
      </c>
      <c r="AK22" s="12"/>
      <c r="AL22" s="12"/>
      <c r="AM22" s="12"/>
    </row>
    <row r="23" spans="1:39" x14ac:dyDescent="0.2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37003</v>
      </c>
      <c r="X23" s="14">
        <v>0</v>
      </c>
      <c r="Y23" s="14">
        <v>0</v>
      </c>
      <c r="Z23" s="13">
        <f t="shared" si="1"/>
        <v>280162.4192</v>
      </c>
      <c r="AA23" s="13"/>
      <c r="AB23" s="14">
        <v>0</v>
      </c>
      <c r="AC23" s="14">
        <v>0</v>
      </c>
      <c r="AD23" s="14">
        <v>0</v>
      </c>
      <c r="AF23" s="11">
        <v>37003</v>
      </c>
      <c r="AG23" s="12">
        <f>330000+58000</f>
        <v>388000</v>
      </c>
      <c r="AH23" s="12"/>
      <c r="AJ23" s="15">
        <f t="shared" si="2"/>
        <v>37003</v>
      </c>
      <c r="AK23" s="12"/>
      <c r="AL23" s="12"/>
      <c r="AM23" s="12"/>
    </row>
    <row r="24" spans="1:39" x14ac:dyDescent="0.2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37004</v>
      </c>
      <c r="X24" s="14">
        <v>0</v>
      </c>
      <c r="Y24" s="14">
        <v>0</v>
      </c>
      <c r="Z24" s="13">
        <f t="shared" si="1"/>
        <v>280162.4192</v>
      </c>
      <c r="AA24" s="13"/>
      <c r="AB24" s="14">
        <v>0</v>
      </c>
      <c r="AC24" s="14">
        <v>0</v>
      </c>
      <c r="AD24" s="14">
        <v>0</v>
      </c>
      <c r="AF24" s="11">
        <v>37004</v>
      </c>
      <c r="AG24" s="12">
        <f>360000+63000</f>
        <v>423000</v>
      </c>
      <c r="AH24" s="12"/>
      <c r="AJ24" s="15">
        <f t="shared" si="2"/>
        <v>37004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1">
        <v>0</v>
      </c>
      <c r="G25" s="12"/>
      <c r="H25" s="12"/>
      <c r="R25" s="13"/>
      <c r="W25" s="11">
        <v>37005</v>
      </c>
      <c r="X25" s="14">
        <v>0</v>
      </c>
      <c r="Y25" s="14">
        <v>0</v>
      </c>
      <c r="Z25" s="13">
        <f t="shared" si="1"/>
        <v>280162.4192</v>
      </c>
      <c r="AA25" s="13"/>
      <c r="AB25" s="14">
        <v>0</v>
      </c>
      <c r="AC25" s="14">
        <v>0</v>
      </c>
      <c r="AD25" s="14">
        <v>0</v>
      </c>
      <c r="AF25" s="11">
        <v>37005</v>
      </c>
      <c r="AG25" s="12"/>
      <c r="AH25" s="12"/>
      <c r="AJ25" s="15">
        <f t="shared" si="2"/>
        <v>37005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37006</v>
      </c>
      <c r="X26" s="14">
        <v>0</v>
      </c>
      <c r="Y26" s="14">
        <v>0</v>
      </c>
      <c r="Z26" s="13">
        <f t="shared" si="1"/>
        <v>280162.4192</v>
      </c>
      <c r="AA26" s="13"/>
      <c r="AB26" s="14">
        <v>0</v>
      </c>
      <c r="AC26" s="14">
        <v>0</v>
      </c>
      <c r="AD26" s="14">
        <v>0</v>
      </c>
      <c r="AF26" s="11">
        <v>37006</v>
      </c>
      <c r="AG26" s="12"/>
      <c r="AH26" s="12"/>
      <c r="AJ26" s="15">
        <f t="shared" si="2"/>
        <v>37006</v>
      </c>
      <c r="AK26" s="12"/>
      <c r="AL26" s="12"/>
      <c r="AM26" s="12"/>
    </row>
    <row r="27" spans="1:39" ht="13.5" thickBot="1" x14ac:dyDescent="0.25">
      <c r="A27" s="25" t="s">
        <v>67</v>
      </c>
      <c r="B27" s="26">
        <v>0</v>
      </c>
      <c r="C27" s="14">
        <f>+B28+B57</f>
        <v>0</v>
      </c>
      <c r="D27" s="25" t="s">
        <v>58</v>
      </c>
      <c r="E27" s="41">
        <v>20000</v>
      </c>
      <c r="G27" s="12"/>
      <c r="H27" s="12"/>
      <c r="R27" s="13"/>
      <c r="W27" s="11">
        <v>37007</v>
      </c>
      <c r="X27" s="14">
        <v>0</v>
      </c>
      <c r="Y27" s="14">
        <v>0</v>
      </c>
      <c r="Z27" s="13">
        <f t="shared" si="1"/>
        <v>280162.4192</v>
      </c>
      <c r="AA27" s="13"/>
      <c r="AB27" s="14">
        <v>0</v>
      </c>
      <c r="AC27" s="14">
        <v>0</v>
      </c>
      <c r="AD27" s="14">
        <v>0</v>
      </c>
      <c r="AF27" s="11">
        <v>37007</v>
      </c>
      <c r="AG27" s="12"/>
      <c r="AH27" s="12"/>
      <c r="AJ27" s="15">
        <f t="shared" si="2"/>
        <v>37007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-758679</v>
      </c>
      <c r="D28" s="25" t="s">
        <v>42</v>
      </c>
      <c r="E28" s="26">
        <v>0</v>
      </c>
      <c r="G28" s="12"/>
      <c r="H28" s="12"/>
      <c r="R28" s="13"/>
      <c r="W28" s="11">
        <v>37008</v>
      </c>
      <c r="X28" s="14">
        <v>0</v>
      </c>
      <c r="Y28" s="14">
        <v>0</v>
      </c>
      <c r="Z28" s="13">
        <f t="shared" si="1"/>
        <v>280162.4192</v>
      </c>
      <c r="AA28" s="13"/>
      <c r="AB28" s="14">
        <v>0</v>
      </c>
      <c r="AC28" s="14">
        <v>0</v>
      </c>
      <c r="AD28" s="14">
        <v>0</v>
      </c>
      <c r="AF28" s="11">
        <v>37008</v>
      </c>
      <c r="AG28" s="12"/>
      <c r="AH28" s="12"/>
      <c r="AJ28" s="15">
        <f t="shared" si="2"/>
        <v>37008</v>
      </c>
      <c r="AK28" s="12"/>
      <c r="AL28" s="12"/>
      <c r="AM28" s="12"/>
    </row>
    <row r="29" spans="1:39" ht="13.5" thickBot="1" x14ac:dyDescent="0.25">
      <c r="A29" s="25"/>
      <c r="B29" s="41"/>
      <c r="C29" s="14"/>
      <c r="D29" s="33" t="s">
        <v>43</v>
      </c>
      <c r="E29" s="34">
        <f>SUM(E16:E28)</f>
        <v>110314</v>
      </c>
      <c r="G29" s="12"/>
      <c r="H29" s="12"/>
      <c r="R29" s="13"/>
      <c r="W29" s="11">
        <v>37009</v>
      </c>
      <c r="X29" s="14">
        <v>0</v>
      </c>
      <c r="Y29" s="14">
        <v>0</v>
      </c>
      <c r="Z29" s="13">
        <f t="shared" si="1"/>
        <v>280162.4192</v>
      </c>
      <c r="AA29" s="13"/>
      <c r="AB29" s="14">
        <v>0</v>
      </c>
      <c r="AC29" s="14">
        <v>0</v>
      </c>
      <c r="AD29" s="14">
        <v>0</v>
      </c>
      <c r="AF29" s="11">
        <v>37009</v>
      </c>
      <c r="AG29" s="12"/>
      <c r="AH29" s="12"/>
      <c r="AJ29" s="15">
        <f t="shared" si="2"/>
        <v>37009</v>
      </c>
      <c r="AK29" s="12"/>
      <c r="AL29" s="12"/>
      <c r="AM29" s="12"/>
    </row>
    <row r="30" spans="1:39" ht="13.5" thickBot="1" x14ac:dyDescent="0.25">
      <c r="A30" s="25" t="s">
        <v>38</v>
      </c>
      <c r="B30" s="41">
        <v>187907</v>
      </c>
      <c r="D30" s="30"/>
      <c r="E30" s="36"/>
      <c r="F30" s="14"/>
      <c r="G30" s="12"/>
      <c r="H30" s="12"/>
      <c r="W30" s="11">
        <v>37010</v>
      </c>
      <c r="X30" s="14">
        <v>0</v>
      </c>
      <c r="Y30" s="14">
        <v>0</v>
      </c>
      <c r="Z30" s="13">
        <f t="shared" si="1"/>
        <v>280162.4192</v>
      </c>
      <c r="AA30" s="13"/>
      <c r="AB30" s="14">
        <v>0</v>
      </c>
      <c r="AC30" s="14">
        <v>0</v>
      </c>
      <c r="AD30" s="14">
        <v>0</v>
      </c>
      <c r="AF30" s="11">
        <v>37010</v>
      </c>
      <c r="AG30" s="12"/>
      <c r="AH30" s="12"/>
      <c r="AJ30" s="15">
        <f t="shared" si="2"/>
        <v>37010</v>
      </c>
      <c r="AK30" s="12"/>
      <c r="AL30" s="12"/>
      <c r="AM30" s="12"/>
    </row>
    <row r="31" spans="1:39" x14ac:dyDescent="0.2">
      <c r="A31" s="25" t="s">
        <v>39</v>
      </c>
      <c r="B31" s="41">
        <v>125000</v>
      </c>
      <c r="C31" s="14"/>
      <c r="E31" s="12"/>
      <c r="G31" s="12"/>
      <c r="H31" s="12"/>
      <c r="W31" s="11">
        <v>37011</v>
      </c>
      <c r="X31" s="14">
        <v>0</v>
      </c>
      <c r="Y31" s="14">
        <v>0</v>
      </c>
      <c r="Z31" s="13">
        <f t="shared" si="1"/>
        <v>280162.4192</v>
      </c>
      <c r="AA31" s="13"/>
      <c r="AB31" s="14">
        <v>0</v>
      </c>
      <c r="AC31" s="14">
        <v>0</v>
      </c>
      <c r="AD31" s="14">
        <v>0</v>
      </c>
      <c r="AF31" s="11">
        <v>37011</v>
      </c>
      <c r="AG31" s="12"/>
      <c r="AH31" s="58"/>
      <c r="AJ31" s="15">
        <f t="shared" si="2"/>
        <v>37011</v>
      </c>
      <c r="AK31" s="12"/>
      <c r="AL31" s="12"/>
      <c r="AM31" s="12"/>
    </row>
    <row r="32" spans="1:39" x14ac:dyDescent="0.2">
      <c r="A32" s="25" t="s">
        <v>40</v>
      </c>
      <c r="B32" s="41">
        <v>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">
      <c r="A33" s="25" t="s">
        <v>41</v>
      </c>
      <c r="B33" s="41">
        <v>241966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72</v>
      </c>
      <c r="B34" s="41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73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">
      <c r="A38" s="25" t="s">
        <v>58</v>
      </c>
      <c r="B38" s="41">
        <v>46900</v>
      </c>
      <c r="D38" s="59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1">
        <f>79006</f>
        <v>79006</v>
      </c>
      <c r="AJ42" s="12"/>
      <c r="AK42" s="12"/>
      <c r="AL42" s="12"/>
      <c r="AM42" s="12"/>
    </row>
    <row r="43" spans="1:39" x14ac:dyDescent="0.2">
      <c r="A43" s="25" t="s">
        <v>44</v>
      </c>
      <c r="B43" s="41">
        <v>6900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1">
        <v>1000</v>
      </c>
      <c r="C44" s="14"/>
      <c r="E44" s="12"/>
    </row>
    <row r="45" spans="1:39" x14ac:dyDescent="0.2">
      <c r="A45" s="25" t="s">
        <v>46</v>
      </c>
      <c r="B45" s="41"/>
      <c r="E45" s="12"/>
    </row>
    <row r="46" spans="1:39" x14ac:dyDescent="0.2">
      <c r="A46" s="25" t="s">
        <v>61</v>
      </c>
      <c r="B46" s="41">
        <v>0</v>
      </c>
      <c r="C46" s="14"/>
      <c r="E46" s="12"/>
    </row>
    <row r="47" spans="1:39" x14ac:dyDescent="0.2">
      <c r="A47" s="25" t="s">
        <v>32</v>
      </c>
      <c r="B47" s="41">
        <v>0</v>
      </c>
    </row>
    <row r="48" spans="1:39" x14ac:dyDescent="0.2">
      <c r="A48" s="25" t="s">
        <v>34</v>
      </c>
      <c r="B48" s="41">
        <v>0</v>
      </c>
      <c r="E48" s="12"/>
    </row>
    <row r="49" spans="1:5" x14ac:dyDescent="0.2">
      <c r="A49" s="25" t="s">
        <v>47</v>
      </c>
      <c r="B49" s="41">
        <v>25000</v>
      </c>
      <c r="C49" s="14" t="s">
        <v>17</v>
      </c>
      <c r="E49" s="12"/>
    </row>
    <row r="50" spans="1:5" x14ac:dyDescent="0.2">
      <c r="A50" s="25" t="s">
        <v>48</v>
      </c>
      <c r="B50" s="41">
        <v>20000</v>
      </c>
      <c r="E50" s="12"/>
    </row>
    <row r="51" spans="1:5" x14ac:dyDescent="0.2">
      <c r="A51" s="25" t="s">
        <v>49</v>
      </c>
      <c r="B51" s="41">
        <v>25000</v>
      </c>
      <c r="E51" s="12"/>
    </row>
    <row r="52" spans="1:5" x14ac:dyDescent="0.2">
      <c r="A52" s="25" t="s">
        <v>35</v>
      </c>
      <c r="B52" s="41">
        <v>0</v>
      </c>
      <c r="C52" s="14"/>
      <c r="E52" s="12"/>
    </row>
    <row r="53" spans="1:5" x14ac:dyDescent="0.2">
      <c r="A53" s="25" t="s">
        <v>51</v>
      </c>
      <c r="B53" s="41">
        <v>0</v>
      </c>
      <c r="E53" s="12"/>
    </row>
    <row r="54" spans="1:5" x14ac:dyDescent="0.2">
      <c r="A54" s="25" t="s">
        <v>50</v>
      </c>
      <c r="B54" s="41">
        <v>0</v>
      </c>
      <c r="C54" s="14"/>
      <c r="E54" s="12"/>
    </row>
    <row r="55" spans="1:5" x14ac:dyDescent="0.2">
      <c r="A55" s="25" t="s">
        <v>29</v>
      </c>
      <c r="B55" s="41">
        <v>0</v>
      </c>
      <c r="C55" s="14"/>
      <c r="E55" s="12"/>
    </row>
    <row r="56" spans="1:5" ht="13.5" thickBot="1" x14ac:dyDescent="0.25">
      <c r="A56" s="25" t="s">
        <v>42</v>
      </c>
      <c r="B56" s="41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758679</v>
      </c>
      <c r="E57" s="12"/>
    </row>
    <row r="58" spans="1:5" ht="13.5" thickBot="1" x14ac:dyDescent="0.25">
      <c r="A58" s="30"/>
      <c r="B58" s="37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2023-09-10T17:11:43Z</dcterms:modified>
</cp:coreProperties>
</file>