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DD74A9-E39E-499C-A70E-9E7F3A0D669E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X2" i="9"/>
  <c r="Y2" i="9"/>
  <c r="AH2" i="9"/>
  <c r="AJ2" i="9"/>
  <c r="AK2" i="9"/>
  <c r="K3" i="9"/>
  <c r="L3" i="9"/>
  <c r="P3" i="9"/>
  <c r="T3" i="9"/>
  <c r="X3" i="9"/>
  <c r="Y3" i="9"/>
  <c r="Z3" i="9"/>
  <c r="AH3" i="9"/>
  <c r="AJ3" i="9"/>
  <c r="AK3" i="9"/>
  <c r="D4" i="9"/>
  <c r="K4" i="9"/>
  <c r="L4" i="9"/>
  <c r="M4" i="9"/>
  <c r="X4" i="9"/>
  <c r="Y4" i="9"/>
  <c r="Z4" i="9"/>
  <c r="AG4" i="9"/>
  <c r="AH4" i="9"/>
  <c r="AJ4" i="9"/>
  <c r="AK4" i="9"/>
  <c r="K5" i="9"/>
  <c r="L5" i="9"/>
  <c r="M5" i="9"/>
  <c r="X5" i="9"/>
  <c r="Y5" i="9"/>
  <c r="Z5" i="9"/>
  <c r="AG5" i="9"/>
  <c r="AH5" i="9"/>
  <c r="AJ5" i="9"/>
  <c r="AK5" i="9"/>
  <c r="K6" i="9"/>
  <c r="L6" i="9"/>
  <c r="M6" i="9"/>
  <c r="X6" i="9"/>
  <c r="Y6" i="9"/>
  <c r="Z6" i="9"/>
  <c r="AG6" i="9"/>
  <c r="AH6" i="9"/>
  <c r="AJ6" i="9"/>
  <c r="AK6" i="9"/>
  <c r="X7" i="9"/>
  <c r="Y7" i="9"/>
  <c r="Z7" i="9"/>
  <c r="AG7" i="9"/>
  <c r="AH7" i="9"/>
  <c r="AJ7" i="9"/>
  <c r="AK7" i="9"/>
  <c r="X8" i="9"/>
  <c r="Z8" i="9"/>
  <c r="AG8" i="9"/>
  <c r="AH8" i="9"/>
  <c r="AJ8" i="9"/>
  <c r="AK8" i="9"/>
  <c r="X9" i="9"/>
  <c r="Y9" i="9"/>
  <c r="Z9" i="9"/>
  <c r="AG9" i="9"/>
  <c r="AH9" i="9"/>
  <c r="AJ9" i="9"/>
  <c r="AK9" i="9"/>
  <c r="Z10" i="9"/>
  <c r="AG10" i="9"/>
  <c r="AH10" i="9"/>
  <c r="AJ10" i="9"/>
  <c r="AK10" i="9"/>
  <c r="X11" i="9"/>
  <c r="Y11" i="9"/>
  <c r="Z11" i="9"/>
  <c r="AG11" i="9"/>
  <c r="AH11" i="9"/>
  <c r="AJ11" i="9"/>
  <c r="AK11" i="9"/>
  <c r="B12" i="9"/>
  <c r="X12" i="9"/>
  <c r="Y12" i="9"/>
  <c r="Z12" i="9"/>
  <c r="AG12" i="9"/>
  <c r="AH12" i="9"/>
  <c r="AJ12" i="9"/>
  <c r="AK12" i="9"/>
  <c r="Y13" i="9"/>
  <c r="Z13" i="9"/>
  <c r="AG13" i="9"/>
  <c r="AH13" i="9"/>
  <c r="AJ13" i="9"/>
  <c r="AK13" i="9"/>
  <c r="E14" i="9"/>
  <c r="X14" i="9"/>
  <c r="Y14" i="9"/>
  <c r="Z14" i="9"/>
  <c r="AG14" i="9"/>
  <c r="AH14" i="9"/>
  <c r="AJ14" i="9"/>
  <c r="AK14" i="9"/>
  <c r="F15" i="9"/>
  <c r="X15" i="9"/>
  <c r="Y15" i="9"/>
  <c r="Z15" i="9"/>
  <c r="AG15" i="9"/>
  <c r="AJ15" i="9"/>
  <c r="AK15" i="9"/>
  <c r="X16" i="9"/>
  <c r="Y16" i="9"/>
  <c r="Z16" i="9"/>
  <c r="AG16" i="9"/>
  <c r="AJ16" i="9"/>
  <c r="Z17" i="9"/>
  <c r="AG17" i="9"/>
  <c r="AJ17" i="9"/>
  <c r="Z18" i="9"/>
  <c r="AG18" i="9"/>
  <c r="AJ18" i="9"/>
  <c r="Z19" i="9"/>
  <c r="AG19" i="9"/>
  <c r="AJ19" i="9"/>
  <c r="Z20" i="9"/>
  <c r="AG20" i="9"/>
  <c r="AJ20" i="9"/>
  <c r="Z21" i="9"/>
  <c r="AJ21" i="9"/>
  <c r="Z22" i="9"/>
  <c r="AJ22" i="9"/>
  <c r="Z23" i="9"/>
  <c r="AJ23" i="9"/>
  <c r="Z24" i="9"/>
  <c r="AJ24" i="9"/>
  <c r="Z25" i="9"/>
  <c r="AJ25" i="9"/>
  <c r="Z26" i="9"/>
  <c r="AJ26" i="9"/>
  <c r="Z27" i="9"/>
  <c r="AJ27" i="9"/>
  <c r="B28" i="9"/>
  <c r="C28" i="9"/>
  <c r="Z28" i="9"/>
  <c r="AJ28" i="9"/>
  <c r="E29" i="9"/>
  <c r="Z29" i="9"/>
  <c r="AJ29" i="9"/>
  <c r="Z30" i="9"/>
  <c r="AJ30" i="9"/>
  <c r="Z31" i="9"/>
  <c r="AJ31" i="9"/>
  <c r="Z32" i="9"/>
  <c r="AJ32" i="9"/>
  <c r="B57" i="9"/>
  <c r="B1" i="11"/>
  <c r="H1" i="11"/>
  <c r="B2" i="11"/>
  <c r="H2" i="11"/>
  <c r="D4" i="11"/>
  <c r="J4" i="11"/>
  <c r="E14" i="11"/>
  <c r="K14" i="11"/>
  <c r="F15" i="11"/>
  <c r="L15" i="11"/>
  <c r="B28" i="11"/>
  <c r="C28" i="11"/>
  <c r="H28" i="11"/>
  <c r="I28" i="11"/>
  <c r="E29" i="11"/>
  <c r="K29" i="11"/>
  <c r="B57" i="11"/>
  <c r="H57" i="11"/>
</calcChain>
</file>

<file path=xl/sharedStrings.xml><?xml version="1.0" encoding="utf-8"?>
<sst xmlns="http://schemas.openxmlformats.org/spreadsheetml/2006/main" count="278" uniqueCount="74">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</sst>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1-4620-917A-54490938BCBF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1-4620-917A-54490938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933503"/>
        <c:axId val="1"/>
      </c:lineChart>
      <c:catAx>
        <c:axId val="158493350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933503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19C-4945-9040-790C3A383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9711"/>
        <c:axId val="1"/>
      </c:lineChart>
      <c:catAx>
        <c:axId val="1588469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469711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18-44CA-BFB0-F2B806D83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70639"/>
        <c:axId val="1"/>
      </c:lineChart>
      <c:catAx>
        <c:axId val="1588470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47063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ED-4EB1-86E2-38414D90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5999"/>
        <c:axId val="1"/>
      </c:lineChart>
      <c:catAx>
        <c:axId val="1588465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46599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3-4993-B858-9E608B1072E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3-4993-B858-9E608B107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67999"/>
        <c:axId val="1"/>
      </c:lineChart>
      <c:catAx>
        <c:axId val="158886799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86799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A-42AC-BD37-BF5DF4F70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64751"/>
        <c:axId val="1"/>
      </c:lineChart>
      <c:dateAx>
        <c:axId val="158886475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86475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5-46B2-94FC-AA8BA37C9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62895"/>
        <c:axId val="1"/>
      </c:lineChart>
      <c:catAx>
        <c:axId val="158886289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862895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1C-4909-B44F-47EEA36C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67071"/>
        <c:axId val="1"/>
      </c:lineChart>
      <c:catAx>
        <c:axId val="158886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867071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4E8-4D93-ADED-B0CC5832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61503"/>
        <c:axId val="1"/>
      </c:lineChart>
      <c:catAx>
        <c:axId val="1588861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86150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81-4FDF-8D4D-CFF1F6438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864287"/>
        <c:axId val="1"/>
      </c:lineChart>
      <c:catAx>
        <c:axId val="1588864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86428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5-47CC-A1AA-7CAF1A180B74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5-47CC-A1AA-7CAF1A180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25647"/>
        <c:axId val="1"/>
      </c:lineChart>
      <c:catAx>
        <c:axId val="158932564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325647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5-4660-B6DA-792935E1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636623"/>
        <c:axId val="1"/>
      </c:lineChart>
      <c:dateAx>
        <c:axId val="158763662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3662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6-4741-A9CF-BC6A5AD59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26111"/>
        <c:axId val="1"/>
      </c:lineChart>
      <c:dateAx>
        <c:axId val="158932611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32611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4-47EA-8975-0E92A93B0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27039"/>
        <c:axId val="1"/>
      </c:lineChart>
      <c:catAx>
        <c:axId val="158932703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327039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9BD-43F5-84EB-840E407BD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25183"/>
        <c:axId val="1"/>
      </c:lineChart>
      <c:catAx>
        <c:axId val="1589325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325183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AB-443D-91D5-33745EAC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21935"/>
        <c:axId val="1"/>
      </c:lineChart>
      <c:catAx>
        <c:axId val="1589321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932193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F2-4C20-916D-ABA4DC9D1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061519"/>
        <c:axId val="1"/>
      </c:lineChart>
      <c:catAx>
        <c:axId val="1590061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06151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B7-4A98-8C9F-88282CE16F0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B7-4A98-8C9F-88282CE16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059199"/>
        <c:axId val="1"/>
      </c:lineChart>
      <c:catAx>
        <c:axId val="159005919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05919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A95-A334-81DB45159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064303"/>
        <c:axId val="1"/>
      </c:lineChart>
      <c:dateAx>
        <c:axId val="15900643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06430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B-4D34-95C6-8C945045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065231"/>
        <c:axId val="1"/>
      </c:lineChart>
      <c:catAx>
        <c:axId val="159006523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065231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C2C-426D-85F0-1E92C2997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061983"/>
        <c:axId val="1"/>
      </c:lineChart>
      <c:catAx>
        <c:axId val="1590061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061983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CD-4697-A81C-3B0CB53C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065695"/>
        <c:axId val="1"/>
      </c:lineChart>
      <c:catAx>
        <c:axId val="1590065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06569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4-4064-9F9A-F81648AEC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631983"/>
        <c:axId val="1"/>
      </c:lineChart>
      <c:catAx>
        <c:axId val="15876319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31983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9F-47A9-A83C-38C8F4B3F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19407"/>
        <c:axId val="1"/>
      </c:lineChart>
      <c:catAx>
        <c:axId val="1590619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61940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92536467735378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96356281903992E-2"/>
          <c:y val="8.1463262640793954E-2"/>
          <c:w val="0.9353614800543284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252000</c:v>
                </c:pt>
                <c:pt idx="11">
                  <c:v>246000</c:v>
                </c:pt>
                <c:pt idx="12">
                  <c:v>252000</c:v>
                </c:pt>
                <c:pt idx="13">
                  <c:v>258000</c:v>
                </c:pt>
                <c:pt idx="14">
                  <c:v>279000</c:v>
                </c:pt>
                <c:pt idx="15">
                  <c:v>273000</c:v>
                </c:pt>
                <c:pt idx="16">
                  <c:v>273000</c:v>
                </c:pt>
                <c:pt idx="17">
                  <c:v>267000</c:v>
                </c:pt>
                <c:pt idx="18">
                  <c:v>252000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69-4057-B46E-7ED5B38869DB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  <c:pt idx="7">
                  <c:v>282740</c:v>
                </c:pt>
                <c:pt idx="8">
                  <c:v>259341</c:v>
                </c:pt>
                <c:pt idx="9">
                  <c:v>260992</c:v>
                </c:pt>
                <c:pt idx="10">
                  <c:v>347490</c:v>
                </c:pt>
                <c:pt idx="11">
                  <c:v>379302</c:v>
                </c:pt>
                <c:pt idx="12">
                  <c:v>317757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69-4057-B46E-7ED5B388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23583"/>
        <c:axId val="1"/>
      </c:lineChart>
      <c:catAx>
        <c:axId val="1590623583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623583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18009865949171"/>
          <c:y val="0.86238695278357735"/>
          <c:w val="5.2323803723969345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8958292753754703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074037434712"/>
          <c:y val="9.2359829647805453E-2"/>
          <c:w val="0.82057821351412463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66800</c:v>
                </c:pt>
                <c:pt idx="1">
                  <c:v>79008</c:v>
                </c:pt>
                <c:pt idx="2">
                  <c:v>22200</c:v>
                </c:pt>
                <c:pt idx="3">
                  <c:v>17000</c:v>
                </c:pt>
                <c:pt idx="4">
                  <c:v>11400</c:v>
                </c:pt>
                <c:pt idx="5">
                  <c:v>24800</c:v>
                </c:pt>
                <c:pt idx="6">
                  <c:v>23640</c:v>
                </c:pt>
                <c:pt idx="7">
                  <c:v>42580</c:v>
                </c:pt>
                <c:pt idx="8">
                  <c:v>0</c:v>
                </c:pt>
                <c:pt idx="9">
                  <c:v>19726</c:v>
                </c:pt>
                <c:pt idx="10">
                  <c:v>8380</c:v>
                </c:pt>
                <c:pt idx="11">
                  <c:v>0</c:v>
                </c:pt>
                <c:pt idx="12">
                  <c:v>394</c:v>
                </c:pt>
                <c:pt idx="13">
                  <c:v>73400</c:v>
                </c:pt>
                <c:pt idx="14">
                  <c:v>38000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8-47BC-A890-680BCE523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20335"/>
        <c:axId val="1"/>
      </c:lineChart>
      <c:dateAx>
        <c:axId val="15906203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62033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77409403444778"/>
          <c:y val="0.93633758332602768"/>
          <c:w val="0.1855887174489889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1550450958627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864509758545068E-2"/>
          <c:y val="0.10057780555495467"/>
          <c:w val="0.94696341791863903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  <c:pt idx="7">
                  <c:v>198400</c:v>
                </c:pt>
                <c:pt idx="8">
                  <c:v>195640</c:v>
                </c:pt>
                <c:pt idx="9">
                  <c:v>197140</c:v>
                </c:pt>
                <c:pt idx="10">
                  <c:v>197635</c:v>
                </c:pt>
                <c:pt idx="11">
                  <c:v>197535</c:v>
                </c:pt>
                <c:pt idx="12">
                  <c:v>197535</c:v>
                </c:pt>
                <c:pt idx="13">
                  <c:v>197535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E-435C-AB1A-0CBAFAF0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17087"/>
        <c:axId val="1"/>
      </c:lineChart>
      <c:catAx>
        <c:axId val="1590617087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617087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227018676127151"/>
          <c:y val="0.93106311428015176"/>
          <c:w val="4.3043791723574504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58844453167165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198492.4192</c:v>
                </c:pt>
                <c:pt idx="2">
                  <c:v>211292.4192</c:v>
                </c:pt>
                <c:pt idx="3">
                  <c:v>217936.4192</c:v>
                </c:pt>
                <c:pt idx="4">
                  <c:v>230180.4192</c:v>
                </c:pt>
                <c:pt idx="5">
                  <c:v>225380.4192</c:v>
                </c:pt>
                <c:pt idx="6">
                  <c:v>201740.4192</c:v>
                </c:pt>
                <c:pt idx="7">
                  <c:v>180360.4192</c:v>
                </c:pt>
                <c:pt idx="8">
                  <c:v>180360.4192</c:v>
                </c:pt>
                <c:pt idx="9">
                  <c:v>180634.4192</c:v>
                </c:pt>
                <c:pt idx="10">
                  <c:v>192254.4192</c:v>
                </c:pt>
                <c:pt idx="11">
                  <c:v>212254.4192</c:v>
                </c:pt>
                <c:pt idx="12">
                  <c:v>231860.4192</c:v>
                </c:pt>
                <c:pt idx="13">
                  <c:v>198460.4192</c:v>
                </c:pt>
                <c:pt idx="14">
                  <c:v>174460.4192</c:v>
                </c:pt>
                <c:pt idx="15">
                  <c:v>174460.4192</c:v>
                </c:pt>
                <c:pt idx="16">
                  <c:v>174460.4192</c:v>
                </c:pt>
                <c:pt idx="17">
                  <c:v>174460.4192</c:v>
                </c:pt>
                <c:pt idx="18">
                  <c:v>174460.4192</c:v>
                </c:pt>
                <c:pt idx="19">
                  <c:v>174460.4192</c:v>
                </c:pt>
                <c:pt idx="20">
                  <c:v>174460.4192</c:v>
                </c:pt>
                <c:pt idx="21">
                  <c:v>174460.4192</c:v>
                </c:pt>
                <c:pt idx="22">
                  <c:v>174460.4192</c:v>
                </c:pt>
                <c:pt idx="23">
                  <c:v>174460.4192</c:v>
                </c:pt>
                <c:pt idx="24">
                  <c:v>174460.4192</c:v>
                </c:pt>
                <c:pt idx="25">
                  <c:v>174460.4192</c:v>
                </c:pt>
                <c:pt idx="26">
                  <c:v>174460.4192</c:v>
                </c:pt>
                <c:pt idx="27">
                  <c:v>174460.4192</c:v>
                </c:pt>
                <c:pt idx="28">
                  <c:v>174460.4192</c:v>
                </c:pt>
                <c:pt idx="29">
                  <c:v>174460.4192</c:v>
                </c:pt>
                <c:pt idx="30">
                  <c:v>174460.4192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5F-4E55-B0BF-42F16BD7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22191"/>
        <c:axId val="1"/>
      </c:lineChart>
      <c:catAx>
        <c:axId val="15906221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622191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15373369963081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6621708240985"/>
          <c:y val="9.2066471179913623E-2"/>
          <c:w val="0.85323872016879854"/>
          <c:h val="0.6190676510373502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E9-4AA6-979C-566F893EC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616159"/>
        <c:axId val="1"/>
      </c:lineChart>
      <c:catAx>
        <c:axId val="15906161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061615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3715974595111"/>
          <c:y val="0.93336353541015882"/>
          <c:w val="0.10244981048621774"/>
          <c:h val="5.71447062496015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284481739858756"/>
          <c:y val="1.577340416389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485744150583637E-2"/>
          <c:w val="0.86504971528704544"/>
          <c:h val="0.618317443224634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F0-4E68-9EC3-AF0381DD4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111759"/>
        <c:axId val="1"/>
      </c:lineChart>
      <c:catAx>
        <c:axId val="14981117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811175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9402073352876"/>
          <c:w val="0.13498258980150207"/>
          <c:h val="5.04748933244599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9DA-42B3-806E-48FFD72B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634767"/>
        <c:axId val="1"/>
      </c:lineChart>
      <c:catAx>
        <c:axId val="1587634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34767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2A-44BF-9483-198272AA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638015"/>
        <c:axId val="1"/>
      </c:lineChart>
      <c:catAx>
        <c:axId val="1587638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3801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EB-42C8-BC03-AFA54D45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639407"/>
        <c:axId val="1"/>
      </c:lineChart>
      <c:catAx>
        <c:axId val="1587639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3940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D-49EE-98AA-3AC523F4D84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D-49EE-98AA-3AC523F4D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6463"/>
        <c:axId val="1"/>
      </c:lineChart>
      <c:catAx>
        <c:axId val="158846646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466463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9-4698-AA3B-29336E307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7855"/>
        <c:axId val="1"/>
      </c:lineChart>
      <c:dateAx>
        <c:axId val="158846785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46785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D-4F7A-BDA1-9BD93A63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464143"/>
        <c:axId val="1"/>
      </c:lineChart>
      <c:catAx>
        <c:axId val="158846414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464143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23072A17-513A-F58A-5FBA-4629C095E262}"/>
            </a:ext>
          </a:extLst>
        </xdr:cNvPr>
        <xdr:cNvSpPr txBox="1">
          <a:spLocks noChangeArrowheads="1"/>
        </xdr:cNvSpPr>
      </xdr:nvSpPr>
      <xdr:spPr bwMode="auto">
        <a:xfrm>
          <a:off x="314325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>
          <a:extLst>
            <a:ext uri="{FF2B5EF4-FFF2-40B4-BE49-F238E27FC236}">
              <a16:creationId xmlns:a16="http://schemas.microsoft.com/office/drawing/2014/main" id="{AAFC046A-F32E-4202-7385-E42480A8BA2B}"/>
            </a:ext>
          </a:extLst>
        </xdr:cNvPr>
        <xdr:cNvSpPr txBox="1">
          <a:spLocks noChangeArrowheads="1"/>
        </xdr:cNvSpPr>
      </xdr:nvSpPr>
      <xdr:spPr bwMode="auto">
        <a:xfrm>
          <a:off x="9753600" y="53244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78A42FD-7515-5565-91F7-20008540E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676E044-D01A-9342-C645-376F2AEDE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ADB1A1BA-B208-56B7-B0E7-F525E5CC6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AF3BD0D-F78D-774A-C3D9-6BF63357D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3E82884A-0E85-FD98-E0D5-02872A22A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1A5C04E1-7A6E-D10D-8F1C-AD19FA0BD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B45873C2-E753-D995-F89F-71888F87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E7C7A06B-5676-7CEC-942C-1163D5262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8DC13FEC-433D-9B3D-8303-07961F405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4AF6C79F-7BAE-0E3B-F9A3-764CDA8E1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8EF49EC7-94E1-D1F2-9021-01DBFC42F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AD77223-3743-5479-02B3-E017EE956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639DB8D8-F80B-D0EE-44F0-A57D3296F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7062EA85-BF35-1C1C-431E-1D83CA60C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7D0CCFA6-2BA5-0D84-BE45-B7DF28943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A5376920-162D-17A6-D21C-C870EC35C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8C9C109F-A3C0-705F-06EB-131CA1A1D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03E3917E-F736-F0C5-15A8-46E1AB3C2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F0CF48FD-45AE-0F9D-E5C4-A8E78D645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F009B476-ADCC-0A91-F596-4FECC4AB0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156F5B15-E69D-24CC-9363-FA938EEAD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0B8F96DD-1146-6E39-7D6C-A2A9065AC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1EE16634-A063-EA4E-D3C1-455873E25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233EF1F4-A00D-B99B-C834-B3FC2E37E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8434B65D-C441-2C7B-63C5-F90ECAE55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35D93A33-2180-D364-74A7-FFBED1B36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967EF263-94AA-FB54-80F2-C9AACC5C8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D9FC501D-04AD-3972-DD3D-7A505E610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EADE89C3-7B0C-635E-4BF1-1836A5CD4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ECF9C4D2-1B50-5D9A-D1AF-C9B8B072A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1869E492-66AE-C994-2A50-0A213B759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1A707070-6218-D8D1-2F26-EA63596A2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221F18B7-260C-5DAD-919D-530EED634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A68C1BB7-6B2D-85BF-0DC7-AEDD5099D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F58D67A8-2D0F-E7A8-ED84-942C09487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3E6B9108-BA98-B00D-D17B-176F6BA09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76144276-033E-A2DC-C1E3-423C3359C941}"/>
            </a:ext>
          </a:extLst>
        </xdr:cNvPr>
        <xdr:cNvSpPr txBox="1">
          <a:spLocks noChangeArrowheads="1"/>
        </xdr:cNvSpPr>
      </xdr:nvSpPr>
      <xdr:spPr bwMode="auto">
        <a:xfrm>
          <a:off x="3143250" y="54768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13" sqref="A13"/>
    </sheetView>
  </sheetViews>
  <sheetFormatPr defaultRowHeight="12.75" x14ac:dyDescent="0.2"/>
  <cols>
    <col min="1" max="1" width="30.42578125" style="44" bestFit="1" customWidth="1"/>
    <col min="2" max="2" width="11" style="44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4" t="s">
        <v>0</v>
      </c>
      <c r="B1" s="45">
        <f ca="1">TODAY()</f>
        <v>37026</v>
      </c>
      <c r="G1" s="2" t="s">
        <v>0</v>
      </c>
      <c r="H1" s="3">
        <f ca="1">TODAY()</f>
        <v>37026</v>
      </c>
    </row>
    <row r="2" spans="1:12" ht="13.5" thickBot="1" x14ac:dyDescent="0.25">
      <c r="A2" s="44" t="s">
        <v>12</v>
      </c>
      <c r="B2" s="45">
        <f ca="1">TODAY()+2</f>
        <v>37028</v>
      </c>
      <c r="G2" s="2" t="s">
        <v>12</v>
      </c>
      <c r="H2" s="3">
        <f ca="1">TODAY()+3</f>
        <v>37029</v>
      </c>
    </row>
    <row r="3" spans="1:12" ht="25.5" customHeight="1" thickBot="1" x14ac:dyDescent="0.25">
      <c r="B3" s="46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5" thickBot="1" x14ac:dyDescent="0.25">
      <c r="A4" s="2" t="s">
        <v>16</v>
      </c>
      <c r="B4" s="16">
        <v>74</v>
      </c>
      <c r="C4" s="17">
        <v>52</v>
      </c>
      <c r="D4" s="18">
        <f>AVERAGE(B4,C4)</f>
        <v>63</v>
      </c>
      <c r="G4" s="2" t="s">
        <v>16</v>
      </c>
      <c r="H4" s="16">
        <v>77</v>
      </c>
      <c r="I4" s="17">
        <v>56</v>
      </c>
      <c r="J4" s="18">
        <f>AVERAGE(H4,I4)</f>
        <v>66.5</v>
      </c>
    </row>
    <row r="5" spans="1:12" x14ac:dyDescent="0.2">
      <c r="A5" s="19"/>
      <c r="B5" s="20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">
      <c r="A6" s="25" t="s">
        <v>21</v>
      </c>
      <c r="B6" s="26">
        <v>-215000</v>
      </c>
      <c r="C6" s="12">
        <v>-233000</v>
      </c>
      <c r="D6" s="25" t="s">
        <v>22</v>
      </c>
      <c r="E6" s="26">
        <v>-36000</v>
      </c>
      <c r="F6" s="12">
        <v>-39000</v>
      </c>
      <c r="G6" s="25" t="s">
        <v>21</v>
      </c>
      <c r="H6" s="26">
        <v>-220000</v>
      </c>
      <c r="I6" s="12">
        <v>-231000</v>
      </c>
      <c r="J6" s="25" t="s">
        <v>22</v>
      </c>
      <c r="K6" s="26">
        <v>-37000</v>
      </c>
      <c r="L6" s="12">
        <v>-41000</v>
      </c>
    </row>
    <row r="7" spans="1:12" x14ac:dyDescent="0.2">
      <c r="A7" s="25" t="s">
        <v>58</v>
      </c>
      <c r="B7" s="26"/>
      <c r="D7" s="25" t="s">
        <v>25</v>
      </c>
      <c r="E7" s="26">
        <v>0</v>
      </c>
      <c r="G7" s="25" t="s">
        <v>58</v>
      </c>
      <c r="H7" s="26"/>
      <c r="J7" s="25" t="s">
        <v>25</v>
      </c>
      <c r="K7" s="26">
        <v>0</v>
      </c>
    </row>
    <row r="8" spans="1:12" x14ac:dyDescent="0.2">
      <c r="A8" s="25" t="s">
        <v>62</v>
      </c>
      <c r="B8" s="26">
        <v>0</v>
      </c>
      <c r="D8" s="25" t="s">
        <v>27</v>
      </c>
      <c r="E8" s="26"/>
      <c r="G8" s="25" t="s">
        <v>62</v>
      </c>
      <c r="H8" s="26">
        <v>0</v>
      </c>
      <c r="J8" s="25" t="s">
        <v>27</v>
      </c>
      <c r="K8" s="26"/>
    </row>
    <row r="9" spans="1:12" x14ac:dyDescent="0.2">
      <c r="A9" s="25" t="s">
        <v>68</v>
      </c>
      <c r="B9" s="26">
        <v>-50000</v>
      </c>
      <c r="D9" s="25" t="s">
        <v>29</v>
      </c>
      <c r="E9" s="26">
        <v>0</v>
      </c>
      <c r="G9" s="25" t="s">
        <v>68</v>
      </c>
      <c r="H9" s="26">
        <v>-50000</v>
      </c>
      <c r="J9" s="25" t="s">
        <v>29</v>
      </c>
      <c r="K9" s="26">
        <v>0</v>
      </c>
    </row>
    <row r="10" spans="1:12" x14ac:dyDescent="0.2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42" t="s">
        <v>63</v>
      </c>
      <c r="H10" s="26">
        <v>0</v>
      </c>
      <c r="I10" s="14" t="s">
        <v>17</v>
      </c>
      <c r="J10" s="25" t="s">
        <v>52</v>
      </c>
      <c r="K10" s="26">
        <v>-8340</v>
      </c>
    </row>
    <row r="11" spans="1:12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">
      <c r="A12" s="25" t="s">
        <v>29</v>
      </c>
      <c r="B12" s="26">
        <v>-170000</v>
      </c>
      <c r="C12" s="14"/>
      <c r="D12" s="42" t="s">
        <v>55</v>
      </c>
      <c r="E12" s="40">
        <v>0</v>
      </c>
      <c r="G12" s="25" t="s">
        <v>29</v>
      </c>
      <c r="H12" s="26">
        <v>-170000</v>
      </c>
      <c r="I12" s="14"/>
      <c r="J12" s="42" t="s">
        <v>55</v>
      </c>
      <c r="K12" s="40">
        <v>0</v>
      </c>
    </row>
    <row r="13" spans="1:12" ht="13.5" thickBot="1" x14ac:dyDescent="0.25">
      <c r="A13" s="25" t="s">
        <v>61</v>
      </c>
      <c r="B13" s="26">
        <v>0</v>
      </c>
      <c r="C13" s="1"/>
      <c r="D13" s="25" t="s">
        <v>32</v>
      </c>
      <c r="E13" s="26">
        <v>-16254</v>
      </c>
      <c r="G13" s="25" t="s">
        <v>61</v>
      </c>
      <c r="H13" s="26">
        <v>0</v>
      </c>
      <c r="I13" s="1"/>
      <c r="J13" s="25" t="s">
        <v>32</v>
      </c>
      <c r="K13" s="26">
        <v>-15254</v>
      </c>
    </row>
    <row r="14" spans="1:12" ht="13.5" thickBot="1" x14ac:dyDescent="0.25">
      <c r="A14" s="25" t="s">
        <v>19</v>
      </c>
      <c r="B14" s="26">
        <v>-7000</v>
      </c>
      <c r="C14" s="14"/>
      <c r="D14" s="33" t="s">
        <v>33</v>
      </c>
      <c r="E14" s="34">
        <f>SUM(E6:E13)</f>
        <v>-80594</v>
      </c>
      <c r="G14" s="25" t="s">
        <v>19</v>
      </c>
      <c r="H14" s="26">
        <v>-7000</v>
      </c>
      <c r="I14" s="14"/>
      <c r="J14" s="33" t="s">
        <v>33</v>
      </c>
      <c r="K14" s="34">
        <f>SUM(K6:K13)</f>
        <v>-80594</v>
      </c>
    </row>
    <row r="15" spans="1:12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25" t="s">
        <v>27</v>
      </c>
      <c r="H15" s="26"/>
      <c r="I15" s="14"/>
      <c r="J15" s="25"/>
      <c r="K15" s="26"/>
      <c r="L15" s="14">
        <f>+K14+K29</f>
        <v>0</v>
      </c>
    </row>
    <row r="16" spans="1:12" x14ac:dyDescent="0.2">
      <c r="A16" s="25" t="s">
        <v>60</v>
      </c>
      <c r="B16" s="26">
        <v>-40000</v>
      </c>
      <c r="C16" s="14"/>
      <c r="D16" s="25" t="s">
        <v>38</v>
      </c>
      <c r="E16" s="26">
        <v>22875</v>
      </c>
      <c r="G16" s="25" t="s">
        <v>60</v>
      </c>
      <c r="H16" s="26">
        <v>-40000</v>
      </c>
      <c r="I16" s="14"/>
      <c r="J16" s="25" t="s">
        <v>38</v>
      </c>
      <c r="K16" s="26">
        <v>22875</v>
      </c>
    </row>
    <row r="17" spans="1:12" x14ac:dyDescent="0.2">
      <c r="A17" s="25" t="s">
        <v>32</v>
      </c>
      <c r="B17" s="40">
        <v>0</v>
      </c>
      <c r="C17" s="14"/>
      <c r="D17" s="25" t="s">
        <v>39</v>
      </c>
      <c r="E17" s="26">
        <v>10000</v>
      </c>
      <c r="G17" s="25" t="s">
        <v>32</v>
      </c>
      <c r="H17" s="40">
        <v>0</v>
      </c>
      <c r="I17" s="14"/>
      <c r="J17" s="25" t="s">
        <v>39</v>
      </c>
      <c r="K17" s="26">
        <v>10000</v>
      </c>
    </row>
    <row r="18" spans="1:12" x14ac:dyDescent="0.2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25" t="s">
        <v>34</v>
      </c>
      <c r="H18" s="26">
        <v>0</v>
      </c>
      <c r="J18" s="25" t="s">
        <v>40</v>
      </c>
      <c r="K18" s="26">
        <v>7603</v>
      </c>
      <c r="L18" s="14" t="s">
        <v>17</v>
      </c>
    </row>
    <row r="19" spans="1:12" x14ac:dyDescent="0.2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25" t="s">
        <v>30</v>
      </c>
      <c r="H19" s="26">
        <v>-70000</v>
      </c>
      <c r="I19" s="41"/>
      <c r="J19" s="25" t="s">
        <v>41</v>
      </c>
      <c r="K19" s="26">
        <v>20831</v>
      </c>
    </row>
    <row r="20" spans="1:12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25" t="s">
        <v>50</v>
      </c>
      <c r="H20" s="26">
        <v>0</v>
      </c>
      <c r="I20" s="14"/>
      <c r="J20" s="25" t="s">
        <v>46</v>
      </c>
      <c r="K20" s="26">
        <v>0</v>
      </c>
    </row>
    <row r="21" spans="1:12" x14ac:dyDescent="0.2">
      <c r="A21" s="25" t="s">
        <v>51</v>
      </c>
      <c r="B21" s="26">
        <v>0</v>
      </c>
      <c r="C21" s="14"/>
      <c r="D21" s="25" t="s">
        <v>59</v>
      </c>
      <c r="E21" s="26">
        <v>4340</v>
      </c>
      <c r="G21" s="25" t="s">
        <v>51</v>
      </c>
      <c r="H21" s="26">
        <v>0</v>
      </c>
      <c r="I21" s="14"/>
      <c r="J21" s="25" t="s">
        <v>59</v>
      </c>
      <c r="K21" s="26">
        <v>4340</v>
      </c>
    </row>
    <row r="22" spans="1:12" x14ac:dyDescent="0.2">
      <c r="A22" s="25" t="s">
        <v>35</v>
      </c>
      <c r="B22" s="26">
        <v>-29198</v>
      </c>
      <c r="D22" s="25" t="s">
        <v>69</v>
      </c>
      <c r="E22" s="26">
        <v>6945</v>
      </c>
      <c r="G22" s="25" t="s">
        <v>35</v>
      </c>
      <c r="H22" s="26">
        <v>-29198</v>
      </c>
      <c r="J22" s="25" t="s">
        <v>69</v>
      </c>
      <c r="K22" s="26">
        <v>6945</v>
      </c>
    </row>
    <row r="23" spans="1:12" x14ac:dyDescent="0.2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25" t="s">
        <v>29</v>
      </c>
      <c r="H23" s="40">
        <v>0</v>
      </c>
      <c r="I23" s="14" t="s">
        <v>17</v>
      </c>
      <c r="J23" s="25" t="s">
        <v>60</v>
      </c>
      <c r="K23" s="40">
        <v>0</v>
      </c>
      <c r="L23" s="14"/>
    </row>
    <row r="24" spans="1:12" x14ac:dyDescent="0.2">
      <c r="A24" s="25" t="s">
        <v>67</v>
      </c>
      <c r="B24" s="40">
        <v>0</v>
      </c>
      <c r="D24" s="25" t="s">
        <v>32</v>
      </c>
      <c r="E24" s="40">
        <v>0</v>
      </c>
      <c r="G24" s="25" t="s">
        <v>67</v>
      </c>
      <c r="H24" s="40">
        <v>0</v>
      </c>
      <c r="J24" s="25" t="s">
        <v>32</v>
      </c>
      <c r="K24" s="40">
        <v>0</v>
      </c>
    </row>
    <row r="25" spans="1:12" x14ac:dyDescent="0.2">
      <c r="A25" s="25" t="s">
        <v>36</v>
      </c>
      <c r="B25" s="26">
        <v>0</v>
      </c>
      <c r="D25" s="25" t="s">
        <v>29</v>
      </c>
      <c r="E25" s="40">
        <v>8000</v>
      </c>
      <c r="G25" s="25" t="s">
        <v>36</v>
      </c>
      <c r="H25" s="26">
        <v>0</v>
      </c>
      <c r="J25" s="25" t="s">
        <v>29</v>
      </c>
      <c r="K25" s="40">
        <v>8000</v>
      </c>
    </row>
    <row r="26" spans="1:12" x14ac:dyDescent="0.2">
      <c r="A26" s="25" t="s">
        <v>37</v>
      </c>
      <c r="B26" s="26">
        <v>0</v>
      </c>
      <c r="D26" s="25" t="s">
        <v>55</v>
      </c>
      <c r="E26" s="40">
        <v>0</v>
      </c>
      <c r="G26" s="25" t="s">
        <v>37</v>
      </c>
      <c r="H26" s="26">
        <v>0</v>
      </c>
      <c r="J26" s="25" t="s">
        <v>55</v>
      </c>
      <c r="K26" s="40">
        <v>0</v>
      </c>
    </row>
    <row r="27" spans="1:12" ht="13.5" thickBot="1" x14ac:dyDescent="0.25">
      <c r="A27" s="25" t="s">
        <v>66</v>
      </c>
      <c r="B27" s="26">
        <v>-20929</v>
      </c>
      <c r="C27" s="14"/>
      <c r="D27" s="25" t="s">
        <v>57</v>
      </c>
      <c r="E27" s="40">
        <v>0</v>
      </c>
      <c r="G27" s="25" t="s">
        <v>66</v>
      </c>
      <c r="H27" s="26">
        <v>-15929</v>
      </c>
      <c r="I27" s="14"/>
      <c r="J27" s="25" t="s">
        <v>57</v>
      </c>
      <c r="K27" s="40">
        <v>0</v>
      </c>
    </row>
    <row r="28" spans="1:12" ht="13.5" thickBot="1" x14ac:dyDescent="0.25">
      <c r="A28" s="33" t="s">
        <v>33</v>
      </c>
      <c r="B28" s="34">
        <f>SUM(B6:B27)</f>
        <v>-602127</v>
      </c>
      <c r="C28" s="14">
        <f>SUM(B28,B57)</f>
        <v>0</v>
      </c>
      <c r="D28" s="25" t="s">
        <v>42</v>
      </c>
      <c r="E28" s="26">
        <v>0</v>
      </c>
      <c r="G28" s="33" t="s">
        <v>33</v>
      </c>
      <c r="H28" s="34">
        <f>SUM(H6:H27)</f>
        <v>-602127</v>
      </c>
      <c r="I28" s="14">
        <f>SUM(H28,H57)</f>
        <v>0</v>
      </c>
      <c r="J28" s="25" t="s">
        <v>42</v>
      </c>
      <c r="K28" s="26">
        <v>0</v>
      </c>
    </row>
    <row r="29" spans="1:12" ht="13.5" thickBot="1" x14ac:dyDescent="0.25">
      <c r="A29" s="25"/>
      <c r="B29" s="40"/>
      <c r="C29" s="14"/>
      <c r="D29" s="33" t="s">
        <v>43</v>
      </c>
      <c r="E29" s="34">
        <f>SUM(E16:E28)</f>
        <v>80594</v>
      </c>
      <c r="G29" s="25"/>
      <c r="H29" s="40"/>
      <c r="I29" s="14"/>
      <c r="J29" s="33" t="s">
        <v>43</v>
      </c>
      <c r="K29" s="34">
        <f>SUM(K16:K28)</f>
        <v>80594</v>
      </c>
    </row>
    <row r="30" spans="1:12" ht="13.5" thickBot="1" x14ac:dyDescent="0.25">
      <c r="A30" s="25" t="s">
        <v>38</v>
      </c>
      <c r="B30" s="40">
        <v>103081</v>
      </c>
      <c r="C30" s="14"/>
      <c r="D30" s="30"/>
      <c r="E30" s="35"/>
      <c r="F30" s="14"/>
      <c r="G30" s="25" t="s">
        <v>38</v>
      </c>
      <c r="H30" s="40">
        <v>103081</v>
      </c>
      <c r="I30" s="14"/>
      <c r="J30" s="30"/>
      <c r="K30" s="35"/>
      <c r="L30" s="14"/>
    </row>
    <row r="31" spans="1:12" x14ac:dyDescent="0.2">
      <c r="A31" s="25" t="s">
        <v>39</v>
      </c>
      <c r="B31" s="40">
        <v>125000</v>
      </c>
      <c r="C31" s="14"/>
      <c r="E31" s="12"/>
      <c r="G31" s="25" t="s">
        <v>39</v>
      </c>
      <c r="H31" s="40">
        <v>125000</v>
      </c>
      <c r="I31" s="14"/>
      <c r="K31" s="12"/>
    </row>
    <row r="32" spans="1:12" x14ac:dyDescent="0.2">
      <c r="A32" s="25" t="s">
        <v>40</v>
      </c>
      <c r="B32" s="40">
        <v>0</v>
      </c>
      <c r="E32" s="12"/>
      <c r="G32" s="25" t="s">
        <v>40</v>
      </c>
      <c r="H32" s="40">
        <v>0</v>
      </c>
      <c r="K32" s="12"/>
    </row>
    <row r="33" spans="1:11" x14ac:dyDescent="0.2">
      <c r="A33" s="25" t="s">
        <v>41</v>
      </c>
      <c r="B33" s="40">
        <v>176804</v>
      </c>
      <c r="D33" s="52"/>
      <c r="G33" s="25" t="s">
        <v>41</v>
      </c>
      <c r="H33" s="40">
        <v>176804</v>
      </c>
      <c r="J33" s="52"/>
    </row>
    <row r="34" spans="1:11" x14ac:dyDescent="0.2">
      <c r="A34" s="25" t="s">
        <v>73</v>
      </c>
      <c r="B34" s="40">
        <v>29198</v>
      </c>
      <c r="C34" s="14"/>
      <c r="G34" s="25" t="s">
        <v>73</v>
      </c>
      <c r="H34" s="40">
        <v>29198</v>
      </c>
      <c r="I34" s="14"/>
    </row>
    <row r="35" spans="1:11" x14ac:dyDescent="0.2">
      <c r="A35" s="25" t="s">
        <v>65</v>
      </c>
      <c r="B35" s="40">
        <v>0</v>
      </c>
      <c r="G35" s="25" t="s">
        <v>65</v>
      </c>
      <c r="H35" s="40">
        <v>0</v>
      </c>
    </row>
    <row r="36" spans="1:11" x14ac:dyDescent="0.2">
      <c r="A36" s="25" t="s">
        <v>70</v>
      </c>
      <c r="B36" s="40">
        <v>0</v>
      </c>
      <c r="G36" s="25" t="s">
        <v>70</v>
      </c>
      <c r="H36" s="40">
        <v>0</v>
      </c>
    </row>
    <row r="37" spans="1:11" x14ac:dyDescent="0.2">
      <c r="A37" s="25" t="s">
        <v>56</v>
      </c>
      <c r="B37" s="40">
        <v>0</v>
      </c>
      <c r="D37" s="51"/>
      <c r="G37" s="25" t="s">
        <v>56</v>
      </c>
      <c r="H37" s="40">
        <v>0</v>
      </c>
      <c r="J37" s="51"/>
    </row>
    <row r="38" spans="1:11" x14ac:dyDescent="0.2">
      <c r="A38" s="25" t="s">
        <v>57</v>
      </c>
      <c r="B38" s="40">
        <v>20838</v>
      </c>
      <c r="D38" s="50"/>
      <c r="E38" s="14"/>
      <c r="G38" s="25" t="s">
        <v>57</v>
      </c>
      <c r="H38" s="40">
        <v>20838</v>
      </c>
      <c r="J38" s="50"/>
      <c r="K38" s="14"/>
    </row>
    <row r="39" spans="1:11" x14ac:dyDescent="0.2">
      <c r="A39" s="25" t="s">
        <v>19</v>
      </c>
      <c r="B39" s="40">
        <v>0</v>
      </c>
      <c r="G39" s="25" t="s">
        <v>19</v>
      </c>
      <c r="H39" s="40">
        <v>0</v>
      </c>
    </row>
    <row r="40" spans="1:11" x14ac:dyDescent="0.2">
      <c r="A40" s="25" t="s">
        <v>24</v>
      </c>
      <c r="B40" s="48"/>
      <c r="G40" s="25" t="s">
        <v>24</v>
      </c>
      <c r="H40" s="48"/>
    </row>
    <row r="41" spans="1:11" x14ac:dyDescent="0.2">
      <c r="A41" s="25" t="s">
        <v>64</v>
      </c>
      <c r="B41" s="40">
        <v>0</v>
      </c>
      <c r="G41" s="25" t="s">
        <v>64</v>
      </c>
      <c r="H41" s="40">
        <v>0</v>
      </c>
    </row>
    <row r="42" spans="1:11" x14ac:dyDescent="0.2">
      <c r="A42" s="25" t="s">
        <v>29</v>
      </c>
      <c r="B42" s="40">
        <v>54918</v>
      </c>
      <c r="G42" s="25" t="s">
        <v>29</v>
      </c>
      <c r="H42" s="40">
        <v>54918</v>
      </c>
    </row>
    <row r="43" spans="1:11" x14ac:dyDescent="0.2">
      <c r="A43" s="25" t="s">
        <v>44</v>
      </c>
      <c r="B43" s="40">
        <v>13950</v>
      </c>
      <c r="E43" s="12"/>
      <c r="G43" s="25" t="s">
        <v>44</v>
      </c>
      <c r="H43" s="40">
        <v>13950</v>
      </c>
      <c r="K43" s="12"/>
    </row>
    <row r="44" spans="1:11" x14ac:dyDescent="0.2">
      <c r="A44" s="25" t="s">
        <v>45</v>
      </c>
      <c r="B44" s="40">
        <v>1000</v>
      </c>
      <c r="C44" s="14"/>
      <c r="E44" s="12"/>
      <c r="G44" s="25" t="s">
        <v>45</v>
      </c>
      <c r="H44" s="40">
        <v>1000</v>
      </c>
      <c r="I44" s="14"/>
      <c r="K44" s="12"/>
    </row>
    <row r="45" spans="1:11" x14ac:dyDescent="0.2">
      <c r="A45" s="25" t="s">
        <v>46</v>
      </c>
      <c r="B45" s="40"/>
      <c r="E45" s="12"/>
      <c r="G45" s="25" t="s">
        <v>46</v>
      </c>
      <c r="H45" s="40"/>
      <c r="K45" s="12"/>
    </row>
    <row r="46" spans="1:11" x14ac:dyDescent="0.2">
      <c r="A46" s="25" t="s">
        <v>60</v>
      </c>
      <c r="B46" s="40">
        <v>0</v>
      </c>
      <c r="C46" s="14"/>
      <c r="E46" s="12"/>
      <c r="G46" s="25" t="s">
        <v>60</v>
      </c>
      <c r="H46" s="40">
        <v>0</v>
      </c>
      <c r="I46" s="14"/>
      <c r="K46" s="12"/>
    </row>
    <row r="47" spans="1:11" x14ac:dyDescent="0.2">
      <c r="A47" s="25" t="s">
        <v>32</v>
      </c>
      <c r="B47" s="40">
        <v>0</v>
      </c>
      <c r="G47" s="25" t="s">
        <v>32</v>
      </c>
      <c r="H47" s="40">
        <v>0</v>
      </c>
    </row>
    <row r="48" spans="1:11" x14ac:dyDescent="0.2">
      <c r="A48" s="25" t="s">
        <v>34</v>
      </c>
      <c r="B48" s="40">
        <v>0</v>
      </c>
      <c r="E48" s="12"/>
      <c r="G48" s="25" t="s">
        <v>34</v>
      </c>
      <c r="H48" s="40">
        <v>0</v>
      </c>
      <c r="K48" s="12"/>
    </row>
    <row r="49" spans="1:11" x14ac:dyDescent="0.2">
      <c r="A49" s="25" t="s">
        <v>47</v>
      </c>
      <c r="B49" s="40">
        <v>0</v>
      </c>
      <c r="C49" s="14" t="s">
        <v>17</v>
      </c>
      <c r="E49" s="12"/>
      <c r="G49" s="25" t="s">
        <v>47</v>
      </c>
      <c r="H49" s="40">
        <v>0</v>
      </c>
      <c r="I49" s="14" t="s">
        <v>17</v>
      </c>
      <c r="K49" s="12"/>
    </row>
    <row r="50" spans="1:11" x14ac:dyDescent="0.2">
      <c r="A50" s="25" t="s">
        <v>48</v>
      </c>
      <c r="B50" s="40">
        <v>0</v>
      </c>
      <c r="E50" s="12"/>
      <c r="G50" s="25" t="s">
        <v>48</v>
      </c>
      <c r="H50" s="40">
        <v>0</v>
      </c>
      <c r="K50" s="12"/>
    </row>
    <row r="51" spans="1:11" x14ac:dyDescent="0.2">
      <c r="A51" s="25" t="s">
        <v>49</v>
      </c>
      <c r="B51" s="40">
        <v>0</v>
      </c>
      <c r="E51" s="12"/>
      <c r="G51" s="25" t="s">
        <v>49</v>
      </c>
      <c r="H51" s="40">
        <v>0</v>
      </c>
      <c r="K51" s="12"/>
    </row>
    <row r="52" spans="1:11" x14ac:dyDescent="0.2">
      <c r="A52" s="25" t="s">
        <v>35</v>
      </c>
      <c r="B52" s="40">
        <v>0</v>
      </c>
      <c r="C52" s="14"/>
      <c r="E52" s="12"/>
      <c r="G52" s="25" t="s">
        <v>35</v>
      </c>
      <c r="H52" s="40">
        <v>0</v>
      </c>
      <c r="I52" s="14"/>
      <c r="K52" s="12"/>
    </row>
    <row r="53" spans="1:11" x14ac:dyDescent="0.2">
      <c r="A53" s="25" t="s">
        <v>71</v>
      </c>
      <c r="B53" s="40">
        <v>35000</v>
      </c>
      <c r="E53" s="12"/>
      <c r="G53" s="25" t="s">
        <v>71</v>
      </c>
      <c r="H53" s="40">
        <v>35000</v>
      </c>
      <c r="K53" s="12"/>
    </row>
    <row r="54" spans="1:11" x14ac:dyDescent="0.2">
      <c r="A54" s="25" t="s">
        <v>72</v>
      </c>
      <c r="B54" s="40">
        <v>42338</v>
      </c>
      <c r="C54" s="14"/>
      <c r="E54" s="12"/>
      <c r="G54" s="25" t="s">
        <v>72</v>
      </c>
      <c r="H54" s="40">
        <v>42338</v>
      </c>
      <c r="I54" s="14"/>
      <c r="K54" s="12"/>
    </row>
    <row r="55" spans="1:11" x14ac:dyDescent="0.2">
      <c r="A55" s="25" t="s">
        <v>29</v>
      </c>
      <c r="B55" s="40">
        <v>0</v>
      </c>
      <c r="C55" s="14"/>
      <c r="E55" s="12"/>
      <c r="G55" s="25" t="s">
        <v>29</v>
      </c>
      <c r="H55" s="40">
        <v>0</v>
      </c>
      <c r="I55" s="14"/>
      <c r="K55" s="12"/>
    </row>
    <row r="56" spans="1:11" ht="13.5" thickBot="1" x14ac:dyDescent="0.25">
      <c r="A56" s="25" t="s">
        <v>42</v>
      </c>
      <c r="B56" s="40">
        <v>0</v>
      </c>
      <c r="C56" s="14"/>
      <c r="E56" s="12"/>
      <c r="G56" s="25" t="s">
        <v>42</v>
      </c>
      <c r="H56" s="40">
        <v>0</v>
      </c>
      <c r="I56" s="14"/>
      <c r="K56" s="12"/>
    </row>
    <row r="57" spans="1:11" ht="13.5" thickBot="1" x14ac:dyDescent="0.25">
      <c r="A57" s="33" t="s">
        <v>43</v>
      </c>
      <c r="B57" s="34">
        <f>SUM(B30:B56)</f>
        <v>602127</v>
      </c>
      <c r="C57" s="14"/>
      <c r="E57" s="12"/>
      <c r="G57" s="33" t="s">
        <v>43</v>
      </c>
      <c r="H57" s="34">
        <f>SUM(H30:H56)</f>
        <v>602127</v>
      </c>
      <c r="I57" s="14"/>
      <c r="K57" s="12"/>
    </row>
    <row r="58" spans="1:11" ht="13.5" thickBot="1" x14ac:dyDescent="0.25">
      <c r="A58" s="30"/>
      <c r="B58" s="36"/>
      <c r="G58" s="30"/>
      <c r="H58" s="36"/>
    </row>
    <row r="59" spans="1:11" x14ac:dyDescent="0.2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0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4.57031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37026</v>
      </c>
      <c r="F1" s="4" t="s">
        <v>1</v>
      </c>
      <c r="G1" s="5">
        <v>240000</v>
      </c>
      <c r="H1" s="6"/>
      <c r="I1" s="7" t="s">
        <v>2</v>
      </c>
      <c r="J1" s="8">
        <v>43000</v>
      </c>
      <c r="O1" s="43" t="s">
        <v>3</v>
      </c>
      <c r="P1" s="11">
        <f ca="1">TODAY()+2</f>
        <v>37028</v>
      </c>
      <c r="Q1" s="12">
        <v>235000</v>
      </c>
      <c r="S1" s="43" t="s">
        <v>4</v>
      </c>
      <c r="T1" s="11">
        <f ca="1">TODAY()+2</f>
        <v>37028</v>
      </c>
      <c r="U1" s="12">
        <v>38000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5" thickBot="1" x14ac:dyDescent="0.25">
      <c r="A2" s="2" t="s">
        <v>12</v>
      </c>
      <c r="B2" s="3">
        <f ca="1">TODAY()+1</f>
        <v>37027</v>
      </c>
      <c r="D2" s="14"/>
      <c r="P2" s="11">
        <f ca="1">TODAY()+3</f>
        <v>37029</v>
      </c>
      <c r="Q2" s="12">
        <v>220000</v>
      </c>
      <c r="T2" s="11">
        <f ca="1">TODAY()+3</f>
        <v>37029</v>
      </c>
      <c r="U2" s="12">
        <v>37000</v>
      </c>
      <c r="W2" s="11">
        <v>37012</v>
      </c>
      <c r="X2" s="14">
        <f>33400*2</f>
        <v>66800</v>
      </c>
      <c r="Y2" s="14">
        <f>18258*2</f>
        <v>36516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25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37025</v>
      </c>
      <c r="L3" s="23">
        <f ca="1">TODAY()</f>
        <v>37026</v>
      </c>
      <c r="M3" s="24" t="s">
        <v>20</v>
      </c>
      <c r="P3" s="11">
        <f ca="1">TODAY()+4</f>
        <v>37030</v>
      </c>
      <c r="Q3" s="12">
        <v>215000</v>
      </c>
      <c r="T3" s="11">
        <f ca="1">TODAY()+4</f>
        <v>37030</v>
      </c>
      <c r="U3" s="12">
        <v>37000</v>
      </c>
      <c r="W3" s="11">
        <v>37013</v>
      </c>
      <c r="X3" s="14">
        <f>39504*2</f>
        <v>79008</v>
      </c>
      <c r="Y3" s="14">
        <f>12500*2</f>
        <v>25000</v>
      </c>
      <c r="Z3" s="13">
        <f>Z2-X3+Y3</f>
        <v>198492.4192</v>
      </c>
      <c r="AA3" s="13"/>
      <c r="AB3" s="14">
        <v>0</v>
      </c>
      <c r="AC3" s="14">
        <v>0</v>
      </c>
      <c r="AD3" s="14"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5" thickBot="1" x14ac:dyDescent="0.25">
      <c r="A4" s="2" t="s">
        <v>16</v>
      </c>
      <c r="B4" s="16">
        <v>79</v>
      </c>
      <c r="C4" s="17">
        <v>65</v>
      </c>
      <c r="D4" s="18">
        <f>AVERAGE(B4,C4)</f>
        <v>72</v>
      </c>
      <c r="J4" s="25" t="s">
        <v>23</v>
      </c>
      <c r="K4" s="37">
        <f>36700*2</f>
        <v>73400</v>
      </c>
      <c r="L4" s="9">
        <f>19000*2</f>
        <v>38000</v>
      </c>
      <c r="M4" s="28">
        <f>+L4-K4</f>
        <v>-35400</v>
      </c>
      <c r="Q4" s="12"/>
      <c r="R4" s="11" t="s">
        <v>17</v>
      </c>
      <c r="W4" s="11">
        <v>37014</v>
      </c>
      <c r="X4" s="14">
        <f>11100*2</f>
        <v>22200</v>
      </c>
      <c r="Y4" s="14">
        <f>17500*2</f>
        <v>35000</v>
      </c>
      <c r="Z4" s="13">
        <f t="shared" ref="Z4:Z32" si="1">Z3-X4+Y4</f>
        <v>211292.4192</v>
      </c>
      <c r="AA4" s="13"/>
      <c r="AB4" s="14">
        <v>0</v>
      </c>
      <c r="AC4" s="14">
        <v>0</v>
      </c>
      <c r="AD4" s="14"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8">
        <f>20000*2</f>
        <v>40000</v>
      </c>
      <c r="L5" s="9">
        <f>7000*2</f>
        <v>14000</v>
      </c>
      <c r="M5" s="29">
        <f>+L5-K5</f>
        <v>-26000</v>
      </c>
      <c r="W5" s="11">
        <v>37015</v>
      </c>
      <c r="X5" s="14">
        <f>8500*2</f>
        <v>17000</v>
      </c>
      <c r="Y5" s="14">
        <f>11822*2</f>
        <v>23644</v>
      </c>
      <c r="Z5" s="13">
        <f t="shared" si="1"/>
        <v>217936.4192</v>
      </c>
      <c r="AA5" s="13"/>
      <c r="AB5" s="14">
        <v>0</v>
      </c>
      <c r="AC5" s="14">
        <v>0</v>
      </c>
      <c r="AD5" s="14"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5" thickBot="1" x14ac:dyDescent="0.25">
      <c r="A6" s="25" t="s">
        <v>21</v>
      </c>
      <c r="B6" s="26">
        <v>-235000</v>
      </c>
      <c r="C6" s="12">
        <v>-227000</v>
      </c>
      <c r="D6" s="25" t="s">
        <v>22</v>
      </c>
      <c r="E6" s="26">
        <v>-38000</v>
      </c>
      <c r="F6" s="12">
        <v>-39000</v>
      </c>
      <c r="H6" s="12"/>
      <c r="J6" s="30" t="s">
        <v>28</v>
      </c>
      <c r="K6" s="39">
        <f>(+K4-K5)/2</f>
        <v>16700</v>
      </c>
      <c r="L6" s="31">
        <f>(+L4-L5)/2</f>
        <v>12000</v>
      </c>
      <c r="M6" s="32">
        <f>+L6-K6</f>
        <v>-4700</v>
      </c>
      <c r="W6" s="11">
        <v>37016</v>
      </c>
      <c r="X6" s="14">
        <f>5700*2</f>
        <v>11400</v>
      </c>
      <c r="Y6" s="14">
        <f>11822*2</f>
        <v>23644</v>
      </c>
      <c r="Z6" s="13">
        <f t="shared" si="1"/>
        <v>230180.4192</v>
      </c>
      <c r="AA6" s="13"/>
      <c r="AB6" s="14">
        <v>0</v>
      </c>
      <c r="AC6" s="14">
        <v>0</v>
      </c>
      <c r="AD6" s="14">
        <v>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">
      <c r="A7" s="25" t="s">
        <v>58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f>12400*2</f>
        <v>24800</v>
      </c>
      <c r="Y7" s="14">
        <f>10000*2</f>
        <v>20000</v>
      </c>
      <c r="Z7" s="13">
        <f t="shared" si="1"/>
        <v>225380.4192</v>
      </c>
      <c r="AA7" s="13"/>
      <c r="AB7" s="14">
        <v>0</v>
      </c>
      <c r="AC7" s="14">
        <v>0</v>
      </c>
      <c r="AD7" s="14">
        <v>0</v>
      </c>
      <c r="AF7" s="11">
        <v>37017</v>
      </c>
      <c r="AG7" s="12">
        <f>220000+42000</f>
        <v>262000</v>
      </c>
      <c r="AH7" s="47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">
      <c r="A8" s="25" t="s">
        <v>62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f>11820*2</f>
        <v>23640</v>
      </c>
      <c r="Y8" s="14">
        <v>0</v>
      </c>
      <c r="Z8" s="13">
        <f t="shared" si="1"/>
        <v>201740.4192</v>
      </c>
      <c r="AA8" s="13"/>
      <c r="AB8" s="14">
        <v>0</v>
      </c>
      <c r="AC8" s="14">
        <v>0</v>
      </c>
      <c r="AD8" s="14">
        <v>0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">
      <c r="A9" s="25" t="s">
        <v>68</v>
      </c>
      <c r="B9" s="26">
        <v>-50000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f>21290*2</f>
        <v>42580</v>
      </c>
      <c r="Y9" s="14">
        <f>10600*2</f>
        <v>21200</v>
      </c>
      <c r="Z9" s="13">
        <f t="shared" si="1"/>
        <v>180360.4192</v>
      </c>
      <c r="AA9" s="13"/>
      <c r="AB9" s="14">
        <v>0</v>
      </c>
      <c r="AC9" s="14">
        <v>0</v>
      </c>
      <c r="AD9" s="14">
        <v>0</v>
      </c>
      <c r="AF9" s="11">
        <v>37019</v>
      </c>
      <c r="AG9" s="12">
        <f>240000+43700</f>
        <v>283700</v>
      </c>
      <c r="AH9" s="12">
        <f>238983+43757</f>
        <v>282740</v>
      </c>
      <c r="AJ9" s="15">
        <f t="shared" si="0"/>
        <v>37019</v>
      </c>
      <c r="AK9" s="12">
        <f>177809+20591</f>
        <v>198400</v>
      </c>
      <c r="AL9" s="12"/>
      <c r="AM9" s="12"/>
    </row>
    <row r="10" spans="1:39" x14ac:dyDescent="0.2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v>0</v>
      </c>
      <c r="Y10" s="14">
        <v>0</v>
      </c>
      <c r="Z10" s="13">
        <f t="shared" si="1"/>
        <v>180360.4192</v>
      </c>
      <c r="AA10" s="13"/>
      <c r="AB10" s="14">
        <v>0</v>
      </c>
      <c r="AC10" s="14">
        <v>0</v>
      </c>
      <c r="AD10" s="14">
        <v>0</v>
      </c>
      <c r="AF10" s="11">
        <v>37020</v>
      </c>
      <c r="AG10" s="12">
        <f>240000+38000</f>
        <v>278000</v>
      </c>
      <c r="AH10" s="12">
        <f>220190+39151</f>
        <v>259341</v>
      </c>
      <c r="AJ10" s="15">
        <f t="shared" si="0"/>
        <v>37020</v>
      </c>
      <c r="AK10" s="12">
        <f>174809+20831</f>
        <v>195640</v>
      </c>
      <c r="AL10" s="12"/>
      <c r="AM10" s="12"/>
    </row>
    <row r="11" spans="1:39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f>9863*2</f>
        <v>19726</v>
      </c>
      <c r="Y11" s="14">
        <f>10000*2</f>
        <v>20000</v>
      </c>
      <c r="Z11" s="13">
        <f t="shared" si="1"/>
        <v>180634.4192</v>
      </c>
      <c r="AA11" s="13"/>
      <c r="AB11" s="14">
        <v>0</v>
      </c>
      <c r="AC11" s="14">
        <v>0</v>
      </c>
      <c r="AD11" s="14">
        <v>0</v>
      </c>
      <c r="AF11" s="11">
        <v>37021</v>
      </c>
      <c r="AG11" s="12">
        <f>240000+38000</f>
        <v>278000</v>
      </c>
      <c r="AH11" s="12">
        <f>221445+39547</f>
        <v>260992</v>
      </c>
      <c r="AJ11" s="15">
        <f t="shared" si="0"/>
        <v>37021</v>
      </c>
      <c r="AK11" s="12">
        <f>176309+20831</f>
        <v>197140</v>
      </c>
      <c r="AL11" s="12"/>
      <c r="AM11" s="12"/>
    </row>
    <row r="12" spans="1:39" x14ac:dyDescent="0.2">
      <c r="A12" s="25" t="s">
        <v>29</v>
      </c>
      <c r="B12" s="26">
        <f>-103082-54918</f>
        <v>-158000</v>
      </c>
      <c r="C12" s="14"/>
      <c r="D12" s="42" t="s">
        <v>55</v>
      </c>
      <c r="E12" s="40">
        <v>0</v>
      </c>
      <c r="G12" s="12" t="s">
        <v>17</v>
      </c>
      <c r="H12" s="12"/>
      <c r="R12" s="13"/>
      <c r="W12" s="11">
        <v>37022</v>
      </c>
      <c r="X12" s="14">
        <f>4190*2</f>
        <v>8380</v>
      </c>
      <c r="Y12" s="14">
        <f>10000*2</f>
        <v>20000</v>
      </c>
      <c r="Z12" s="13">
        <f t="shared" si="1"/>
        <v>192254.4192</v>
      </c>
      <c r="AA12" s="13"/>
      <c r="AB12" s="14">
        <v>0</v>
      </c>
      <c r="AC12" s="14">
        <v>0</v>
      </c>
      <c r="AD12" s="14">
        <v>0</v>
      </c>
      <c r="AF12" s="11">
        <v>37022</v>
      </c>
      <c r="AG12" s="12">
        <f>215000+37000</f>
        <v>252000</v>
      </c>
      <c r="AH12" s="12">
        <f>286991+60499</f>
        <v>347490</v>
      </c>
      <c r="AJ12" s="15">
        <f t="shared" si="0"/>
        <v>37022</v>
      </c>
      <c r="AK12" s="12">
        <f>176804+20831</f>
        <v>197635</v>
      </c>
      <c r="AL12" s="12"/>
      <c r="AM12" s="12"/>
    </row>
    <row r="13" spans="1:39" ht="13.5" thickBot="1" x14ac:dyDescent="0.25">
      <c r="A13" s="25" t="s">
        <v>61</v>
      </c>
      <c r="B13" s="26">
        <v>0</v>
      </c>
      <c r="C13" s="1"/>
      <c r="D13" s="25" t="s">
        <v>32</v>
      </c>
      <c r="E13" s="26">
        <v>-14254</v>
      </c>
      <c r="G13" s="12"/>
      <c r="H13" s="12"/>
      <c r="R13" s="13"/>
      <c r="W13" s="11">
        <v>37023</v>
      </c>
      <c r="X13" s="14">
        <v>0</v>
      </c>
      <c r="Y13" s="14">
        <f>10000*2</f>
        <v>20000</v>
      </c>
      <c r="Z13" s="13">
        <f t="shared" si="1"/>
        <v>212254.4192</v>
      </c>
      <c r="AA13" s="13"/>
      <c r="AB13" s="14">
        <v>0</v>
      </c>
      <c r="AC13" s="14">
        <v>0</v>
      </c>
      <c r="AD13" s="14">
        <v>0</v>
      </c>
      <c r="AF13" s="11">
        <v>37023</v>
      </c>
      <c r="AG13" s="12">
        <f>210000+36000</f>
        <v>246000</v>
      </c>
      <c r="AH13" s="12">
        <f>314073+65229</f>
        <v>379302</v>
      </c>
      <c r="AJ13" s="15">
        <f t="shared" si="0"/>
        <v>37023</v>
      </c>
      <c r="AK13" s="12">
        <f>176704+20831</f>
        <v>197535</v>
      </c>
      <c r="AL13" s="12"/>
      <c r="AM13" s="12"/>
    </row>
    <row r="14" spans="1:39" ht="13.5" thickBot="1" x14ac:dyDescent="0.25">
      <c r="A14" s="25" t="s">
        <v>19</v>
      </c>
      <c r="B14" s="26">
        <v>0</v>
      </c>
      <c r="C14" s="14"/>
      <c r="D14" s="33" t="s">
        <v>33</v>
      </c>
      <c r="E14" s="34">
        <f>SUM(E6:E13)</f>
        <v>-80594</v>
      </c>
      <c r="G14" s="12"/>
      <c r="H14" s="12"/>
      <c r="L14" s="12"/>
      <c r="R14" s="13"/>
      <c r="W14" s="11">
        <v>37024</v>
      </c>
      <c r="X14" s="14">
        <f>197*2</f>
        <v>394</v>
      </c>
      <c r="Y14" s="14">
        <f>10000*2</f>
        <v>20000</v>
      </c>
      <c r="Z14" s="13">
        <f t="shared" si="1"/>
        <v>231860.4192</v>
      </c>
      <c r="AA14" s="13"/>
      <c r="AB14" s="14">
        <v>0</v>
      </c>
      <c r="AC14" s="14">
        <v>0</v>
      </c>
      <c r="AD14" s="14">
        <v>0</v>
      </c>
      <c r="AF14" s="11">
        <v>37024</v>
      </c>
      <c r="AG14" s="12">
        <f>215000+37000</f>
        <v>252000</v>
      </c>
      <c r="AH14" s="12">
        <f>265506+52251</f>
        <v>317757</v>
      </c>
      <c r="AJ14" s="15">
        <f t="shared" si="0"/>
        <v>37024</v>
      </c>
      <c r="AK14" s="12">
        <f>176704+20831</f>
        <v>197535</v>
      </c>
      <c r="AL14" s="12"/>
      <c r="AM14" s="12"/>
    </row>
    <row r="15" spans="1:39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f>36700*2</f>
        <v>73400</v>
      </c>
      <c r="Y15" s="14">
        <f>20000*2</f>
        <v>40000</v>
      </c>
      <c r="Z15" s="13">
        <f t="shared" si="1"/>
        <v>198460.4192</v>
      </c>
      <c r="AA15" s="13"/>
      <c r="AB15" s="14">
        <v>0</v>
      </c>
      <c r="AC15" s="14">
        <v>0</v>
      </c>
      <c r="AD15" s="14">
        <v>0</v>
      </c>
      <c r="AF15" s="11">
        <v>37025</v>
      </c>
      <c r="AG15" s="12">
        <f>220000+38000</f>
        <v>258000</v>
      </c>
      <c r="AH15" s="12"/>
      <c r="AJ15" s="15">
        <f t="shared" si="0"/>
        <v>37025</v>
      </c>
      <c r="AK15" s="12">
        <f>176704+20831</f>
        <v>197535</v>
      </c>
      <c r="AL15" s="12"/>
      <c r="AM15" s="12"/>
    </row>
    <row r="16" spans="1:39" x14ac:dyDescent="0.2">
      <c r="A16" s="25" t="s">
        <v>60</v>
      </c>
      <c r="B16" s="26">
        <v>-40200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f>19000*2</f>
        <v>38000</v>
      </c>
      <c r="Y16" s="14">
        <f>7000*2</f>
        <v>14000</v>
      </c>
      <c r="Z16" s="13">
        <f t="shared" si="1"/>
        <v>174460.4192</v>
      </c>
      <c r="AA16" s="13"/>
      <c r="AB16" s="14">
        <v>0</v>
      </c>
      <c r="AC16" s="14">
        <v>0</v>
      </c>
      <c r="AD16" s="14">
        <v>0</v>
      </c>
      <c r="AF16" s="11">
        <v>37026</v>
      </c>
      <c r="AG16" s="12">
        <f>240000+39000</f>
        <v>279000</v>
      </c>
      <c r="AH16" s="12"/>
      <c r="AJ16" s="15">
        <f t="shared" ref="AJ16:AJ32" si="2">+AF16</f>
        <v>37026</v>
      </c>
      <c r="AK16" s="12"/>
      <c r="AL16" s="12"/>
      <c r="AM16" s="12"/>
    </row>
    <row r="17" spans="1:39" x14ac:dyDescent="0.2">
      <c r="A17" s="25" t="s">
        <v>32</v>
      </c>
      <c r="B17" s="40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0</v>
      </c>
      <c r="Y17" s="14">
        <v>0</v>
      </c>
      <c r="Z17" s="13">
        <f t="shared" si="1"/>
        <v>174460.4192</v>
      </c>
      <c r="AA17" s="13"/>
      <c r="AB17" s="14">
        <v>0</v>
      </c>
      <c r="AC17" s="14">
        <v>0</v>
      </c>
      <c r="AD17" s="14">
        <v>0</v>
      </c>
      <c r="AF17" s="11">
        <v>37027</v>
      </c>
      <c r="AG17" s="12">
        <f>235000+38000</f>
        <v>273000</v>
      </c>
      <c r="AH17" s="12"/>
      <c r="AJ17" s="15">
        <f t="shared" si="2"/>
        <v>37027</v>
      </c>
      <c r="AK17" s="12"/>
      <c r="AL17" s="12"/>
      <c r="AM17" s="12"/>
    </row>
    <row r="18" spans="1:39" x14ac:dyDescent="0.2">
      <c r="A18" s="25" t="s">
        <v>34</v>
      </c>
      <c r="B18" s="26">
        <v>-12932</v>
      </c>
      <c r="D18" s="25" t="s">
        <v>40</v>
      </c>
      <c r="E18" s="26">
        <v>7603</v>
      </c>
      <c r="F18" s="14" t="s">
        <v>17</v>
      </c>
      <c r="G18" s="12"/>
      <c r="H18" s="12"/>
      <c r="L18" s="12"/>
      <c r="R18" s="13"/>
      <c r="W18" s="11">
        <v>37028</v>
      </c>
      <c r="X18" s="14">
        <v>0</v>
      </c>
      <c r="Y18" s="14">
        <v>0</v>
      </c>
      <c r="Z18" s="13">
        <f t="shared" si="1"/>
        <v>174460.4192</v>
      </c>
      <c r="AA18" s="13"/>
      <c r="AB18" s="14">
        <v>0</v>
      </c>
      <c r="AC18" s="14">
        <v>0</v>
      </c>
      <c r="AD18" s="14">
        <v>0</v>
      </c>
      <c r="AF18" s="11">
        <v>37028</v>
      </c>
      <c r="AG18" s="12">
        <f>235000+38000</f>
        <v>273000</v>
      </c>
      <c r="AH18" s="12"/>
      <c r="AJ18" s="15">
        <f t="shared" si="2"/>
        <v>37028</v>
      </c>
      <c r="AK18" s="12"/>
      <c r="AL18" s="12"/>
      <c r="AM18" s="12"/>
    </row>
    <row r="19" spans="1:39" x14ac:dyDescent="0.2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12"/>
      <c r="H19" s="12"/>
      <c r="L19" s="12"/>
      <c r="R19" s="13"/>
      <c r="W19" s="11">
        <v>37029</v>
      </c>
      <c r="X19" s="14">
        <v>0</v>
      </c>
      <c r="Y19" s="14">
        <v>0</v>
      </c>
      <c r="Z19" s="13">
        <f t="shared" si="1"/>
        <v>174460.4192</v>
      </c>
      <c r="AA19" s="13"/>
      <c r="AB19" s="14">
        <v>0</v>
      </c>
      <c r="AC19" s="14">
        <v>0</v>
      </c>
      <c r="AD19" s="14">
        <v>0</v>
      </c>
      <c r="AF19" s="11">
        <v>37029</v>
      </c>
      <c r="AG19" s="12">
        <f>230000+37000</f>
        <v>267000</v>
      </c>
      <c r="AH19" s="12"/>
      <c r="AJ19" s="15">
        <f t="shared" si="2"/>
        <v>37029</v>
      </c>
      <c r="AK19" s="12"/>
      <c r="AL19" s="12"/>
      <c r="AM19" s="12"/>
    </row>
    <row r="20" spans="1:39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0</v>
      </c>
      <c r="Y20" s="14">
        <v>0</v>
      </c>
      <c r="Z20" s="13">
        <f t="shared" si="1"/>
        <v>174460.4192</v>
      </c>
      <c r="AA20" s="13"/>
      <c r="AB20" s="14">
        <v>0</v>
      </c>
      <c r="AC20" s="14">
        <v>0</v>
      </c>
      <c r="AD20" s="14">
        <v>0</v>
      </c>
      <c r="AF20" s="11">
        <v>37030</v>
      </c>
      <c r="AG20" s="12">
        <f>215000+37000</f>
        <v>252000</v>
      </c>
      <c r="AH20" s="12"/>
      <c r="AJ20" s="15">
        <f t="shared" si="2"/>
        <v>37030</v>
      </c>
      <c r="AK20" s="12"/>
      <c r="AL20" s="12"/>
      <c r="AM20" s="12"/>
    </row>
    <row r="21" spans="1:39" x14ac:dyDescent="0.2">
      <c r="A21" s="25" t="s">
        <v>51</v>
      </c>
      <c r="B21" s="26">
        <v>0</v>
      </c>
      <c r="C21" s="14"/>
      <c r="D21" s="25" t="s">
        <v>59</v>
      </c>
      <c r="E21" s="26">
        <v>4340</v>
      </c>
      <c r="G21" s="12"/>
      <c r="H21" s="12"/>
      <c r="R21" s="13"/>
      <c r="W21" s="11">
        <v>37031</v>
      </c>
      <c r="X21" s="14">
        <v>0</v>
      </c>
      <c r="Y21" s="14">
        <v>0</v>
      </c>
      <c r="Z21" s="13">
        <f t="shared" si="1"/>
        <v>174460.4192</v>
      </c>
      <c r="AA21" s="13"/>
      <c r="AB21" s="14">
        <v>0</v>
      </c>
      <c r="AC21" s="14">
        <v>0</v>
      </c>
      <c r="AD21" s="14">
        <v>0</v>
      </c>
      <c r="AF21" s="11">
        <v>37031</v>
      </c>
      <c r="AG21" s="12"/>
      <c r="AH21" s="12"/>
      <c r="AJ21" s="15">
        <f t="shared" si="2"/>
        <v>37031</v>
      </c>
      <c r="AK21" s="12"/>
      <c r="AL21" s="12"/>
      <c r="AM21" s="12"/>
    </row>
    <row r="22" spans="1:39" x14ac:dyDescent="0.2">
      <c r="A22" s="25" t="s">
        <v>35</v>
      </c>
      <c r="B22" s="26">
        <v>-29198</v>
      </c>
      <c r="D22" s="25" t="s">
        <v>69</v>
      </c>
      <c r="E22" s="26">
        <v>6945</v>
      </c>
      <c r="G22" s="12"/>
      <c r="H22" s="12"/>
      <c r="R22" s="13"/>
      <c r="W22" s="11">
        <v>37032</v>
      </c>
      <c r="X22" s="14">
        <v>0</v>
      </c>
      <c r="Y22" s="14">
        <v>0</v>
      </c>
      <c r="Z22" s="13">
        <f t="shared" si="1"/>
        <v>174460.4192</v>
      </c>
      <c r="AA22" s="13"/>
      <c r="AB22" s="14">
        <v>0</v>
      </c>
      <c r="AC22" s="14">
        <v>0</v>
      </c>
      <c r="AD22" s="14">
        <v>0</v>
      </c>
      <c r="AF22" s="11">
        <v>37032</v>
      </c>
      <c r="AG22" s="12"/>
      <c r="AH22" s="12"/>
      <c r="AJ22" s="15">
        <f t="shared" si="2"/>
        <v>37032</v>
      </c>
      <c r="AK22" s="12"/>
      <c r="AL22" s="12"/>
      <c r="AM22" s="12"/>
    </row>
    <row r="23" spans="1:39" x14ac:dyDescent="0.2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0</v>
      </c>
      <c r="Y23" s="14">
        <v>0</v>
      </c>
      <c r="Z23" s="13">
        <f t="shared" si="1"/>
        <v>174460.4192</v>
      </c>
      <c r="AA23" s="13"/>
      <c r="AB23" s="14">
        <v>0</v>
      </c>
      <c r="AC23" s="14">
        <v>0</v>
      </c>
      <c r="AD23" s="14">
        <v>0</v>
      </c>
      <c r="AF23" s="11">
        <v>37033</v>
      </c>
      <c r="AG23" s="12"/>
      <c r="AH23" s="12"/>
      <c r="AJ23" s="15">
        <f t="shared" si="2"/>
        <v>37033</v>
      </c>
      <c r="AK23" s="12"/>
      <c r="AL23" s="12"/>
      <c r="AM23" s="12"/>
    </row>
    <row r="24" spans="1:39" x14ac:dyDescent="0.2">
      <c r="A24" s="25" t="s">
        <v>67</v>
      </c>
      <c r="B24" s="40">
        <v>0</v>
      </c>
      <c r="D24" s="25" t="s">
        <v>32</v>
      </c>
      <c r="E24" s="40">
        <v>0</v>
      </c>
      <c r="G24" s="12"/>
      <c r="H24" s="12"/>
      <c r="R24" s="13"/>
      <c r="W24" s="11">
        <v>37034</v>
      </c>
      <c r="X24" s="14">
        <v>0</v>
      </c>
      <c r="Y24" s="14">
        <v>0</v>
      </c>
      <c r="Z24" s="13">
        <f t="shared" si="1"/>
        <v>174460.4192</v>
      </c>
      <c r="AA24" s="13"/>
      <c r="AB24" s="14">
        <v>0</v>
      </c>
      <c r="AC24" s="14">
        <v>0</v>
      </c>
      <c r="AD24" s="14">
        <v>0</v>
      </c>
      <c r="AF24" s="11">
        <v>37034</v>
      </c>
      <c r="AG24" s="12"/>
      <c r="AH24" s="12"/>
      <c r="AJ24" s="15">
        <f t="shared" si="2"/>
        <v>37034</v>
      </c>
      <c r="AK24" s="12"/>
      <c r="AL24" s="12"/>
      <c r="AM24" s="12"/>
    </row>
    <row r="25" spans="1:39" x14ac:dyDescent="0.2">
      <c r="A25" s="25" t="s">
        <v>36</v>
      </c>
      <c r="B25" s="26">
        <v>0</v>
      </c>
      <c r="D25" s="25" t="s">
        <v>29</v>
      </c>
      <c r="E25" s="40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174460.4192</v>
      </c>
      <c r="AA25" s="13"/>
      <c r="AB25" s="14">
        <v>0</v>
      </c>
      <c r="AC25" s="14">
        <v>0</v>
      </c>
      <c r="AD25" s="14">
        <v>0</v>
      </c>
      <c r="AF25" s="11">
        <v>37035</v>
      </c>
      <c r="AG25" s="12"/>
      <c r="AH25" s="12"/>
      <c r="AJ25" s="15">
        <f t="shared" si="2"/>
        <v>37035</v>
      </c>
      <c r="AK25" s="12"/>
      <c r="AL25" s="12"/>
      <c r="AM25" s="12"/>
    </row>
    <row r="26" spans="1:39" x14ac:dyDescent="0.2">
      <c r="A26" s="25" t="s">
        <v>37</v>
      </c>
      <c r="B26" s="26">
        <v>0</v>
      </c>
      <c r="D26" s="25" t="s">
        <v>55</v>
      </c>
      <c r="E26" s="40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174460.4192</v>
      </c>
      <c r="AA26" s="13"/>
      <c r="AB26" s="14">
        <v>0</v>
      </c>
      <c r="AC26" s="14">
        <v>0</v>
      </c>
      <c r="AD26" s="14">
        <v>0</v>
      </c>
      <c r="AF26" s="11">
        <v>37036</v>
      </c>
      <c r="AG26" s="12"/>
      <c r="AH26" s="12"/>
      <c r="AJ26" s="15">
        <f t="shared" si="2"/>
        <v>37036</v>
      </c>
      <c r="AK26" s="12"/>
      <c r="AL26" s="12"/>
      <c r="AM26" s="12"/>
    </row>
    <row r="27" spans="1:39" ht="13.5" thickBot="1" x14ac:dyDescent="0.25">
      <c r="A27" s="25" t="s">
        <v>66</v>
      </c>
      <c r="B27" s="26">
        <v>0</v>
      </c>
      <c r="C27" s="14"/>
      <c r="D27" s="25" t="s">
        <v>57</v>
      </c>
      <c r="E27" s="40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174460.4192</v>
      </c>
      <c r="AA27" s="13"/>
      <c r="AB27" s="14">
        <v>0</v>
      </c>
      <c r="AC27" s="14">
        <v>0</v>
      </c>
      <c r="AD27" s="14">
        <v>0</v>
      </c>
      <c r="AF27" s="11">
        <v>37037</v>
      </c>
      <c r="AG27" s="12"/>
      <c r="AH27" s="12"/>
      <c r="AJ27" s="15">
        <f t="shared" si="2"/>
        <v>37037</v>
      </c>
      <c r="AK27" s="12"/>
      <c r="AL27" s="12"/>
      <c r="AM27" s="12"/>
    </row>
    <row r="28" spans="1:39" ht="13.5" thickBot="1" x14ac:dyDescent="0.25">
      <c r="A28" s="33" t="s">
        <v>33</v>
      </c>
      <c r="B28" s="34">
        <f>SUM(B6:B27)</f>
        <v>-595330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174460.4192</v>
      </c>
      <c r="AA28" s="13"/>
      <c r="AB28" s="14">
        <v>0</v>
      </c>
      <c r="AC28" s="14">
        <v>0</v>
      </c>
      <c r="AD28" s="14">
        <v>0</v>
      </c>
      <c r="AF28" s="11">
        <v>37038</v>
      </c>
      <c r="AG28" s="12"/>
      <c r="AH28" s="12"/>
      <c r="AJ28" s="15">
        <f t="shared" si="2"/>
        <v>37038</v>
      </c>
      <c r="AK28" s="12"/>
      <c r="AL28" s="12"/>
      <c r="AM28" s="12"/>
    </row>
    <row r="29" spans="1:39" ht="13.5" thickBot="1" x14ac:dyDescent="0.25">
      <c r="A29" s="25"/>
      <c r="B29" s="40"/>
      <c r="C29" s="14"/>
      <c r="D29" s="33" t="s">
        <v>43</v>
      </c>
      <c r="E29" s="34">
        <f>SUM(E16:E28)</f>
        <v>80594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174460.4192</v>
      </c>
      <c r="AA29" s="13"/>
      <c r="AB29" s="14">
        <v>0</v>
      </c>
      <c r="AC29" s="14">
        <v>0</v>
      </c>
      <c r="AD29" s="14">
        <v>0</v>
      </c>
      <c r="AF29" s="11">
        <v>37039</v>
      </c>
      <c r="AG29" s="12"/>
      <c r="AH29" s="12"/>
      <c r="AJ29" s="15">
        <f t="shared" si="2"/>
        <v>37039</v>
      </c>
      <c r="AK29" s="12"/>
      <c r="AL29" s="12"/>
      <c r="AM29" s="12"/>
    </row>
    <row r="30" spans="1:39" ht="13.5" thickBot="1" x14ac:dyDescent="0.25">
      <c r="A30" s="25" t="s">
        <v>38</v>
      </c>
      <c r="B30" s="40">
        <v>103081</v>
      </c>
      <c r="C30" s="14"/>
      <c r="D30" s="30"/>
      <c r="E30" s="35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174460.4192</v>
      </c>
      <c r="AA30" s="13"/>
      <c r="AB30" s="14">
        <v>0</v>
      </c>
      <c r="AC30" s="14">
        <v>0</v>
      </c>
      <c r="AD30" s="14">
        <v>0</v>
      </c>
      <c r="AF30" s="11">
        <v>37040</v>
      </c>
      <c r="AG30" s="12"/>
      <c r="AH30" s="12"/>
      <c r="AJ30" s="15">
        <f t="shared" si="2"/>
        <v>37040</v>
      </c>
      <c r="AK30" s="12"/>
      <c r="AL30" s="12"/>
      <c r="AM30" s="12"/>
    </row>
    <row r="31" spans="1:39" x14ac:dyDescent="0.2">
      <c r="A31" s="25" t="s">
        <v>39</v>
      </c>
      <c r="B31" s="40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174460.4192</v>
      </c>
      <c r="AA31" s="13"/>
      <c r="AB31" s="14">
        <v>0</v>
      </c>
      <c r="AC31" s="14">
        <v>0</v>
      </c>
      <c r="AD31" s="14">
        <v>0</v>
      </c>
      <c r="AF31" s="11">
        <v>37041</v>
      </c>
      <c r="AG31" s="12"/>
      <c r="AH31" s="49"/>
      <c r="AJ31" s="15">
        <f t="shared" si="2"/>
        <v>37041</v>
      </c>
      <c r="AK31" s="12"/>
      <c r="AL31" s="12"/>
      <c r="AM31" s="12"/>
    </row>
    <row r="32" spans="1:39" x14ac:dyDescent="0.2">
      <c r="A32" s="25" t="s">
        <v>40</v>
      </c>
      <c r="B32" s="40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174460.4192</v>
      </c>
      <c r="AA32" s="13"/>
      <c r="AB32" s="14">
        <v>0</v>
      </c>
      <c r="AC32" s="14">
        <v>0</v>
      </c>
      <c r="AD32" s="14">
        <v>0</v>
      </c>
      <c r="AF32" s="11">
        <v>37042</v>
      </c>
      <c r="AG32" s="12"/>
      <c r="AH32" s="12"/>
      <c r="AJ32" s="15">
        <f t="shared" si="2"/>
        <v>37042</v>
      </c>
      <c r="AK32" s="12"/>
      <c r="AL32" s="12"/>
      <c r="AM32" s="12"/>
    </row>
    <row r="33" spans="1:39" x14ac:dyDescent="0.2">
      <c r="A33" s="25" t="s">
        <v>41</v>
      </c>
      <c r="B33" s="40">
        <v>170007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73</v>
      </c>
      <c r="B34" s="40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65</v>
      </c>
      <c r="B35" s="40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70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56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">
      <c r="A38" s="25" t="s">
        <v>57</v>
      </c>
      <c r="B38" s="40">
        <v>20838</v>
      </c>
      <c r="D38" s="50"/>
      <c r="E38" s="14"/>
      <c r="G38" s="12"/>
      <c r="H38" s="12"/>
      <c r="AL38" s="12"/>
      <c r="AM38" s="12"/>
    </row>
    <row r="39" spans="1:39" x14ac:dyDescent="0.2">
      <c r="A39" s="25" t="s">
        <v>19</v>
      </c>
      <c r="B39" s="40">
        <v>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24</v>
      </c>
      <c r="B40" s="48"/>
      <c r="G40" s="12"/>
      <c r="H40" s="12"/>
      <c r="AJ40" s="12"/>
      <c r="AK40" s="12"/>
      <c r="AL40" s="12"/>
      <c r="AM40" s="12"/>
    </row>
    <row r="41" spans="1:39" x14ac:dyDescent="0.2">
      <c r="A41" s="25" t="s">
        <v>64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29</v>
      </c>
      <c r="B42" s="40">
        <v>54918</v>
      </c>
      <c r="AJ42" s="12"/>
      <c r="AK42" s="12"/>
      <c r="AL42" s="12"/>
      <c r="AM42" s="12"/>
    </row>
    <row r="43" spans="1:39" x14ac:dyDescent="0.2">
      <c r="A43" s="25" t="s">
        <v>44</v>
      </c>
      <c r="B43" s="40">
        <v>13950</v>
      </c>
      <c r="E43" s="12"/>
      <c r="AJ43" s="12"/>
      <c r="AK43" s="12"/>
      <c r="AL43" s="12"/>
      <c r="AM43" s="12"/>
    </row>
    <row r="44" spans="1:39" x14ac:dyDescent="0.2">
      <c r="A44" s="25" t="s">
        <v>45</v>
      </c>
      <c r="B44" s="40">
        <v>1000</v>
      </c>
      <c r="C44" s="14"/>
      <c r="E44" s="12"/>
    </row>
    <row r="45" spans="1:39" x14ac:dyDescent="0.2">
      <c r="A45" s="25" t="s">
        <v>46</v>
      </c>
      <c r="B45" s="40"/>
      <c r="E45" s="12"/>
    </row>
    <row r="46" spans="1:39" x14ac:dyDescent="0.2">
      <c r="A46" s="25" t="s">
        <v>60</v>
      </c>
      <c r="B46" s="40">
        <v>0</v>
      </c>
      <c r="C46" s="14"/>
      <c r="E46" s="12"/>
    </row>
    <row r="47" spans="1:39" x14ac:dyDescent="0.2">
      <c r="A47" s="25" t="s">
        <v>32</v>
      </c>
      <c r="B47" s="40">
        <v>0</v>
      </c>
    </row>
    <row r="48" spans="1:39" x14ac:dyDescent="0.2">
      <c r="A48" s="25" t="s">
        <v>34</v>
      </c>
      <c r="B48" s="40">
        <v>0</v>
      </c>
      <c r="E48" s="12"/>
    </row>
    <row r="49" spans="1:5" x14ac:dyDescent="0.2">
      <c r="A49" s="25" t="s">
        <v>47</v>
      </c>
      <c r="B49" s="40">
        <v>0</v>
      </c>
      <c r="C49" s="14" t="s">
        <v>17</v>
      </c>
      <c r="E49" s="12"/>
    </row>
    <row r="50" spans="1:5" x14ac:dyDescent="0.2">
      <c r="A50" s="25" t="s">
        <v>48</v>
      </c>
      <c r="B50" s="40">
        <v>0</v>
      </c>
      <c r="E50" s="12"/>
    </row>
    <row r="51" spans="1:5" x14ac:dyDescent="0.2">
      <c r="A51" s="25" t="s">
        <v>49</v>
      </c>
      <c r="B51" s="40">
        <v>0</v>
      </c>
      <c r="E51" s="12"/>
    </row>
    <row r="52" spans="1:5" x14ac:dyDescent="0.2">
      <c r="A52" s="25" t="s">
        <v>35</v>
      </c>
      <c r="B52" s="40">
        <v>0</v>
      </c>
      <c r="C52" s="14"/>
      <c r="E52" s="12"/>
    </row>
    <row r="53" spans="1:5" x14ac:dyDescent="0.2">
      <c r="A53" s="25" t="s">
        <v>71</v>
      </c>
      <c r="B53" s="40">
        <v>35000</v>
      </c>
      <c r="E53" s="12"/>
    </row>
    <row r="54" spans="1:5" x14ac:dyDescent="0.2">
      <c r="A54" s="25" t="s">
        <v>72</v>
      </c>
      <c r="B54" s="40">
        <v>42338</v>
      </c>
      <c r="C54" s="14"/>
      <c r="E54" s="12"/>
    </row>
    <row r="55" spans="1:5" x14ac:dyDescent="0.2">
      <c r="A55" s="25" t="s">
        <v>29</v>
      </c>
      <c r="B55" s="40">
        <v>0</v>
      </c>
      <c r="C55" s="14"/>
      <c r="E55" s="12"/>
    </row>
    <row r="56" spans="1:5" ht="13.5" thickBot="1" x14ac:dyDescent="0.25">
      <c r="A56" s="25" t="s">
        <v>42</v>
      </c>
      <c r="B56" s="40">
        <v>0</v>
      </c>
      <c r="C56" s="14"/>
      <c r="E56" s="12"/>
    </row>
    <row r="57" spans="1:5" ht="13.5" thickBot="1" x14ac:dyDescent="0.25">
      <c r="A57" s="33" t="s">
        <v>43</v>
      </c>
      <c r="B57" s="34">
        <f>SUM(B30:B56)</f>
        <v>595330</v>
      </c>
      <c r="C57" s="14"/>
      <c r="E57" s="12"/>
    </row>
    <row r="58" spans="1:5" ht="13.5" thickBot="1" x14ac:dyDescent="0.25">
      <c r="A58" s="30"/>
      <c r="B58" s="36"/>
    </row>
    <row r="59" spans="1:5" x14ac:dyDescent="0.2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2023-09-10T17:12:35Z</dcterms:modified>
</cp:coreProperties>
</file>