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BF2983-FC57-40AB-B186-AE0F6E7D7138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<sst xmlns="http://schemas.openxmlformats.org/spreadsheetml/2006/main" count="2125" uniqueCount="806">
  <si>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</si>
  <si>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</si>
  <si>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</si>
  <si>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</si>
  <si>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</si>
  <si>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</si>
  <si>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</si>
  <si>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</si>
  <si>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</si>
  <si>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</si>
  <si>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</si>
  <si>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</si>
  <si>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</si>
  <si>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</si>
  <si>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</si>
  <si>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</si>
  <si>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</si>
  <si>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</si>
  <si>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</si>
  <si>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</si>
  <si>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</si>
  <si>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</si>
  <si>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</si>
  <si>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</si>
  <si>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</si>
  <si>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</si>
  <si>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</si>
  <si>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</si>
  <si>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</si>
  <si>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</si>
  <si>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</si>
  <si>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</si>
  <si>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</si>
  <si>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</si>
  <si>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</si>
  <si>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</si>
  <si>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</si>
  <si>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</si>
  <si>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</si>
  <si>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</si>
  <si>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</si>
  <si>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</si>
  <si>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</si>
  <si>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</si>
  <si>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</si>
  <si>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</si>
  <si>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</si>
  <si>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</si>
  <si>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</si>
  <si>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</si>
  <si>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</si>
  <si>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</si>
  <si>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</si>
  <si>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</si>
  <si>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</si>
  <si>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</si>
  <si>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</si>
  <si>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</si>
  <si>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</si>
  <si>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</si>
  <si>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</si>
  <si>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</si>
  <si>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</si>
  <si>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</si>
  <si>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</si>
  <si>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</si>
  <si>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</si>
  <si>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</si>
  <si>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</si>
  <si>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</si>
  <si>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</si>
  <si>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</si>
  <si>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</si>
  <si>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</si>
  <si>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</si>
  <si>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</si>
  <si>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</si>
  <si>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</si>
  <si>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</si>
  <si>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</si>
  <si>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</si>
  <si>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</si>
  <si>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</si>
  <si>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</si>
  <si>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</si>
  <si>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</si>
  <si>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</si>
  <si>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</si>
  <si>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</si>
  <si>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</si>
  <si>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</si>
  <si>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</si>
  <si>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</si>
  <si>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</si>
  <si>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</si>
  <si>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</si>
  <si>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</si>
  <si>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</si>
  <si>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</si>
  <si>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</si>
  <si>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</si>
  <si>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</si>
  <si>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</si>
  <si>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</si>
  <si>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</si>
  <si>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</si>
  <si>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</si>
  <si>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</si>
  <si>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</si>
  <si>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</si>
  <si>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</si>
  <si>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</si>
  <si>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</si>
  <si>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</si>
  <si>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</si>
  <si>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</si>
  <si>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</si>
  <si>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</si>
  <si>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</si>
  <si>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</si>
  <si>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</si>
  <si>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</si>
  <si>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</si>
  <si>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</si>
  <si>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</si>
  <si>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</si>
  <si>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</si>
  <si>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</si>
  <si>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</si>
  <si>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</si>
  <si>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</si>
  <si>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</si>
  <si>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</si>
  <si>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</si>
  <si>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</si>
  <si>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</si>
  <si>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</si>
  <si>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</si>
  <si>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</si>
  <si>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</si>
  <si>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</si>
  <si>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</si>
  <si>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</si>
  <si>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</si>
  <si>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</si>
  <si>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</si>
  <si>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</si>
  <si>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</si>
  <si>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</si>
  <si>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</si>
  <si>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</si>
  <si>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</si>
  <si>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</si>
  <si>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</si>
  <si>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</si>
  <si>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</si>
  <si>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</si>
  <si>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</si>
  <si>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</si>
  <si>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</si>
  <si>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</si>
  <si>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</si>
  <si>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</si>
  <si>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</si>
  <si>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</si>
  <si>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</si>
  <si>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</si>
  <si>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</si>
  <si>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</si>
  <si>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</si>
  <si>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</si>
  <si>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</si>
  <si>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</si>
  <si>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</si>
  <si>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</si>
  <si>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</si>
  <si>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</si>
  <si>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</si>
  <si>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</si>
  <si>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</si>
  <si>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</si>
  <si>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</si>
  <si>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</si>
  <si>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</si>
  <si>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</si>
  <si>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</si>
  <si>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</si>
  <si>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</si>
  <si>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</si>
  <si>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</si>
  <si>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</si>
  <si>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</si>
  <si>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</si>
  <si>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</si>
  <si>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</si>
  <si>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</si>
  <si>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</si>
  <si>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</si>
  <si>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</si>
  <si>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</si>
  <si>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</si>
  <si>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</si>
  <si>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</si>
  <si>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</si>
  <si>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</si>
  <si>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</si>
  <si>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</si>
  <si>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</si>
  <si>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</si>
  <si>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</si>
  <si>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</si>
  <si>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</si>
  <si>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</si>
  <si>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</si>
  <si>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</si>
  <si>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</si>
  <si>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</si>
  <si>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</si>
  <si>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</si>
  <si>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</si>
  <si>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</si>
  <si>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</si>
  <si>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</si>
  <si>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</si>
  <si>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</si>
  <si>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</si>
  <si>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</si>
  <si>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</si>
  <si>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</si>
  <si>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</si>
  <si>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</si>
  <si>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</si>
  <si>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</si>
  <si>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</si>
  <si>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</si>
  <si>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</si>
  <si>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</si>
  <si>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</si>
  <si>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</si>
  <si>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</si>
  <si>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</si>
  <si>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</si>
  <si>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</si>
  <si>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</si>
  <si>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</si>
  <si>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</si>
  <si>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</si>
  <si>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</si>
  <si>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</si>
  <si>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</si>
  <si>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</si>
  <si>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</si>
  <si>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</si>
  <si>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</si>
  <si>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</si>
  <si>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</si>
  <si>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</si>
  <si>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</si>
  <si>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</si>
  <si>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</si>
  <si>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</si>
  <si>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</si>
  <si>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</si>
  <si>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</si>
  <si>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</si>
  <si>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</si>
  <si>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</si>
  <si>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</si>
  <si>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</si>
  <si>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</si>
  <si>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</si>
  <si>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</si>
  <si>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</si>
  <si>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</si>
  <si>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</si>
  <si>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</si>
  <si>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</si>
  <si>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</si>
  <si>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</si>
  <si>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</si>
  <si>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</si>
  <si>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</si>
  <si>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</si>
  <si>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</si>
  <si>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</si>
  <si>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</si>
  <si>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</si>
  <si>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</si>
  <si>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</si>
  <si>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</si>
  <si>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</si>
  <si>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</si>
  <si>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</si>
  <si>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</si>
  <si>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</si>
  <si>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</si>
  <si>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</si>
  <si>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</si>
  <si>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</si>
  <si>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</si>
  <si>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</si>
  <si>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</si>
  <si>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</si>
  <si>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</si>
  <si>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</si>
  <si>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</si>
  <si>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</si>
  <si>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</si>
  <si>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</si>
  <si>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</si>
  <si>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</si>
  <si>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</si>
  <si>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</si>
  <si>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</si>
  <si>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</si>
  <si>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</si>
  <si>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</si>
  <si>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</si>
  <si>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</si>
  <si>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</si>
  <si>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</si>
  <si>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</si>
  <si>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</si>
  <si>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</si>
  <si>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</si>
  <si>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</si>
  <si>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</si>
  <si>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</si>
  <si>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</si>
  <si>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</si>
  <si>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</si>
  <si>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</si>
  <si>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</si>
  <si>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</si>
  <si>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</si>
  <si>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</si>
  <si>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</si>
  <si>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</si>
  <si>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</si>
  <si>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</si>
  <si>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</si>
  <si>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</si>
  <si>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</si>
  <si>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</si>
  <si>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</si>
  <si>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</si>
  <si>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</si>
  <si>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</si>
  <si>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</si>
  <si>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</si>
  <si>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</si>
  <si>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</si>
  <si>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</si>
  <si>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</si>
  <si>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</si>
  <si>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</si>
  <si>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</si>
  <si>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</si>
  <si>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</si>
  <si>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</si>
  <si>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</si>
  <si>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</si>
  <si>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</si>
  <si>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</si>
  <si>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</si>
  <si>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</si>
  <si>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</si>
  <si>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</si>
  <si>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</si>
  <si>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</si>
  <si>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</si>
  <si>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</si>
  <si>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</si>
  <si>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</si>
  <si>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</si>
  <si>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</si>
  <si>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</si>
  <si>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</si>
  <si>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</si>
  <si>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</si>
  <si>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</si>
  <si>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</si>
  <si>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</si>
  <si>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</si>
  <si>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</si>
  <si>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</si>
  <si>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</si>
  <si>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</si>
  <si>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</si>
  <si>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</si>
  <si>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</si>
  <si>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</si>
  <si>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</si>
  <si>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</si>
  <si>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</si>
  <si>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</si>
  <si>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</si>
  <si>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</si>
  <si>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</si>
  <si>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</si>
  <si>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</si>
  <si>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</si>
  <si>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</si>
  <si>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</si>
  <si>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</si>
  <si>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</si>
  <si>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</si>
  <si>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</si>
  <si>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</si>
  <si>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</si>
  <si>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</si>
  <si>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</si>
  <si>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</si>
  <si>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</si>
  <si>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</si>
  <si>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</si>
  <si>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</si>
  <si>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</si>
  <si>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</si>
  <si>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</si>
  <si>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</si>
  <si>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</si>
  <si>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</si>
  <si>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</si>
  <si>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</si>
  <si>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</si>
  <si>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</si>
  <si>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</si>
  <si>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</si>
  <si>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</si>
  <si>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</si>
  <si>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</si>
  <si>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</si>
  <si>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</si>
  <si>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</si>
  <si>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</si>
  <si>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</si>
  <si>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</si>
  <si>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</si>
  <si>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</si>
  <si>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</si>
  <si>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</si>
  <si>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</si>
  <si>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</si>
  <si>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</si>
  <si>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</si>
  <si>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</si>
  <si>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</si>
  <si>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</si>
  <si>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</si>
  <si>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</si>
  <si>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</si>
  <si>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</si>
  <si>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</si>
  <si>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</si>
  <si>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</si>
  <si>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</si>
  <si>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</si>
  <si>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</si>
  <si>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</si>
  <si>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</si>
  <si>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</si>
  <si>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</si>
  <si>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</si>
  <si>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</si>
  <si>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</si>
  <si>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</si>
  <si>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</si>
  <si>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</si>
  <si>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</si>
  <si>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</si>
  <si>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</si>
  <si>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</si>
  <si>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</si>
  <si>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</si>
  <si>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</si>
  <si>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</si>
  <si>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</si>
  <si>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</si>
  <si>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</si>
  <si>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</si>
  <si>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</si>
  <si>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</si>
  <si>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</si>
  <si>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</si>
  <si>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</si>
  <si>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</si>
  <si>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</si>
  <si>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</si>
  <si>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</si>
  <si>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</si>
  <si>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</si>
  <si>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</si>
  <si>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</si>
  <si>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</si>
  <si>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</si>
  <si>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</si>
  <si>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</si>
  <si>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</si>
  <si>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</si>
  <si>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</si>
  <si>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</si>
  <si>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</si>
  <si>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</si>
  <si>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</si>
  <si>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</si>
  <si>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</si>
  <si>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</si>
  <si>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</si>
  <si>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</si>
  <si>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</si>
  <si>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</si>
  <si>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</si>
  <si>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</si>
  <si>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</si>
  <si>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</si>
  <si>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</si>
  <si>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</si>
  <si>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</si>
  <si>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</si>
  <si>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</si>
  <si>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</si>
  <si>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</si>
  <si>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</si>
  <si>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</si>
  <si>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</si>
  <si>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</si>
  <si>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</si>
  <si>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</si>
  <si>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</si>
  <si>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</si>
  <si>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</si>
  <si>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</si>
  <si>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</si>
  <si>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</si>
  <si>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</si>
  <si>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</si>
  <si>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</si>
  <si>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</si>
  <si>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</si>
  <si>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</si>
  <si>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</si>
  <si>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</si>
  <si>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</si>
  <si>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</si>
  <si>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</si>
  <si>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</si>
  <si>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</si>
  <si>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</si>
  <si>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</si>
  <si>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</si>
  <si>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</si>
  <si>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</si>
  <si>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</si>
  <si>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</si>
  <si>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</si>
  <si>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</si>
  <si>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</si>
  <si>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</si>
  <si>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</si>
  <si>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</si>
  <si>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</si>
  <si>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</si>
  <si>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</si>
  <si>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</si>
  <si>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</si>
  <si>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</si>
  <si>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</si>
  <si>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</si>
  <si>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</si>
  <si>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</si>
  <si>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</si>
  <si>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</si>
  <si>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</si>
  <si>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</si>
  <si>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</si>
  <si>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</si>
  <si>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</si>
  <si>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</si>
  <si>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</si>
  <si>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</si>
  <si>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</si>
  <si>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</si>
  <si>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</si>
  <si>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</si>
  <si>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</si>
  <si>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</si>
  <si>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</si>
  <si>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</si>
  <si>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</si>
  <si>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</si>
  <si>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</si>
  <si>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</si>
  <si>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</si>
  <si>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</si>
  <si>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</si>
  <si>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</si>
  <si>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</si>
  <si>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</si>
  <si>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</si>
  <si>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</si>
  <si>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</si>
  <si>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</si>
  <si>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</si>
  <si>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</si>
  <si>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</si>
  <si>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</si>
  <si>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</si>
  <si>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</si>
  <si>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</si>
  <si>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</si>
  <si>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</si>
  <si>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</si>
  <si>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</si>
  <si>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</si>
  <si>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</si>
  <si>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</si>
  <si>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</si>
  <si>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</si>
  <si>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</si>
  <si>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</si>
  <si>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</si>
  <si>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</si>
  <si>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</si>
  <si>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</si>
  <si>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</si>
  <si>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</si>
  <si>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</si>
  <si>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</si>
  <si>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</si>
  <si>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</si>
  <si>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</si>
  <si>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</si>
  <si>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</si>
  <si>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</si>
  <si>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</si>
  <si>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</si>
  <si>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</si>
  <si>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</si>
  <si>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</si>
  <si>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</si>
  <si>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</si>
  <si>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</si>
  <si>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</si>
  <si>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</si>
  <si>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</si>
  <si>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</si>
  <si>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</si>
  <si>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</si>
  <si>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</si>
  <si>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</si>
  <si>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</si>
  <si>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</si>
  <si>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</si>
  <si>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</si>
  <si>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</si>
  <si>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</si>
  <si>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</si>
  <si>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</si>
  <si>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</si>
  <si>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</si>
  <si>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</si>
  <si>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</si>
  <si>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</si>
  <si>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</si>
  <si>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</si>
  <si>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</si>
  <si>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</si>
  <si>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</si>
  <si>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</si>
  <si>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</si>
  <si>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</si>
  <si>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</si>
  <si>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</si>
  <si>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</si>
  <si>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</si>
  <si>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</si>
  <si>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</si>
  <si>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</si>
  <si>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</si>
  <si>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</si>
  <si>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</si>
  <si>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</si>
  <si>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</si>
  <si>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</si>
  <si>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</si>
  <si>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</si>
  <si>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</si>
  <si>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</si>
  <si>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</si>
  <si>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</si>
  <si>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</si>
  <si>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</si>
  <si>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</si>
  <si>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</si>
  <si>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</si>
  <si>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</si>
  <si>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</si>
  <si>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</si>
  <si>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</si>
  <si>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</si>
  <si>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</si>
  <si>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</si>
  <si>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</si>
  <si>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</si>
  <si>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</si>
  <si>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</si>
  <si>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</si>
  <si>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</si>
  <si>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</si>
  <si>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</si>
  <si>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</si>
  <si>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</si>
  <si>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</si>
  <si>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</si>
  <si>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</si>
  <si>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</si>
  <si>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</si>
  <si>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</si>
  <si>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</si>
  <si>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</si>
  <si>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</si>
  <si>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</si>
  <si>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</si>
  <si>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</si>
  <si>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</si>
  <si>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</si>
  <si>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</si>
  <si>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</si>
  <si>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</si>
  <si>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</si>
  <si>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</si>
  <si>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</si>
  <si>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</si>
  <si>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</si>
  <si>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</si>
  <si>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</si>
  <si>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</si>
  <si>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</si>
  <si>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</si>
  <si>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</si>
  <si>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</si>
  <si>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</si>
  <si>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</si>
  <si>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</si>
  <si>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</si>
  <si>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</si>
  <si>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</si>
  <si>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</si>
  <si>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</si>
  <si>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</si>
  <si>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</si>
  <si>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</si>
  <si>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</si>
  <si>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</si>
  <si>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</si>
  <si>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</si>
  <si>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</si>
  <si>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</si>
  <si>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</si>
  <si>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</si>
  <si>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</si>
  <si>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</si>
  <si>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</si>
  <si>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</si>
  <si>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</si>
  <si>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</si>
  <si>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</si>
  <si>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</si>
  <si>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</si>
  <si>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</si>
  <si>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</si>
  <si>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</si>
  <si>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</si>
  <si>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</si>
  <si>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</si>
  <si>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</si>
  <si>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</si>
  <si>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</si>
  <si>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</si>
  <si>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</si>
  <si>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</si>
  <si>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</si>
  <si>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</si>
  <si>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</si>
  <si>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</si>
  <si>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</si>
  <si>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</si>
  <si>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</si>
  <si>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</si>
  <si>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</si>
  <si>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</si>
  <si>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</si>
  <si>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</si>
  <si>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</si>
  <si>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</si>
  <si>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</si>
  <si>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 xml:space="preserve">MOSTLY SUNNY. LIGHT WINDS BECOMING S.E. 5 TO 10 MPH. OVERNIGHT…PARTLY </t>
  </si>
  <si>
    <t>CLOUDY. SOUTHEAST WINDS 5 TO 10 MPH.</t>
  </si>
  <si>
    <t>INCREASING CLOUDS, WITH A CHANCE OF SHOWERS AND T-STORMS THIS AFTER-</t>
  </si>
  <si>
    <t>NOON. CHANCE OF RAIN 60%.CLOUDY  WITH SHOWERS AT NIGHT.</t>
  </si>
  <si>
    <t xml:space="preserve">CLOUDY… A 50% CHANCE OF T-STORMS. HIGH IN THE UPPER 70S. CLOUDY AT </t>
  </si>
  <si>
    <t>NIGHT WITH A 50% CHANCE OF SHOWERS AND T-STORMS. LOW IN THE 50S.</t>
  </si>
  <si>
    <t>PARTLY CLOUDY. HIGH AROUND 70.</t>
  </si>
  <si>
    <t>FAIR.. HIGH AROUDN 75 WITH LOWS IN THE MIDDLE 50S.</t>
  </si>
  <si>
    <t>CLOUDY… HIGH IN THE MIDDLE 70S. LOWS IN THE MIDDLE 50S.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</si>
</sst>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quotePrefix="1" applyFont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3D9A8A1-9D41-955E-24B6-FC9830661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B6585D86-5DFB-B84F-1814-CB7B18E7B8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D68CF67-ED45-F774-E8DA-C51F561B3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ADC4256A-A78B-7680-E98F-E4B2A6E1F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F01921A-45BF-DA20-7FDC-1E02D18AFD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C90DB9F-25BB-AFE6-99F9-5BBC25FB8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DAC0007-9D71-9FE3-28D3-357C40E581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9004E614-9FB6-9F92-A43A-A0ED8311B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59A0047E-5302-C71D-82CB-009E56B09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4E0146B-7F1C-3D4D-9703-525E7AAC0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63DF51A-3E2F-4C65-5729-AE332DC5C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704C83DB-200D-1709-56BD-C52ABD32F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CBB67A54-5E28-590C-E250-204C80C02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0E49C06-FAD9-C106-2B68-924F0AE95B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310F9615-E679-7785-6FD2-D043EE5F8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0A1D5B5-648E-5D03-D10F-F0AAD0130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7785685A-54A3-8FEC-6A57-BA393FCF3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1B9CE0D-F993-D997-11BA-7F6CA85C50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D5F42B68-898C-93C7-B597-B96EF98FF3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1DEB41C4-320F-4E84-E0DA-BB03094EA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7BF19722-3595-ACE7-9F9F-4D2E21B42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34FE102E-DAC6-BED7-03B3-5F2B3A8141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BA44CEC-E504-AA2A-43C2-86F38E8CB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8E27D885-CF75-5B81-AF43-9E7A8D3C6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0FEBFAD-836D-C70C-CB48-80680052F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0022C223-2110-50E3-5FB3-0188655B8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F251009-5A46-4A24-09C4-2C0C9AC5A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F088D9B-D277-3908-5159-2F9CEF31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4D86BE3-074C-9FCC-E0E8-CE2DCCB3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E2378E5-E32B-A9F4-CA12-2BA50CA14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442022A3-D132-C032-6056-2D139BD41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9B006954-2548-8D68-C7B0-9BECB23D4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F39FF342-3260-CB4F-D29D-52DB6182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F85440B5-A3D7-57AC-D7FB-91F6CEF1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AFA2E8B-3F5B-06B2-CDD3-239AE4BC9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E68AC2D-A307-C0D0-8E8D-3C5835565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6FAF1E8-298A-4574-D562-22DDAEC67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5C36489C-09CE-80D3-9FA3-A8FD671B2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D91602B-A070-F7A1-B735-53449F1F8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52AFB23E-6981-31DB-9449-E8FAEA9EB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88C400E-D0F8-521E-E072-11C3C4B83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3C165724-1DD6-E75A-89C7-CC7C931F6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F3DF592-3EF8-C851-88F5-052B1E189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230E742C-95F3-E2EF-2FC0-CCC890408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995" name="Day_1">
          <a:extLst>
            <a:ext uri="{FF2B5EF4-FFF2-40B4-BE49-F238E27FC236}">
              <a16:creationId xmlns:a16="http://schemas.microsoft.com/office/drawing/2014/main" id="{683AD423-8B4E-8159-4295-43339CA5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996" name="Day_2">
          <a:extLst>
            <a:ext uri="{FF2B5EF4-FFF2-40B4-BE49-F238E27FC236}">
              <a16:creationId xmlns:a16="http://schemas.microsoft.com/office/drawing/2014/main" id="{C03942DB-396E-C7B0-433A-CA321DB1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997" name="Day_3">
          <a:extLst>
            <a:ext uri="{FF2B5EF4-FFF2-40B4-BE49-F238E27FC236}">
              <a16:creationId xmlns:a16="http://schemas.microsoft.com/office/drawing/2014/main" id="{E3FCBC8E-B7C5-680D-EF88-50A7F0B13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998" name="Day_4">
          <a:extLst>
            <a:ext uri="{FF2B5EF4-FFF2-40B4-BE49-F238E27FC236}">
              <a16:creationId xmlns:a16="http://schemas.microsoft.com/office/drawing/2014/main" id="{3AC99351-00FF-76F5-3A9B-BBC3A9E3D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999" name="Day_5">
          <a:extLst>
            <a:ext uri="{FF2B5EF4-FFF2-40B4-BE49-F238E27FC236}">
              <a16:creationId xmlns:a16="http://schemas.microsoft.com/office/drawing/2014/main" id="{2F435D2C-F676-0C3B-6996-A7B6FAFC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00" name="Day_6">
          <a:extLst>
            <a:ext uri="{FF2B5EF4-FFF2-40B4-BE49-F238E27FC236}">
              <a16:creationId xmlns:a16="http://schemas.microsoft.com/office/drawing/2014/main" id="{20637A91-F09E-D918-6A91-5D4E4B8A7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456340FE-D0AC-7000-E5E0-37273664A5AD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F6DF4F2-D7B7-CA2B-DE48-F930A5F0D209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7DC64D6-C40A-A07D-BEDE-CD6565FA4309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C9448205-22EB-78C2-CEED-A8C27DA0BD2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598225DE-7D28-632E-6AB6-F9682BBC9EC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A53FE38E-13AF-2E8D-43B3-4D0EF6FD2A9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6EDDA228-1ACD-1841-A559-2C25704FB44F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B00C8DFF-FAB7-0FAF-0924-D1535856D59B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DC43D7AC-9A95-8E5D-BF11-E1CB95B0795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A0866CF8-C47E-1102-1E52-360427F77EB2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F849E286-C7A9-89FF-8DD3-1BB48F637D46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0623B699-9F45-9BEA-03A2-C66123B967D8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2023C124-977F-7E27-4770-4AB0DC581B0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6A64B32-3CF0-58A1-8EB5-64AE889038C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F8CCA391-AC0A-49C8-10B9-E67F80A13A6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AF754B55-E0E3-7405-3C32-E0026A54709E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D38FF22C-E45B-8F81-F699-9309358F3821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17C9CB29-30B5-4438-6E4A-0D409BB20C9F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A4B27948-CD15-1A9A-AD72-2487F88BE9FF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4BED080F-BB39-A008-40B0-2E807A126835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7B15040D-6B76-8974-A81D-3F94FB4AAE2B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50E32902-9BB6-063C-929B-A5118444B462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865EF875-0134-3E74-E329-7BC1E3DFA84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5EEE6A95-70D8-CB08-2A70-9E633E08B48C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11A8057F-7CB3-9228-9F96-1EAC7E2F3928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8A5E0FF4-4372-1169-9D31-D85EA16A8001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540B1688-CE06-CA7A-FE51-CEB7F6C57310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0C1CA921-ADE1-99AD-DEE2-E0976186E9A2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70B45136-534B-D2D0-088B-A3F382552DDA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9A29E2F0-CD85-565F-57CD-47C1EC2CB4A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98EA4F57-FE55-7B5D-4CE3-72CC4E727E09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5481566-D1E8-6705-DD3B-4E92B4374E39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92B6490-0185-F55B-4C9E-BD8C58B0E9D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0574B6A0-C409-DF1E-1E0D-FAC71471ACED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8FC376C0-37A0-C564-2E9F-8B9891FCAD2C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4F2BFF47-A814-EC93-14EA-899D35400B9A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844F1AC7-8D9F-9285-994C-F44F2BD0934F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D851D45F-5922-20DB-6EB3-BD3B3CE5ECA9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8A8CB6CE-3A54-5449-C3CF-42656F8F6A1B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71B14AB1-27A7-D807-EFFE-10686FA2B37C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7FBFF6CD-61F7-D34F-1B3F-B39802E8819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D26B3253-4D9A-D82B-E1B1-91B3920A9E1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1C2F3605-3EAB-A725-CEB1-730131648E77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0475C5B9-F94D-03E4-B00B-E552CD846E50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E6D7CFF-3F6E-28F2-3941-848C334DE7AA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D0F430AA-6E9F-38C6-154D-9AC84CB3BD9B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F76CB21A-CEE2-D44D-CD5E-177A17CF4094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90DA4F94-D6E8-17BB-74CD-4B2102C11C7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76C3CE45-F00F-6575-7D41-91DF74DFD928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B72800A0-E82B-DE7D-EBDC-19A3753EB053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75C4131-843E-0B3C-6475-8E19865EC67D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2A442B4B-3234-29C6-2E22-824DD6AADE8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A38C6BE-E66E-037C-B072-71B2434AF7F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71F466C-DEDE-E9C0-9F54-014640BEB08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0C908D30-CD48-36AD-0C6B-7DB31C36AB54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E64B9E6-B05D-D59B-4818-51C594AE0501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7706F27-E405-A967-141B-2A74A2C58D58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B910CB43-895F-DB2F-F8D5-001F745F61F3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5CF3C8F-AA09-484B-C5CF-819BC86DE61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61E3BF70-9C44-8B18-9EA4-2F3D188DBFD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E4FBC320-6881-44B9-1D50-4D6CD473F37D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029AA1BB-9661-D88E-86A8-91DC08BD8F89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663F1BC-7FA5-1F1A-FF00-66391498A506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0CB69614-1CA8-F38A-D400-2AD201F3EE73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867E5EA-BBA8-44E2-A4C5-F38F8933B9B1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15870301-3C9A-0FEC-9E36-870122A399D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1E4E02A-0AEA-03F8-60A8-13293E23C6EA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0764F46D-C6B6-6AF0-837F-18104D4276A4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1225539-A8ED-5F96-0FDB-88C2DC568BDB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A73EE9C-E01D-F532-ACF8-0118F086C736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79795CDE-772B-0C6E-C049-2E31A997C418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517DFD3E-1679-5EFC-9ECD-10E93E4A2FAA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5754B693-6A68-2564-717A-B0A4F50868B6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33DD179-AB5A-B5E8-0A10-46D5FC4CE28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1236F6FF-4283-3F24-861D-8C8D0F5E8FE1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AA962021-51BF-623E-6698-DFF025337956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B00BA894-EC30-48A0-3BE4-491D6B7B496D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9CEF92DC-4FA5-42D0-2F59-12D72FC61EA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D7066D0-69F3-9B4C-B62C-291654BF32F9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AEFF2844-800F-0D10-D908-578DACE2169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72A77DA6-D3FE-F5CE-034B-6AE423F4FAB2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B8998750-7F8C-A48E-E21B-0CF204B20AFB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353E5793-A3D7-5D0B-4027-247F2B517C9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1D85DE53-7A9A-503A-F7C0-48929228808F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716DBD4A-8684-60CD-B418-B11698FD81DC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9990F575-D78B-72D3-A5F9-37745DC91912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AE242AEA-6E6D-293F-F0F7-8D8C401C0A4F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AD0E90FF-CE64-2CD3-95E6-1E5C9F70FCF7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117DFBEC-BE81-CD44-CF5C-2B1267AF2991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0EB25309-6E7C-5573-DF9C-E71B8EDDE730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E415F20-AE8B-054A-435F-1C4A3F42DFDF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AB54D55B-D0A6-7496-8C75-40296BFAB7E3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BF42692F-714C-0C8E-E269-F05D33E54C5B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4BEA156B-DC83-4DC6-B85D-FB9131B4B79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8903458E-250B-0C7F-C630-75EBE28FAACD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EF90A948-501E-B556-73BB-C0ABE8AB8E12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858E23CF-2AC9-45FE-0ADF-D8BE277F1672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39076CE5-3170-556F-9936-FC4C6701CF57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345F6605-1568-8EF4-1B6E-5503430F984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36EAC287-1CDB-47CE-1F7A-7721D33B21E6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1DEF85F9-3EB1-76C7-7F35-06DFA9F39EF3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49BAE58A-39B1-65C5-1943-528086DDF67C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380EF24-AD02-2692-A889-EA4D81A924C0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78A68AD6-6BC2-3D82-2601-C9FD5AC16D5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002E299F-44DC-5EC4-64C5-40A513206573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C7730DF3-8B5E-3CC4-0F8A-83CD1B2BFBF4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806D5AF9-D43E-60CB-8245-B8C2DB131E1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73C3173-1D7F-6FE5-74EC-FD413026FF36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CA965D9F-26CE-04AA-9EBC-026BD3FB381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6A0380D2-29A1-B7FA-0121-04D1C4A691D9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607190B1-510D-C48E-E1F9-E8F76CFEE11E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C6D1B8A9-FA86-7361-4BEB-FBCB0DE2F017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6956D706-2E40-3DC0-A22B-E60C2DD46B13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D755693-3CA3-E9E9-8589-6C7E2CD72F10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A81D4C4B-B0D5-DBC6-DF71-6F952E332243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D9FB7A37-49FF-5321-46E0-37B30EC8E900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D9D54341-4D5E-82EA-BA0B-BDB945CAE903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AE0FEA5B-F90F-860C-AF26-9FE01F82A7AE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2048FD6A-1DDA-66C9-B121-A583B0C2F676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E54F027-D7E5-8C2A-2820-5C95470BE40F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A27275DE-1286-9056-8934-C0740F5E13A9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036EF43-88C5-171D-6FEC-577164BA4330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69457043-A3C3-5D53-0EDB-99AB12120E47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50C31D0-043A-7AEB-B43A-CBA0D5FBFC4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EBDFD025-EC19-0394-2D01-4ADF6DF3861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BE865474-5156-75AD-7BC3-2E21D2C6D02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12B4BD3-BAE2-ACCA-F137-2453DE82C3D5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F05CB0A0-C63A-CC47-32F9-2DAA2FE53831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B8D2F070-6FC0-F7B0-9516-6E9FD8F21408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810171CE-C96F-F1CB-7765-20EDD0BC071A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L6" sqref="L6"/>
    </sheetView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7" t="s">
        <v>630</v>
      </c>
      <c r="B1" s="810"/>
    </row>
    <row r="2" spans="1:88">
      <c r="A2" s="1107" t="s">
        <v>11</v>
      </c>
      <c r="B2" t="s">
        <v>11</v>
      </c>
    </row>
    <row r="3" spans="1:88" ht="15.75" thickBot="1">
      <c r="A3" s="1106" t="s">
        <v>697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SUN</v>
      </c>
      <c r="I1" s="878">
        <f>D4</f>
        <v>37024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37024</v>
      </c>
      <c r="E4" s="845">
        <f>Weather_Input!A6</f>
        <v>37025</v>
      </c>
      <c r="F4" s="845">
        <f>Weather_Input!A7</f>
        <v>37026</v>
      </c>
      <c r="G4" s="845">
        <f>Weather_Input!A8</f>
        <v>37027</v>
      </c>
      <c r="H4" s="845">
        <f>Weather_Input!A9</f>
        <v>37028</v>
      </c>
      <c r="I4" s="846">
        <f>Weather_Input!A10</f>
        <v>37029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68/44/56</v>
      </c>
      <c r="E5" s="879" t="str">
        <f>TEXT(Weather_Input!B6,"0")&amp;"/"&amp;TEXT(Weather_Input!C6,"0") &amp; "/" &amp; TEXT((Weather_Input!B6+Weather_Input!C6)/2,"0")</f>
        <v>73/58/66</v>
      </c>
      <c r="F5" s="879" t="str">
        <f>TEXT(Weather_Input!B7,"0")&amp;"/"&amp;TEXT(Weather_Input!C7,"0") &amp; "/" &amp; TEXT((Weather_Input!B7+Weather_Input!C7)/2,"0")</f>
        <v>77/55/66</v>
      </c>
      <c r="G5" s="879" t="str">
        <f>TEXT(Weather_Input!B8,"0")&amp;"/"&amp;TEXT(Weather_Input!C8,"0") &amp; "/" &amp; TEXT((Weather_Input!B8+Weather_Input!C8)/2,"0")</f>
        <v>72/55/64</v>
      </c>
      <c r="H5" s="879" t="str">
        <f>TEXT(Weather_Input!B9,"0")&amp;"/"&amp;TEXT(Weather_Input!C9,"0") &amp; "/" &amp; TEXT((Weather_Input!B9+Weather_Input!C9)/2,"0")</f>
        <v>78/58/68</v>
      </c>
      <c r="I5" s="880" t="str">
        <f>TEXT(Weather_Input!B10,"0")&amp;"/"&amp;TEXT(Weather_Input!C10,"0") &amp; "/" &amp; TEXT((Weather_Input!B10+Weather_Input!C10)/2,"0")</f>
        <v>74/53/64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52</v>
      </c>
      <c r="E6" s="848">
        <f ca="1">VLOOKUP(E4,NSG_Sendouts,CELL("Col",NSG_Deliveries!C6),FALSE)/1000</f>
        <v>44</v>
      </c>
      <c r="F6" s="848">
        <f ca="1">VLOOKUP(F4,NSG_Sendouts,CELL("Col",NSG_Deliveries!C7),FALSE)/1000</f>
        <v>39</v>
      </c>
      <c r="G6" s="848">
        <f ca="1">VLOOKUP(G4,NSG_Sendouts,CELL("Col",NSG_Deliveries!C8),FALSE)/1000</f>
        <v>39</v>
      </c>
      <c r="H6" s="848">
        <f ca="1">VLOOKUP(H4,NSG_Sendouts,CELL("Col",NSG_Deliveries!C9),FALSE)/1000</f>
        <v>38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12.036</v>
      </c>
      <c r="E12" s="848">
        <f>NSG_Requirements!J8/1000</f>
        <v>16.78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0</v>
      </c>
      <c r="G13" s="848">
        <f>NSG_Requirements!H10/1000</f>
        <v>0</v>
      </c>
      <c r="H13" s="848">
        <f>NSG_Requirements!H11/1000</f>
        <v>0</v>
      </c>
      <c r="I13" s="849">
        <f>NSG_Requirements!H12/1000</f>
        <v>0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64.036000000000001</v>
      </c>
      <c r="E19" s="857">
        <f t="shared" ca="1" si="1"/>
        <v>60.78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12.510999999999999</v>
      </c>
      <c r="E25" s="848">
        <f>NSG_Supplies!F8/1000</f>
        <v>9</v>
      </c>
      <c r="F25" s="848">
        <f>NSG_Supplies!F9/1000</f>
        <v>9</v>
      </c>
      <c r="G25" s="848">
        <f>NSG_Supplies!F10/1000</f>
        <v>9</v>
      </c>
      <c r="H25" s="848">
        <f>NSG_Supplies!F11/1000</f>
        <v>9</v>
      </c>
      <c r="I25" s="853">
        <f>NSG_Supplies!F12/1000</f>
        <v>9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5" t="s">
        <v>771</v>
      </c>
      <c r="D32" s="848">
        <f>NSG_Supplies!R7/1000</f>
        <v>31.776</v>
      </c>
      <c r="E32" s="848">
        <f>NSG_Supplies!R8/1000</f>
        <v>31.776</v>
      </c>
      <c r="F32" s="848">
        <f>NSG_Supplies!R9/1000</f>
        <v>31.776</v>
      </c>
      <c r="G32" s="848">
        <f>NSG_Supplies!R10/1000</f>
        <v>31.776</v>
      </c>
      <c r="H32" s="848">
        <f>NSG_Supplies!R11/1000</f>
        <v>31.776</v>
      </c>
      <c r="I32" s="849">
        <f>NSG_Supplies!R12/1000</f>
        <v>31.776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64.287000000000006</v>
      </c>
      <c r="E37" s="888">
        <f t="shared" si="2"/>
        <v>60.775999999999996</v>
      </c>
      <c r="F37" s="888">
        <f t="shared" si="2"/>
        <v>60.775999999999996</v>
      </c>
      <c r="G37" s="888">
        <f t="shared" si="2"/>
        <v>60.775999999999996</v>
      </c>
      <c r="H37" s="888">
        <f t="shared" si="2"/>
        <v>60.775999999999996</v>
      </c>
      <c r="I37" s="889">
        <f t="shared" si="2"/>
        <v>60.775999999999996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0.25100000000000477</v>
      </c>
      <c r="E38" s="892">
        <f t="shared" ca="1" si="3"/>
        <v>0</v>
      </c>
      <c r="F38" s="892">
        <f t="shared" ca="1" si="3"/>
        <v>1.7759999999999962</v>
      </c>
      <c r="G38" s="892">
        <f t="shared" ca="1" si="3"/>
        <v>1.7759999999999962</v>
      </c>
      <c r="H38" s="892">
        <f t="shared" ca="1" si="3"/>
        <v>2.7759999999999962</v>
      </c>
      <c r="I38" s="893">
        <f t="shared" ca="1" si="3"/>
        <v>3.7759999999999962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4.0000000000048885E-3</v>
      </c>
      <c r="F39" s="874">
        <f t="shared" ca="1" si="4"/>
        <v>0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6" t="s">
        <v>772</v>
      </c>
      <c r="B40" s="1167"/>
      <c r="C40" s="1167"/>
      <c r="D40" s="1168">
        <f>NSG_Supplies!S7/1000</f>
        <v>20.831</v>
      </c>
      <c r="E40" s="1168">
        <f>NSG_Supplies!S8/1000</f>
        <v>20.831</v>
      </c>
      <c r="F40" s="1168">
        <f>NSG_Supplies!S9/1000</f>
        <v>20.831</v>
      </c>
      <c r="G40" s="1168">
        <f>NSG_Supplies!S10/1000</f>
        <v>20.831</v>
      </c>
      <c r="H40" s="1168">
        <f>NSG_Supplies!S11/1000</f>
        <v>20.831</v>
      </c>
      <c r="I40" s="1169">
        <f>NSG_Supplies!S12/1000</f>
        <v>20.831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5.2</v>
      </c>
      <c r="E42" s="899">
        <f>Weather_Input!D6</f>
        <v>12</v>
      </c>
      <c r="F42" s="899">
        <f>Weather_Input!D7</f>
        <v>12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37024</v>
      </c>
      <c r="G1" s="769" t="str">
        <f>CHOOSE(WEEKDAY(F1),"SUN","MON","TUE","WED","THU","FRI","SAT")</f>
        <v>SUN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68</v>
      </c>
      <c r="C4" s="962">
        <f>Weather_Input!C5</f>
        <v>44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0.161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8" t="s">
        <v>11</v>
      </c>
      <c r="C6" s="965">
        <f>PGL_Deliveries!C5/1000</f>
        <v>265</v>
      </c>
      <c r="D6" s="1158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9"/>
      <c r="C7" s="1131">
        <f>PGL_Requirements!I7/1000</f>
        <v>0</v>
      </c>
      <c r="D7" s="121"/>
      <c r="E7" s="121"/>
      <c r="F7" s="1159"/>
      <c r="G7" s="1160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24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1"/>
      <c r="C10" s="1127">
        <f>+B34</f>
        <v>133.29400000000001</v>
      </c>
      <c r="D10" s="1111"/>
      <c r="E10" s="433"/>
      <c r="F10" s="1111"/>
      <c r="G10" s="1114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7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-160.76300000000001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179.46899999999999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18.853999999999999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1">
        <f>PGL_Requirements!G7/1000</f>
        <v>11.279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190.57499999999999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74.425000000000011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2.4124499999999998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76.837450000000018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-20.98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5" thickBot="1">
      <c r="A30" s="325" t="s">
        <v>11</v>
      </c>
      <c r="B30" s="486" t="s">
        <v>11</v>
      </c>
      <c r="C30" s="1181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24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8" t="s">
        <v>4</v>
      </c>
      <c r="B33" s="323">
        <f>PGL_Supplies!Y7/1000</f>
        <v>157.29400000000001</v>
      </c>
      <c r="C33" s="1115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9">
        <f>+B33-B32-B31</f>
        <v>133.29400000000001</v>
      </c>
      <c r="C34" s="1120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6" t="s">
        <v>11</v>
      </c>
      <c r="C35" s="995" t="s">
        <v>68</v>
      </c>
      <c r="D35" s="1117"/>
      <c r="E35" s="1118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33.200000000000003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1"/>
      <c r="D38" s="1112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1"/>
      <c r="D39" s="1112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10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7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160.83000000000001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0.627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0.56000000000000005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2.4124499999999998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-160.76300000000001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9">
        <v>0</v>
      </c>
      <c r="C57" s="539"/>
      <c r="D57" s="539"/>
      <c r="E57" s="1190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75" thickBot="1">
      <c r="A58" s="424" t="s">
        <v>793</v>
      </c>
      <c r="B58" s="1191">
        <v>0</v>
      </c>
      <c r="C58" s="593"/>
      <c r="D58" s="1192"/>
      <c r="E58" s="393"/>
      <c r="F58" s="121" t="s">
        <v>623</v>
      </c>
      <c r="G58" s="121"/>
      <c r="H58" s="1003">
        <f>PGL_Supplies!T7/1000*0.5</f>
        <v>10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3"/>
      <c r="F59" s="121" t="s">
        <v>622</v>
      </c>
      <c r="G59" s="121"/>
      <c r="H59" s="1009"/>
      <c r="I59" s="1010">
        <f>PGL_Requirements!H7/1000</f>
        <v>0.161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179.46899999999999</v>
      </c>
    </row>
    <row r="63" spans="1:9" ht="15.75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1"/>
      <c r="I63" s="1177">
        <f>I59</f>
        <v>0.161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80" t="s">
        <v>785</v>
      </c>
      <c r="G64" s="433"/>
      <c r="H64" s="1112"/>
      <c r="I64" s="1177">
        <f>PGL_Requirements!H7/1000</f>
        <v>0.161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9" t="s">
        <v>3</v>
      </c>
      <c r="H65" s="1112"/>
      <c r="I65" s="1187">
        <f>+I61+I62+I63-I64-I66</f>
        <v>179.46899999999999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8" t="s">
        <v>11</v>
      </c>
      <c r="F66" s="1188" t="s">
        <v>791</v>
      </c>
      <c r="G66" s="1114"/>
      <c r="H66" s="239"/>
      <c r="I66" s="1177">
        <f>PGL_Requirements!K7/1000</f>
        <v>0</v>
      </c>
    </row>
    <row r="67" spans="1:9" ht="16.5" thickBot="1">
      <c r="A67" s="1183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4" t="s">
        <v>11</v>
      </c>
      <c r="F70" s="1195"/>
      <c r="I70" s="1193"/>
    </row>
    <row r="71" spans="1:9" ht="16.5" thickBot="1">
      <c r="A71" s="1182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SUN</v>
      </c>
      <c r="G1" s="1078">
        <f>Weather_Input!A5</f>
        <v>37024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68</v>
      </c>
      <c r="C4" s="757">
        <f>Weather_Input!C5</f>
        <v>44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52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44.036000000000001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9">
        <f>B46</f>
        <v>7.9640000000000004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44.036000000000001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-12.510999999999999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12.036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7.9640000000000004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37024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68</v>
      </c>
      <c r="C5" s="265">
        <f>Weather_Input!C5</f>
        <v>44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265</v>
      </c>
      <c r="C8" s="273">
        <f>NSG_Deliveries!C5/1000</f>
        <v>52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7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18.853999999999999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-3.5360000000000014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0.627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11.279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-188.37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76.63</v>
      </c>
      <c r="C20" s="294">
        <f>C8+C18+C19</f>
        <v>52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2.4124499999999998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79.042450000000002</v>
      </c>
      <c r="C23" s="300">
        <f>C20</f>
        <v>52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0.56000000000000005</v>
      </c>
      <c r="C27" s="309">
        <f>NSG_Requirements!P7/1000</f>
        <v>0</v>
      </c>
      <c r="D27" s="309">
        <f>PGL_Requirements!R7/1000</f>
        <v>0.56000000000000005</v>
      </c>
      <c r="E27" s="309">
        <f>NSG_Requirements!P7/1000</f>
        <v>0</v>
      </c>
      <c r="F27" s="309">
        <f>PGL_Requirements!R7/1000</f>
        <v>0.56000000000000005</v>
      </c>
      <c r="G27" s="309">
        <f>NSG_Requirements!P7/1000</f>
        <v>0</v>
      </c>
      <c r="H27" s="310">
        <f>+B27</f>
        <v>0.56000000000000005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-20.98</v>
      </c>
      <c r="C36" s="314">
        <f>-NSG_Supplies!F7/1000</f>
        <v>-12.510999999999999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160.83000000000001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0.627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2.4124499999999998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2.4124499999999998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0.627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33.200000000000003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7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160.83000000000001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-3.5360000000000014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SUN</v>
      </c>
      <c r="H73" s="405">
        <f>Weather_Input!A5</f>
        <v>37024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7</v>
      </c>
      <c r="D97" s="601"/>
      <c r="E97" s="613">
        <f>+C97</f>
        <v>7</v>
      </c>
      <c r="F97" s="601"/>
      <c r="G97" s="613">
        <f>+C97</f>
        <v>7</v>
      </c>
      <c r="H97" s="601"/>
      <c r="I97" s="284">
        <f>+C97</f>
        <v>7</v>
      </c>
    </row>
    <row r="98" spans="1:9" ht="15">
      <c r="A98" s="492" t="s">
        <v>60</v>
      </c>
      <c r="B98" s="281" t="s">
        <v>11</v>
      </c>
      <c r="C98" s="622">
        <f>B149</f>
        <v>0.627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11.279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33.200000000000003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7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160.83000000000001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0.627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2.4124499999999998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0.627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37025.460343865743</v>
      </c>
      <c r="F22" s="163" t="s">
        <v>271</v>
      </c>
      <c r="G22" s="190">
        <f ca="1">NOW()</f>
        <v>37025.460343865743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Sunday</v>
      </c>
      <c r="B5" s="21">
        <f>Weather_Input!A5</f>
        <v>37024</v>
      </c>
      <c r="C5" s="15"/>
      <c r="D5" s="22" t="s">
        <v>289</v>
      </c>
      <c r="E5" s="23">
        <f>Weather_Input!B5</f>
        <v>68</v>
      </c>
      <c r="F5" s="24" t="s">
        <v>290</v>
      </c>
      <c r="G5" s="25">
        <f>Weather_Input!H5</f>
        <v>12</v>
      </c>
      <c r="H5" s="26" t="s">
        <v>291</v>
      </c>
      <c r="I5" s="27">
        <f ca="1">G5-(VLOOKUP(B5,DD_Normal_Data,CELL("Col",B6),FALSE))</f>
        <v>5</v>
      </c>
    </row>
    <row r="6" spans="1:109" ht="15">
      <c r="A6" s="18"/>
      <c r="B6" s="21"/>
      <c r="C6" s="15"/>
      <c r="D6" s="22" t="s">
        <v>176</v>
      </c>
      <c r="E6" s="23">
        <f>Weather_Input!C5</f>
        <v>44</v>
      </c>
      <c r="F6" s="24" t="s">
        <v>292</v>
      </c>
      <c r="G6" s="25">
        <f>Weather_Input!F5</f>
        <v>65</v>
      </c>
      <c r="H6" s="26" t="s">
        <v>293</v>
      </c>
      <c r="I6" s="27">
        <f ca="1">G6-(VLOOKUP(B5,DD_Normal_Data,CELL("Col",C7),FALSE))</f>
        <v>-57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56.1</v>
      </c>
      <c r="F7" s="24" t="s">
        <v>295</v>
      </c>
      <c r="G7" s="25">
        <f>Weather_Input!G5</f>
        <v>6472</v>
      </c>
      <c r="H7" s="26" t="s">
        <v>295</v>
      </c>
      <c r="I7" s="122">
        <f ca="1">G7-(VLOOKUP(B5,DD_Normal_Data,CELL("Col",D4),FALSE))</f>
        <v>199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MOSTLY SUNNY. LIGHT WINDS BECOMING S.E. 5 TO 10 MPH. OVERNIGHT…PARTLY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CLOUDY. SOUTHEAST WINDS 5 TO 10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Monday</v>
      </c>
      <c r="B10" s="21">
        <f>Weather_Input!A6</f>
        <v>37025</v>
      </c>
      <c r="C10" s="15"/>
      <c r="D10" s="152" t="s">
        <v>289</v>
      </c>
      <c r="E10" s="23">
        <f>Weather_Input!B6</f>
        <v>73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58</v>
      </c>
      <c r="F11" s="24" t="s">
        <v>292</v>
      </c>
      <c r="G11" s="25">
        <f>IF(DAY(B10)=1,G10,G6+G10)</f>
        <v>65</v>
      </c>
      <c r="H11" s="30" t="s">
        <v>293</v>
      </c>
      <c r="I11" s="27">
        <f ca="1">G11-(VLOOKUP(B10,DD_Normal_Data,CELL("Col",C12),FALSE))</f>
        <v>-64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65.5</v>
      </c>
      <c r="F12" s="24" t="s">
        <v>295</v>
      </c>
      <c r="G12" s="25">
        <f>IF(AND(DAY(B10)=1,MONTH(B10)=8),G10,G7+G10)</f>
        <v>6472</v>
      </c>
      <c r="H12" s="26" t="s">
        <v>295</v>
      </c>
      <c r="I12" s="27">
        <f ca="1">G12-(VLOOKUP(B10,DD_Normal_Data,CELL("Col",D9),FALSE))</f>
        <v>192</v>
      </c>
    </row>
    <row r="13" spans="1:109" ht="15">
      <c r="A13" s="18"/>
      <c r="B13" s="21"/>
      <c r="C13" s="15"/>
      <c r="D13" s="32" t="str">
        <f>IF(Weather_Input!I6=""," ",Weather_Input!I6)</f>
        <v>INCREASING CLOUDS, WITH A CHANCE OF SHOWERS AND T-STORMS THIS AFTER-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NOON. CHANCE OF RAIN 60%.CLOUDY  WITH SHOWERS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Tuesday</v>
      </c>
      <c r="B15" s="21">
        <f>Weather_Input!A7</f>
        <v>37026</v>
      </c>
      <c r="C15" s="15"/>
      <c r="D15" s="22" t="s">
        <v>289</v>
      </c>
      <c r="E15" s="23">
        <f>Weather_Input!B7</f>
        <v>77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65</v>
      </c>
      <c r="H16" s="30" t="s">
        <v>293</v>
      </c>
      <c r="I16" s="27">
        <f ca="1">G16-(VLOOKUP(B15,DD_Normal_Data,CELL("Col",C17),FALSE))</f>
        <v>-71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</v>
      </c>
      <c r="F17" s="24" t="s">
        <v>295</v>
      </c>
      <c r="G17" s="25">
        <f>IF(AND(DAY(B15)=1,MONTH(B15)=8),G15,G12+G15)</f>
        <v>6472</v>
      </c>
      <c r="H17" s="26" t="s">
        <v>295</v>
      </c>
      <c r="I17" s="27">
        <f ca="1">G17-(VLOOKUP(B15,DD_Normal_Data,CELL("Col",D14),FALSE))</f>
        <v>185</v>
      </c>
    </row>
    <row r="18" spans="1:109" ht="15">
      <c r="A18" s="18"/>
      <c r="B18" s="20"/>
      <c r="C18" s="15"/>
      <c r="D18" s="32" t="str">
        <f>IF(Weather_Input!I7=""," ",Weather_Input!I7)</f>
        <v xml:space="preserve">CLOUDY… A 50% CHANCE OF T-STORMS. HIGH IN THE UPPER 70S. CLOUDY AT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NIGHT WITH A 50% CHANCE OF SHOWERS AND T-STORMS. LOW IN THE 50S.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Wednesday</v>
      </c>
      <c r="B20" s="21">
        <f>Weather_Input!A8</f>
        <v>37027</v>
      </c>
      <c r="C20" s="15"/>
      <c r="D20" s="22" t="s">
        <v>289</v>
      </c>
      <c r="E20" s="23">
        <f>Weather_Input!B8</f>
        <v>72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55</v>
      </c>
      <c r="F21" s="24" t="s">
        <v>292</v>
      </c>
      <c r="G21" s="25">
        <f>IF(DAY(B20)=1,G20,G16+G20)</f>
        <v>66.5</v>
      </c>
      <c r="H21" s="30" t="s">
        <v>293</v>
      </c>
      <c r="I21" s="27">
        <f ca="1">G21-(VLOOKUP(B20,DD_Normal_Data,CELL("Col",C22),FALSE))</f>
        <v>-76.5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6473.5</v>
      </c>
      <c r="H22" s="26" t="s">
        <v>295</v>
      </c>
      <c r="I22" s="27">
        <f ca="1">G22-(VLOOKUP(B20,DD_Normal_Data,CELL("Col",D19),FALSE))</f>
        <v>179.5</v>
      </c>
    </row>
    <row r="23" spans="1:109" ht="15">
      <c r="A23" s="18"/>
      <c r="B23" s="21"/>
      <c r="C23" s="15"/>
      <c r="D23" s="32" t="str">
        <f>IF(Weather_Input!I8=""," ",Weather_Input!I8)</f>
        <v>PARTLY CLOUDY. HIGH AROUND 70.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Thursday</v>
      </c>
      <c r="B25" s="21">
        <f>Weather_Input!A9</f>
        <v>37028</v>
      </c>
      <c r="C25" s="15"/>
      <c r="D25" s="22" t="s">
        <v>289</v>
      </c>
      <c r="E25" s="23">
        <f>Weather_Input!B9</f>
        <v>78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66.5</v>
      </c>
      <c r="H26" s="30" t="s">
        <v>293</v>
      </c>
      <c r="I26" s="27">
        <f ca="1">G26-(VLOOKUP(B25,DD_Normal_Data,CELL("Col",C27),FALSE))</f>
        <v>-83.5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68</v>
      </c>
      <c r="F27" s="24" t="s">
        <v>295</v>
      </c>
      <c r="G27" s="25">
        <f>IF(AND(DAY(B25)=1,MONTH(B25)=8),G25,G22+G25)</f>
        <v>6473.5</v>
      </c>
      <c r="H27" s="26" t="s">
        <v>295</v>
      </c>
      <c r="I27" s="27">
        <f ca="1">G27-(VLOOKUP(B25,DD_Normal_Data,CELL("Col",D24),FALSE))</f>
        <v>172.5</v>
      </c>
    </row>
    <row r="28" spans="1:109" ht="15">
      <c r="A28" s="18"/>
      <c r="B28" s="20"/>
      <c r="C28" s="15"/>
      <c r="D28" s="32" t="str">
        <f>IF(Weather_Input!I9=""," ",Weather_Input!I9)</f>
        <v>FAIR.. HIGH AROUDN 75 WITH LOWS IN THE MIDDLE 50S.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Friday</v>
      </c>
      <c r="B30" s="21">
        <f>Weather_Input!A10</f>
        <v>37029</v>
      </c>
      <c r="C30" s="15"/>
      <c r="D30" s="22" t="s">
        <v>289</v>
      </c>
      <c r="E30" s="23">
        <f>Weather_Input!B10</f>
        <v>74</v>
      </c>
      <c r="F30" s="24" t="s">
        <v>290</v>
      </c>
      <c r="G30" s="25">
        <f>IF(E32&lt;65,65-(Weather_Input!B10+Weather_Input!C10)/2,0)</f>
        <v>1.5</v>
      </c>
      <c r="H30" s="26" t="s">
        <v>291</v>
      </c>
      <c r="I30" s="27">
        <f ca="1">G30-(VLOOKUP(B30,DD_Normal_Data,CELL("Col",B31),FALSE))</f>
        <v>-5.5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68</v>
      </c>
      <c r="H31" s="30" t="s">
        <v>293</v>
      </c>
      <c r="I31" s="27">
        <f ca="1">G31-(VLOOKUP(B30,DD_Normal_Data,CELL("Col",C32),FALSE))</f>
        <v>-89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63.5</v>
      </c>
      <c r="F32" s="24" t="s">
        <v>295</v>
      </c>
      <c r="G32" s="25">
        <f>IF(AND(DAY(B30)=1,MONTH(B30)=8),G30,G27+G30)</f>
        <v>6475</v>
      </c>
      <c r="H32" s="26" t="s">
        <v>295</v>
      </c>
      <c r="I32" s="27">
        <f ca="1">G32-(VLOOKUP(B30,DD_Normal_Data,CELL("Col",D29),FALSE))</f>
        <v>167</v>
      </c>
    </row>
    <row r="33" spans="1:9" ht="15">
      <c r="A33" s="15"/>
      <c r="B33" s="34"/>
      <c r="C33" s="15"/>
      <c r="D33" s="32" t="str">
        <f>IF(Weather_Input!I10=""," ",Weather_Input!I10)</f>
        <v>CLOUDY… HIGH IN THE MIDDLE 70S. LOWS IN THE MIDDLE 50S.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37024</v>
      </c>
      <c r="C36" s="91">
        <f>B10</f>
        <v>37025</v>
      </c>
      <c r="D36" s="91">
        <f>B15</f>
        <v>37026</v>
      </c>
      <c r="E36" s="91">
        <f xml:space="preserve">       B20</f>
        <v>37027</v>
      </c>
      <c r="F36" s="91">
        <f>B25</f>
        <v>37028</v>
      </c>
      <c r="G36" s="91">
        <f>B30</f>
        <v>37029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265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240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300</v>
      </c>
      <c r="B38" s="41">
        <f>PGL_6_Day_Report!D30</f>
        <v>473.44244999999995</v>
      </c>
      <c r="C38" s="41">
        <f>PGL_6_Day_Report!E30</f>
        <v>451.5</v>
      </c>
      <c r="D38" s="41">
        <f>PGL_6_Day_Report!F30</f>
        <v>452.08</v>
      </c>
      <c r="E38" s="41">
        <f>PGL_6_Day_Report!G30</f>
        <v>433.08</v>
      </c>
      <c r="F38" s="41">
        <f>PGL_6_Day_Report!H30</f>
        <v>433.08</v>
      </c>
      <c r="G38" s="41">
        <f>PGL_6_Day_Report!I30</f>
        <v>423.08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264.39999999999998</v>
      </c>
      <c r="D39" s="41">
        <f>SUM(PGL_Supplies!Z9:AE9)/1000</f>
        <v>264.39999999999998</v>
      </c>
      <c r="E39" s="41">
        <f>SUM(PGL_Supplies!Z10:AE10)/1000</f>
        <v>264.39999999999998</v>
      </c>
      <c r="F39" s="41">
        <f>SUM(PGL_Supplies!Z11:AE11)/1000</f>
        <v>264.39999999999998</v>
      </c>
      <c r="G39" s="41">
        <f>SUM(PGL_Supplies!Z12:AE12)/1000</f>
        <v>264.39999999999998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33.76</v>
      </c>
      <c r="C41" s="41">
        <f>SUM(PGL_Requirements!R7:U7)/1000</f>
        <v>33.76</v>
      </c>
      <c r="D41" s="41">
        <f>SUM(PGL_Requirements!R7:U7)/1000</f>
        <v>33.76</v>
      </c>
      <c r="E41" s="41">
        <f>SUM(PGL_Requirements!R7:U7)/1000</f>
        <v>33.76</v>
      </c>
      <c r="F41" s="41">
        <f>SUM(PGL_Requirements!R7:U7)/1000</f>
        <v>33.76</v>
      </c>
      <c r="G41" s="41">
        <f>SUM(PGL_Requirements!R7:U7)/1000</f>
        <v>33.76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176.70400000000001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37024</v>
      </c>
      <c r="C44" s="91">
        <f t="shared" si="0"/>
        <v>37025</v>
      </c>
      <c r="D44" s="91">
        <f t="shared" si="0"/>
        <v>37026</v>
      </c>
      <c r="E44" s="91">
        <f t="shared" si="0"/>
        <v>37027</v>
      </c>
      <c r="F44" s="91">
        <f t="shared" si="0"/>
        <v>37028</v>
      </c>
      <c r="G44" s="91">
        <f t="shared" si="0"/>
        <v>37029</v>
      </c>
      <c r="H44" s="14"/>
      <c r="I44" s="15"/>
    </row>
    <row r="45" spans="1:9" ht="15">
      <c r="A45" s="15" t="s">
        <v>56</v>
      </c>
      <c r="B45" s="41">
        <f ca="1">NSG_6_Day_Report!D6</f>
        <v>52</v>
      </c>
      <c r="C45" s="41">
        <f ca="1">NSG_6_Day_Report!E6</f>
        <v>44</v>
      </c>
      <c r="D45" s="41">
        <f ca="1">NSG_6_Day_Report!F6</f>
        <v>39</v>
      </c>
      <c r="E45" s="41">
        <f ca="1">NSG_6_Day_Report!G6</f>
        <v>39</v>
      </c>
      <c r="F45" s="41">
        <f ca="1">NSG_6_Day_Report!H6</f>
        <v>38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64.036000000000001</v>
      </c>
      <c r="C46" s="41">
        <f ca="1">NSG_6_Day_Report!E19</f>
        <v>60.78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51.776000000000003</v>
      </c>
      <c r="D47" s="41">
        <f>SUM(NSG_Supplies!P9:R9)/1000</f>
        <v>51.776000000000003</v>
      </c>
      <c r="E47" s="41">
        <f>SUM(NSG_Supplies!P10:R10)/1000</f>
        <v>51.776000000000003</v>
      </c>
      <c r="F47" s="41">
        <f>SUM(NSG_Supplies!P11:R11)/1000</f>
        <v>51.776000000000003</v>
      </c>
      <c r="G47" s="41">
        <f>SUM(NSG_Supplies!P12:R12)/1000</f>
        <v>51.776000000000003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20.831</v>
      </c>
      <c r="D50" s="41">
        <f>NSG_Supplies!S9/1000</f>
        <v>20.831</v>
      </c>
      <c r="E50" s="41">
        <f>NSG_Supplies!S10/1000</f>
        <v>20.831</v>
      </c>
      <c r="F50" s="41">
        <f>NSG_Supplies!S11/1000</f>
        <v>20.831</v>
      </c>
      <c r="G50" s="41">
        <f>NSG_Supplies!S12/1000</f>
        <v>20.831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37024</v>
      </c>
      <c r="C52" s="91">
        <f t="shared" si="1"/>
        <v>37025</v>
      </c>
      <c r="D52" s="91">
        <f t="shared" si="1"/>
        <v>37026</v>
      </c>
      <c r="E52" s="91">
        <f t="shared" si="1"/>
        <v>37027</v>
      </c>
      <c r="F52" s="91">
        <f t="shared" si="1"/>
        <v>37028</v>
      </c>
      <c r="G52" s="91">
        <f t="shared" si="1"/>
        <v>37029</v>
      </c>
      <c r="H52" s="14"/>
      <c r="I52" s="15"/>
    </row>
    <row r="53" spans="1:9" ht="15">
      <c r="A53" s="94" t="s">
        <v>304</v>
      </c>
      <c r="B53" s="41">
        <f>PGL_Requirements!P7/1000</f>
        <v>160.83000000000001</v>
      </c>
      <c r="C53" s="41">
        <f>PGL_Requirements!P8/1000</f>
        <v>132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5"/>
    </row>
    <row r="3" spans="1:8" ht="15.75" thickBot="1">
      <c r="A3" s="98" t="s">
        <v>310</v>
      </c>
    </row>
    <row r="4" spans="1:8">
      <c r="A4" s="99"/>
      <c r="B4" s="1136" t="str">
        <f>Six_Day_Summary!A10</f>
        <v>Monday</v>
      </c>
      <c r="C4" s="1137" t="str">
        <f>Six_Day_Summary!A15</f>
        <v>Tuesday</v>
      </c>
      <c r="D4" s="1137" t="str">
        <f>Six_Day_Summary!A20</f>
        <v>Wednesday</v>
      </c>
      <c r="E4" s="1137" t="str">
        <f>Six_Day_Summary!A25</f>
        <v>Thursday</v>
      </c>
      <c r="F4" s="1138" t="str">
        <f>Six_Day_Summary!A30</f>
        <v>Friday</v>
      </c>
      <c r="G4" s="100"/>
    </row>
    <row r="5" spans="1:8">
      <c r="A5" s="103" t="s">
        <v>311</v>
      </c>
      <c r="B5" s="1139">
        <f>Weather_Input!A6</f>
        <v>37025</v>
      </c>
      <c r="C5" s="1140">
        <f>Weather_Input!A7</f>
        <v>37026</v>
      </c>
      <c r="D5" s="1140">
        <f>Weather_Input!A8</f>
        <v>37027</v>
      </c>
      <c r="E5" s="1140">
        <f>Weather_Input!A9</f>
        <v>37028</v>
      </c>
      <c r="F5" s="1141">
        <f>Weather_Input!A10</f>
        <v>37029</v>
      </c>
      <c r="G5" s="100"/>
    </row>
    <row r="6" spans="1:8">
      <c r="A6" s="100" t="s">
        <v>312</v>
      </c>
      <c r="B6" s="1142">
        <f>PGL_Supplies!AC8/1000+PGL_Supplies!L8/1000-PGL_Requirements!O8/1000-PGL_Requirements!T8/1000+B8</f>
        <v>68.38</v>
      </c>
      <c r="C6" s="1142">
        <f>PGL_Supplies!AC9/1000+PGL_Supplies!L9/1000-PGL_Requirements!O9/1000+C15-PGL_Requirements!T9/1000</f>
        <v>54.57</v>
      </c>
      <c r="D6" s="1142">
        <f>PGL_Supplies!AC10/1000+PGL_Supplies!L10/1000-PGL_Requirements!O10/1000+D15-PGL_Requirements!T10/1000</f>
        <v>54.57</v>
      </c>
      <c r="E6" s="1142">
        <f>PGL_Supplies!AC11/1000+PGL_Supplies!L11/1000-PGL_Requirements!O11/1000+E15-PGL_Requirements!T11/1000</f>
        <v>54.57</v>
      </c>
      <c r="F6" s="1143">
        <f>PGL_Supplies!AC12/1000+PGL_Supplies!L12/1000-PGL_Requirements!O12/1000+F15-PGL_Requirements!T12/1000</f>
        <v>54.57</v>
      </c>
      <c r="G6" s="100"/>
      <c r="H6" t="s">
        <v>11</v>
      </c>
    </row>
    <row r="7" spans="1:8">
      <c r="A7" s="100" t="s">
        <v>313</v>
      </c>
      <c r="B7" s="1142">
        <f>PGL_Supplies!N8/1000</f>
        <v>0</v>
      </c>
      <c r="C7" s="1142">
        <f>PGL_Supplies!N9/1000</f>
        <v>0</v>
      </c>
      <c r="D7" s="1142">
        <f>PGL_Supplies!N10/1000</f>
        <v>0</v>
      </c>
      <c r="E7" s="1142">
        <f>PGL_Supplies!N11/1000</f>
        <v>0</v>
      </c>
      <c r="F7" s="1144">
        <f>PGL_Supplies!N12/1000</f>
        <v>0</v>
      </c>
      <c r="G7" s="100"/>
    </row>
    <row r="8" spans="1:8">
      <c r="A8" s="100" t="s">
        <v>314</v>
      </c>
      <c r="B8" s="1142">
        <f>PGL_Supplies!O8/1000</f>
        <v>0</v>
      </c>
      <c r="C8" s="1142">
        <f>PGL_Supplies!O9/1000</f>
        <v>0</v>
      </c>
      <c r="D8" s="1142">
        <f>PGL_Supplies!O10/1000</f>
        <v>0</v>
      </c>
      <c r="E8" s="1142">
        <f>PGL_Supplies!O11/1000</f>
        <v>0</v>
      </c>
      <c r="F8" s="1144">
        <f>PGL_Supplies!O12/1000</f>
        <v>0</v>
      </c>
      <c r="G8" s="100"/>
    </row>
    <row r="9" spans="1:8">
      <c r="A9" s="100" t="s">
        <v>315</v>
      </c>
      <c r="B9" s="1142">
        <v>0</v>
      </c>
      <c r="C9" s="1142">
        <v>0</v>
      </c>
      <c r="D9" s="1142">
        <v>0</v>
      </c>
      <c r="E9" s="1142">
        <v>0</v>
      </c>
      <c r="F9" s="1144">
        <v>0</v>
      </c>
      <c r="G9" s="100"/>
    </row>
    <row r="10" spans="1:8">
      <c r="A10" s="101"/>
      <c r="B10" s="1145"/>
      <c r="C10" s="1145"/>
      <c r="D10" s="1145"/>
      <c r="E10" s="1145"/>
      <c r="F10" s="1146"/>
      <c r="G10" s="100"/>
    </row>
    <row r="11" spans="1:8">
      <c r="A11" s="100" t="s">
        <v>316</v>
      </c>
      <c r="B11" s="1142">
        <v>0</v>
      </c>
      <c r="C11" s="1142">
        <v>0</v>
      </c>
      <c r="D11" s="1142">
        <v>0</v>
      </c>
      <c r="E11" s="1142">
        <v>0</v>
      </c>
      <c r="F11" s="1144">
        <v>0</v>
      </c>
      <c r="G11" s="100"/>
      <c r="H11" s="121" t="s">
        <v>11</v>
      </c>
    </row>
    <row r="12" spans="1:8">
      <c r="A12" s="100" t="s">
        <v>317</v>
      </c>
      <c r="B12" s="1142">
        <f>PGL_Requirements!S8/1000</f>
        <v>0</v>
      </c>
      <c r="C12" s="1142">
        <f>PGL_Requirements!S9/1000</f>
        <v>0</v>
      </c>
      <c r="D12" s="1142">
        <f>PGL_Requirements!S10/1000</f>
        <v>0</v>
      </c>
      <c r="E12" s="1142">
        <f>PGL_Requirements!S11/1000</f>
        <v>0</v>
      </c>
      <c r="F12" s="1144">
        <f>PGL_Requirements!S12/1000</f>
        <v>0</v>
      </c>
      <c r="G12" s="100"/>
    </row>
    <row r="13" spans="1:8">
      <c r="A13" s="100" t="s">
        <v>318</v>
      </c>
      <c r="B13" s="1142">
        <v>0</v>
      </c>
      <c r="C13" s="1142">
        <v>0</v>
      </c>
      <c r="D13" s="1142">
        <v>0</v>
      </c>
      <c r="E13" s="1142">
        <v>0</v>
      </c>
      <c r="F13" s="1144">
        <v>0</v>
      </c>
      <c r="G13" s="100"/>
    </row>
    <row r="14" spans="1:8">
      <c r="A14" s="100" t="s">
        <v>189</v>
      </c>
      <c r="B14" s="1142">
        <v>0</v>
      </c>
      <c r="C14" s="1148"/>
      <c r="D14" s="1148"/>
      <c r="E14" s="1148"/>
      <c r="F14" s="1144"/>
      <c r="G14" s="100"/>
    </row>
    <row r="15" spans="1:8">
      <c r="A15" s="100" t="s">
        <v>716</v>
      </c>
      <c r="B15" s="1147">
        <v>0</v>
      </c>
      <c r="C15" s="1147">
        <v>0</v>
      </c>
      <c r="D15" s="1147">
        <v>0</v>
      </c>
      <c r="E15" s="1147">
        <v>0</v>
      </c>
      <c r="F15" s="1184">
        <v>0</v>
      </c>
      <c r="G15" s="121"/>
    </row>
    <row r="16" spans="1:8">
      <c r="A16" s="100" t="s">
        <v>319</v>
      </c>
      <c r="B16" s="1147">
        <v>0</v>
      </c>
      <c r="C16" s="1148"/>
      <c r="D16" s="1148"/>
      <c r="E16" s="1148"/>
      <c r="F16" s="1144"/>
      <c r="G16" s="100"/>
    </row>
    <row r="17" spans="1:7" ht="15.75" thickBot="1">
      <c r="A17" s="102" t="s">
        <v>781</v>
      </c>
      <c r="B17" s="1149">
        <v>0</v>
      </c>
      <c r="C17" s="1150"/>
      <c r="D17" s="1150"/>
      <c r="E17" s="1150"/>
      <c r="F17" s="1151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2" t="str">
        <f t="shared" ref="B21:F22" si="0">B4</f>
        <v>Monday</v>
      </c>
      <c r="C21" s="1152" t="str">
        <f t="shared" si="0"/>
        <v>Tuesday</v>
      </c>
      <c r="D21" s="1152" t="str">
        <f t="shared" si="0"/>
        <v>Wednesday</v>
      </c>
      <c r="E21" s="1152" t="str">
        <f t="shared" si="0"/>
        <v>Thursday</v>
      </c>
      <c r="F21" s="1153" t="str">
        <f t="shared" si="0"/>
        <v>Friday</v>
      </c>
      <c r="G21" s="100"/>
    </row>
    <row r="22" spans="1:7">
      <c r="A22" s="107" t="s">
        <v>311</v>
      </c>
      <c r="B22" s="1154">
        <f t="shared" si="0"/>
        <v>37025</v>
      </c>
      <c r="C22" s="1154">
        <f t="shared" si="0"/>
        <v>37026</v>
      </c>
      <c r="D22" s="1154">
        <f t="shared" si="0"/>
        <v>37027</v>
      </c>
      <c r="E22" s="1154">
        <f t="shared" si="0"/>
        <v>37028</v>
      </c>
      <c r="F22" s="1155">
        <f t="shared" si="0"/>
        <v>37029</v>
      </c>
      <c r="G22" s="100"/>
    </row>
    <row r="23" spans="1:7">
      <c r="A23" s="100" t="s">
        <v>312</v>
      </c>
      <c r="B23" s="1148">
        <f>NSG_Supplies!R8/1000+NSG_Supplies!F8/1000-NSG_Requirements!H8/1000</f>
        <v>40.775999999999996</v>
      </c>
      <c r="C23" s="1148">
        <f>NSG_Supplies!R9/1000+NSG_Supplies!F9/1000-NSG_Requirements!H9/1000</f>
        <v>40.775999999999996</v>
      </c>
      <c r="D23" s="1148">
        <f>NSG_Supplies!R10/1000+NSG_Supplies!F10/1000-NSG_Requirements!H10/1000</f>
        <v>40.775999999999996</v>
      </c>
      <c r="E23" s="1148">
        <f>NSG_Supplies!R12/1000+NSG_Supplies!F11/1000-NSG_Requirements!H11/1000</f>
        <v>40.775999999999996</v>
      </c>
      <c r="F23" s="1143">
        <f>NSG_Supplies!R12/1000+NSG_Supplies!F12/1000-NSG_Requirements!H12/1000</f>
        <v>40.775999999999996</v>
      </c>
      <c r="G23" s="100"/>
    </row>
    <row r="24" spans="1:7">
      <c r="A24" s="100" t="s">
        <v>321</v>
      </c>
      <c r="B24" s="1148">
        <f>NSG_Supplies!H8/1000</f>
        <v>0</v>
      </c>
      <c r="C24" s="1148">
        <f>NSG_Supplies!H9/1000</f>
        <v>0</v>
      </c>
      <c r="D24" s="1148">
        <f>NSG_Supplies!H10/1000</f>
        <v>0</v>
      </c>
      <c r="E24" s="1148">
        <f>NSG_Supplies!H11/1000</f>
        <v>0</v>
      </c>
      <c r="F24" s="1144">
        <f>NSG_Supplies!H12/1000</f>
        <v>0</v>
      </c>
      <c r="G24" s="100"/>
    </row>
    <row r="25" spans="1:7">
      <c r="A25" s="100" t="s">
        <v>313</v>
      </c>
      <c r="B25" s="1148">
        <f>NSG_Supplies!I8/1000</f>
        <v>0</v>
      </c>
      <c r="C25" s="1148">
        <f>NSG_Supplies!I9/1000</f>
        <v>0</v>
      </c>
      <c r="D25" s="1148">
        <f>NSG_Supplies!I10/1000</f>
        <v>0</v>
      </c>
      <c r="E25" s="1148">
        <f>NSG_Supplies!I11/1000</f>
        <v>0</v>
      </c>
      <c r="F25" s="1144">
        <f>NSG_Supplies!I12/1000</f>
        <v>0</v>
      </c>
      <c r="G25" s="100"/>
    </row>
    <row r="26" spans="1:7">
      <c r="A26" s="104" t="s">
        <v>314</v>
      </c>
      <c r="B26" s="1148">
        <f>NSG_Supplies!J8/1000</f>
        <v>0</v>
      </c>
      <c r="C26" s="1148">
        <f>NSG_Supplies!J9/1000</f>
        <v>0</v>
      </c>
      <c r="D26" s="1148">
        <f>NSG_Supplies!J10/1000</f>
        <v>0</v>
      </c>
      <c r="E26" s="1148">
        <f>NSG_Supplies!J11/1000</f>
        <v>0</v>
      </c>
      <c r="F26" s="1144">
        <f>NSG_Supplies!J12/1000</f>
        <v>0</v>
      </c>
      <c r="G26" s="100"/>
    </row>
    <row r="27" spans="1:7">
      <c r="A27" s="100" t="s">
        <v>315</v>
      </c>
      <c r="B27" s="1148">
        <f>NSG_Supplies!K8/1000</f>
        <v>0</v>
      </c>
      <c r="C27" s="1148">
        <f>NSG_Supplies!K9/1000</f>
        <v>0</v>
      </c>
      <c r="D27" s="1148">
        <f>NSG_Supplies!K10/1000</f>
        <v>0</v>
      </c>
      <c r="E27" s="1148">
        <f>NSG_Supplies!K11/1000</f>
        <v>0</v>
      </c>
      <c r="F27" s="1144">
        <f>NSG_Supplies!K12/1000</f>
        <v>0</v>
      </c>
      <c r="G27" s="100"/>
    </row>
    <row r="28" spans="1:7">
      <c r="A28" s="100" t="s">
        <v>322</v>
      </c>
      <c r="B28" s="1148" t="s">
        <v>11</v>
      </c>
      <c r="C28" s="1148"/>
      <c r="D28" s="1148"/>
      <c r="E28" s="1148"/>
      <c r="F28" s="1144"/>
      <c r="G28" s="100"/>
    </row>
    <row r="29" spans="1:7">
      <c r="A29" s="101"/>
      <c r="B29" s="1145"/>
      <c r="C29" s="1145"/>
      <c r="D29" s="1145"/>
      <c r="E29" s="1145"/>
      <c r="F29" s="1146"/>
      <c r="G29" s="100"/>
    </row>
    <row r="30" spans="1:7">
      <c r="A30" s="100" t="s">
        <v>316</v>
      </c>
      <c r="B30" s="1148">
        <f>NSG_Requirements!P8/1000</f>
        <v>0</v>
      </c>
      <c r="C30" s="1148">
        <f>NSG_Requirements!P9/1000</f>
        <v>0</v>
      </c>
      <c r="D30" s="1148">
        <f>NSG_Requirements!P10/1000</f>
        <v>0</v>
      </c>
      <c r="E30" s="1148">
        <f>NSG_Requirements!P11/1000</f>
        <v>0</v>
      </c>
      <c r="F30" s="1144">
        <f>NSG_Supplies!K12/1000</f>
        <v>0</v>
      </c>
      <c r="G30" s="100"/>
    </row>
    <row r="31" spans="1:7">
      <c r="A31" s="100" t="s">
        <v>317</v>
      </c>
      <c r="B31" s="1148">
        <f>NSG_Requirements!R8/1000</f>
        <v>0</v>
      </c>
      <c r="C31" s="1148">
        <f>NSG_Requirements!R9/1000</f>
        <v>0</v>
      </c>
      <c r="D31" s="1148">
        <f>NSG_Requirements!R10/1000</f>
        <v>0</v>
      </c>
      <c r="E31" s="1148">
        <f>NSG_Requirements!R11/1000</f>
        <v>0</v>
      </c>
      <c r="F31" s="1144">
        <f>NSG_Supplies!M12/1000</f>
        <v>0</v>
      </c>
      <c r="G31" s="100"/>
    </row>
    <row r="32" spans="1:7">
      <c r="A32" s="100" t="s">
        <v>318</v>
      </c>
      <c r="B32" s="1148">
        <f>NSG_Requirements!Q8/1000</f>
        <v>0</v>
      </c>
      <c r="C32" s="1148">
        <f>NSG_Requirements!Q9/1000</f>
        <v>0</v>
      </c>
      <c r="D32" s="1148">
        <f>NSG_Requirements!Q10/1000</f>
        <v>0</v>
      </c>
      <c r="E32" s="1148">
        <f>NSG_Requirements!Q11/1000</f>
        <v>0</v>
      </c>
      <c r="F32" s="1144">
        <f>NSG_Requirements!Q12/1000</f>
        <v>0</v>
      </c>
      <c r="G32" s="100"/>
    </row>
    <row r="33" spans="1:7" ht="15.75" thickBot="1">
      <c r="A33" s="102" t="s">
        <v>323</v>
      </c>
      <c r="B33" s="1150">
        <f>NSG_Requirements!L8/1000</f>
        <v>0</v>
      </c>
      <c r="C33" s="1150">
        <f>NSG_Requirements!L9/1000</f>
        <v>0</v>
      </c>
      <c r="D33" s="1150">
        <f>NSG_Requirements!L10/1000</f>
        <v>0</v>
      </c>
      <c r="E33" s="1150">
        <f>NSG_Requirements!L11/1000</f>
        <v>0</v>
      </c>
      <c r="F33" s="1151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37025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2">
        <f>NSG_Supplies!E8/1000</f>
        <v>0</v>
      </c>
      <c r="D4" s="134">
        <f>NSG_Requirements!J8/1000</f>
        <v>16.78</v>
      </c>
      <c r="E4" s="801"/>
      <c r="F4" s="171" t="s">
        <v>546</v>
      </c>
      <c r="G4" s="60"/>
      <c r="H4" s="153">
        <f>PGL_Requirements!P8/1000</f>
        <v>132</v>
      </c>
      <c r="I4" s="175">
        <f>AVERAGE(H4/1.025)</f>
        <v>128.78048780487805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3.2199999999999989</v>
      </c>
      <c r="D5" s="437"/>
      <c r="E5" s="439">
        <f>AVERAGE(C5/24)</f>
        <v>0.13416666666666663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0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169.63</v>
      </c>
      <c r="H10" s="153" t="s">
        <v>11</v>
      </c>
      <c r="I10" s="160"/>
    </row>
    <row r="11" spans="1:11" ht="15.75" customHeight="1" thickTop="1">
      <c r="A11" t="s">
        <v>11</v>
      </c>
      <c r="B11" s="1124" t="s">
        <v>748</v>
      </c>
      <c r="C11" s="153">
        <f>PGL_Supplies!Y8/1000</f>
        <v>157.29400000000001</v>
      </c>
      <c r="D11" s="788"/>
      <c r="E11" s="1125"/>
      <c r="F11" s="434" t="s">
        <v>378</v>
      </c>
      <c r="G11" s="446">
        <f>G8+G10</f>
        <v>169.63</v>
      </c>
      <c r="H11" s="433"/>
      <c r="I11" s="435"/>
    </row>
    <row r="12" spans="1:11" ht="15.75" customHeight="1">
      <c r="B12" s="248" t="s">
        <v>780</v>
      </c>
      <c r="C12" s="153">
        <v>25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6" t="s">
        <v>756</v>
      </c>
      <c r="C14" s="447">
        <f>C11-C12</f>
        <v>132.29400000000001</v>
      </c>
      <c r="D14" s="437"/>
      <c r="E14" s="439">
        <f>AVERAGE(C14/24)</f>
        <v>5.5122500000000008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140.94</v>
      </c>
      <c r="H15" s="437" t="s">
        <v>11</v>
      </c>
      <c r="I15" s="439">
        <f>AVERAGE(G15/24)</f>
        <v>5.8724999999999996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28.69</v>
      </c>
      <c r="H16" s="447" t="s">
        <v>11</v>
      </c>
      <c r="I16" s="439">
        <f>AVERAGE(G16/24)</f>
        <v>1.1954166666666668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5">
        <v>0</v>
      </c>
      <c r="H17" s="1085"/>
      <c r="I17" s="1176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37025</v>
      </c>
      <c r="I1" s="930"/>
      <c r="J1" s="932"/>
      <c r="K1" s="932"/>
    </row>
    <row r="2" spans="1:22" ht="16.5" customHeight="1">
      <c r="A2" s="950" t="s">
        <v>680</v>
      </c>
      <c r="C2" s="1042">
        <v>365</v>
      </c>
      <c r="F2" s="1043">
        <v>369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3.2199999999999989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44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-4.0000000000048885E-3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157.29400000000001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403</v>
      </c>
      <c r="D18" s="1050"/>
      <c r="E18" s="1050"/>
      <c r="F18" s="1043">
        <v>783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40.775999999999996</v>
      </c>
      <c r="N19" s="1053"/>
    </row>
    <row r="20" spans="1:17" ht="17.25" customHeight="1">
      <c r="A20" s="952">
        <f>Billy_Sheet!G15</f>
        <v>140.94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44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153.54400000000004</v>
      </c>
      <c r="L28" s="933" t="s">
        <v>735</v>
      </c>
      <c r="M28" s="958">
        <f>SUM(J2+K17+K19+H11+H9-M26)</f>
        <v>16.775999999999996</v>
      </c>
      <c r="N28" s="958"/>
    </row>
    <row r="29" spans="1:17">
      <c r="A29" s="952">
        <f>PGL_Supplies!M8/1000</f>
        <v>0</v>
      </c>
      <c r="B29" s="952"/>
      <c r="C29" s="933"/>
      <c r="D29" s="1056"/>
      <c r="F29" s="1108">
        <f>PGL_Requirements!A7</f>
        <v>37024</v>
      </c>
      <c r="G29" s="952">
        <f>PGL_Requirements!H7/1000</f>
        <v>0.161</v>
      </c>
      <c r="H29" s="931"/>
      <c r="J29" s="933" t="s">
        <v>688</v>
      </c>
      <c r="K29" s="952">
        <f>PGL_Supplies!AC8/1000+PGL_Supplies!L8/1000-PGL_Requirements!O8/1000</f>
        <v>68.38</v>
      </c>
    </row>
    <row r="30" spans="1:17" ht="10.5" customHeight="1">
      <c r="A30" s="935"/>
      <c r="B30" s="952"/>
      <c r="C30" s="933"/>
      <c r="D30" s="952"/>
      <c r="F30" s="1108">
        <f>PGL_Requirements!A8</f>
        <v>37025</v>
      </c>
      <c r="G30" s="952">
        <f>PGL_Requirements!H8/1000</f>
        <v>28.69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-18.075999999999965</v>
      </c>
    </row>
    <row r="32" spans="1:17">
      <c r="A32" s="952">
        <f>PGL_Supplies!H8/1000</f>
        <v>1</v>
      </c>
      <c r="G32" s="952">
        <f>PGL_Requirements!P8/1000</f>
        <v>132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404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314.23400000000004</v>
      </c>
      <c r="B40" s="946"/>
      <c r="C40" s="945"/>
      <c r="D40" s="946"/>
      <c r="E40" s="946"/>
      <c r="F40" s="1058"/>
      <c r="G40" s="1058">
        <f>SUM(G30:G35)</f>
        <v>160.69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153.54400000000004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369.5</v>
      </c>
      <c r="E45" s="1063"/>
      <c r="F45" s="1064">
        <v>6.7000000000000004E-2</v>
      </c>
      <c r="G45" s="1065">
        <f>(C45-D45)*F45</f>
        <v>2.7135000000000002</v>
      </c>
      <c r="H45" s="1065">
        <f>(D45-B45)*F45</f>
        <v>8.0065000000000008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367.5</v>
      </c>
      <c r="E47" s="1063"/>
      <c r="F47" s="1064">
        <v>0.14099999999999999</v>
      </c>
      <c r="G47" s="1065">
        <f>(C47-D47)*F47</f>
        <v>5.9924999999999997</v>
      </c>
      <c r="H47" s="1065">
        <f>(D47-B47)*F47</f>
        <v>16.567499999999999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403.5</v>
      </c>
      <c r="E48" s="1063"/>
      <c r="F48" s="1064">
        <v>0.161</v>
      </c>
      <c r="G48" s="1065">
        <f>(C48-D48)*F48</f>
        <v>55.786500000000004</v>
      </c>
      <c r="H48" s="1065">
        <f>(D48-B48)*F48</f>
        <v>19.078500000000002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64.492500000000007</v>
      </c>
      <c r="H49" s="1065">
        <f>SUM(H45:H48)</f>
        <v>43.652500000000003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37024</v>
      </c>
      <c r="B5" s="11">
        <v>68</v>
      </c>
      <c r="C5" s="49">
        <v>44</v>
      </c>
      <c r="D5" s="49">
        <v>5.2</v>
      </c>
      <c r="E5" s="11">
        <v>56.1</v>
      </c>
      <c r="F5" s="11">
        <v>65</v>
      </c>
      <c r="G5" s="11">
        <v>6472</v>
      </c>
      <c r="H5" s="11">
        <v>12</v>
      </c>
      <c r="I5" s="909" t="s">
        <v>797</v>
      </c>
      <c r="J5" s="909" t="s">
        <v>798</v>
      </c>
      <c r="K5" s="11">
        <v>1</v>
      </c>
      <c r="L5" s="11">
        <v>1</v>
      </c>
      <c r="N5" s="15" t="str">
        <f>I5&amp;" "&amp;I5</f>
        <v xml:space="preserve">MOSTLY SUNNY. LIGHT WINDS BECOMING S.E. 5 TO 10 MPH. OVERNIGHT…PARTLY  MOSTLY SUNNY. LIGHT WINDS BECOMING S.E. 5 TO 10 MPH. OVERNIGHT…PARTLY </v>
      </c>
      <c r="AE5" s="15">
        <v>1</v>
      </c>
      <c r="AH5" s="15" t="s">
        <v>34</v>
      </c>
    </row>
    <row r="6" spans="1:34" ht="16.5" customHeight="1">
      <c r="A6" s="88">
        <f>A5+1</f>
        <v>37025</v>
      </c>
      <c r="B6" s="11">
        <v>73</v>
      </c>
      <c r="C6" s="49">
        <v>58</v>
      </c>
      <c r="D6" s="49">
        <v>12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6</v>
      </c>
      <c r="L6" s="11" t="s">
        <v>626</v>
      </c>
      <c r="N6" s="15" t="str">
        <f>I6&amp;" "&amp;J6</f>
        <v>INCREASING CLOUDS, WITH A CHANCE OF SHOWERS AND T-STORMS THIS AFTER- NOON. CHANCE OF RAIN 60%.CLOUDY  WITH SHOWERS AT NIGHT.</v>
      </c>
      <c r="AE6" s="15">
        <v>1</v>
      </c>
      <c r="AH6" s="15" t="s">
        <v>35</v>
      </c>
    </row>
    <row r="7" spans="1:34" ht="16.5" customHeight="1">
      <c r="A7" s="88">
        <f>A6+1</f>
        <v>37026</v>
      </c>
      <c r="B7" s="11">
        <v>77</v>
      </c>
      <c r="C7" s="49">
        <v>55</v>
      </c>
      <c r="D7" s="49">
        <v>12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6</v>
      </c>
      <c r="L7" s="11" t="s">
        <v>22</v>
      </c>
      <c r="N7" s="15" t="str">
        <f>I7&amp;" "&amp;J7</f>
        <v>CLOUDY… A 50% CHANCE OF T-STORMS. HIGH IN THE UPPER 70S. CLOUDY AT  NIGHT WITH A 50% CHANCE OF SHOWERS AND T-STORMS. LOW IN THE 50S.</v>
      </c>
    </row>
    <row r="8" spans="1:34" ht="16.5" customHeight="1">
      <c r="A8" s="88">
        <f>A7+1</f>
        <v>37027</v>
      </c>
      <c r="B8" s="11">
        <v>72</v>
      </c>
      <c r="C8" s="49">
        <v>55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3</v>
      </c>
      <c r="L8" s="11"/>
      <c r="N8" s="15" t="str">
        <f>I8&amp;" "&amp;J8</f>
        <v xml:space="preserve">PARTLY CLOUDY. HIGH AROUND 70.  </v>
      </c>
    </row>
    <row r="9" spans="1:34" ht="16.5" customHeight="1">
      <c r="A9" s="88">
        <f>A8+1</f>
        <v>37028</v>
      </c>
      <c r="B9" s="11">
        <v>78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11</v>
      </c>
      <c r="K9" s="11">
        <v>1</v>
      </c>
      <c r="L9" s="11">
        <v>0</v>
      </c>
      <c r="M9" s="89"/>
      <c r="N9" s="15" t="str">
        <f>I10&amp;" "&amp;J9</f>
        <v xml:space="preserve">CLOUDY… HIGH IN THE MIDDLE 70S. LOWS IN THE MIDDLE 50S.  </v>
      </c>
    </row>
    <row r="10" spans="1:34" ht="16.5" customHeight="1">
      <c r="A10" s="88">
        <f>A9+1</f>
        <v>37029</v>
      </c>
      <c r="B10" s="11">
        <v>74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805</v>
      </c>
      <c r="J10" s="909" t="s">
        <v>11</v>
      </c>
      <c r="K10" s="11">
        <v>2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268.07</v>
      </c>
      <c r="C2" s="60"/>
      <c r="D2" s="120" t="s">
        <v>324</v>
      </c>
      <c r="E2" s="425">
        <f>Weather_Input!A5</f>
        <v>37024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3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194.93199999999999</v>
      </c>
      <c r="C6" s="168"/>
      <c r="D6" s="59" t="s">
        <v>576</v>
      </c>
      <c r="E6" s="153">
        <f>PGL_Deliveries!P5/1000</f>
        <v>0.82699999999999996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194.93199999999999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159.31399999999999</v>
      </c>
      <c r="C8" s="630"/>
      <c r="D8" s="117" t="s">
        <v>578</v>
      </c>
      <c r="E8" s="153">
        <f>PGL_Deliveries!N5/1000</f>
        <v>0.72799999999999998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7.1040000000000001</v>
      </c>
      <c r="C9" s="64"/>
      <c r="D9" s="117" t="s">
        <v>211</v>
      </c>
      <c r="E9" s="153">
        <f>PGL_Deliveries!Q5/1000</f>
        <v>0.20300000000000001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4.657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18.853999999999999</v>
      </c>
      <c r="C11" s="64"/>
      <c r="D11" s="117" t="s">
        <v>580</v>
      </c>
      <c r="E11" s="153">
        <f>PGL_Deliveries!R5/1000</f>
        <v>1.621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0.108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181.702</v>
      </c>
      <c r="C13" s="64"/>
      <c r="D13" s="117" t="s">
        <v>219</v>
      </c>
      <c r="E13" s="153">
        <f>PGL_Deliveries!F5/1000</f>
        <v>59.46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2.7269999999999999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-160.76300000000001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11.279</v>
      </c>
      <c r="D16" s="117" t="s">
        <v>223</v>
      </c>
      <c r="E16" s="153">
        <f>PGL_Deliveries!L5/1000</f>
        <v>0.73099999999999998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0</v>
      </c>
      <c r="C17" s="168" t="s">
        <v>11</v>
      </c>
      <c r="D17" s="1157" t="s">
        <v>222</v>
      </c>
      <c r="E17" s="209">
        <f>PGL_Deliveries!M5/1000</f>
        <v>2.0699999999999998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194.93199999999999</v>
      </c>
      <c r="C18" s="168"/>
      <c r="D18" s="178" t="s">
        <v>585</v>
      </c>
      <c r="E18" s="177">
        <f>SUM(E5:E17)</f>
        <v>73.137999999999991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2.4124499999999998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75.550449999999984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9">
        <f>+B19+B20-C21</f>
        <v>157.29400000000001</v>
      </c>
      <c r="C22" s="1122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33.200000000000003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20.98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160.83000000000001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75.55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0.627</v>
      </c>
      <c r="C40" s="64"/>
      <c r="D40" s="779" t="s">
        <v>610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2.4124499999999998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0.56000000000000005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68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44</v>
      </c>
      <c r="C46" s="161"/>
      <c r="D46" s="74" t="s">
        <v>622</v>
      </c>
      <c r="E46" s="60"/>
      <c r="F46" s="175">
        <f>PGL_Deliveries!BE5/1000</f>
        <v>0.161</v>
      </c>
    </row>
    <row r="47" spans="1:13" ht="15">
      <c r="A47" s="172" t="s">
        <v>615</v>
      </c>
      <c r="B47" s="60">
        <f>Weather_Input!E5</f>
        <v>56.1</v>
      </c>
      <c r="C47" s="161"/>
      <c r="D47" s="778" t="s">
        <v>789</v>
      </c>
      <c r="E47" s="68"/>
      <c r="F47" s="175">
        <f>PGL_Deliveries!BF5/1000</f>
        <v>3.5999999999999997E-2</v>
      </c>
    </row>
    <row r="48" spans="1:13" ht="15">
      <c r="A48" s="171" t="s">
        <v>616</v>
      </c>
      <c r="B48" s="226">
        <f>Weather_Input!D5</f>
        <v>5.2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</v>
      </c>
      <c r="C49" s="161"/>
      <c r="D49" s="60" t="s">
        <v>778</v>
      </c>
      <c r="E49" s="153">
        <f>PGL_Deliveries!AJ5/1000</f>
        <v>16.300999999999998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2.5529999999999999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30" t="s">
        <v>5</v>
      </c>
      <c r="B3" s="243">
        <f>NSG_Deliveries!H5/1000</f>
        <v>52.250999999999998</v>
      </c>
      <c r="C3" s="119"/>
      <c r="D3" s="229" t="s">
        <v>324</v>
      </c>
      <c r="E3" s="428">
        <f>Weather_Input!A5</f>
        <v>37024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44.286999999999999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44.286999999999999</v>
      </c>
      <c r="C8" s="160"/>
      <c r="D8" s="818" t="s">
        <v>641</v>
      </c>
      <c r="E8" s="812">
        <f>NSG_Deliveries!F5/1000</f>
        <v>7.9640000000000004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12.036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12.510999999999999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44.286999999999999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37024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37023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47113434</v>
      </c>
      <c r="Q6" s="203">
        <v>15045098</v>
      </c>
      <c r="R6" s="203">
        <v>32068336</v>
      </c>
      <c r="S6" s="203">
        <v>0</v>
      </c>
    </row>
    <row r="7" spans="1:19">
      <c r="A7" s="4">
        <f>B1</f>
        <v>37024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47270728</v>
      </c>
      <c r="Q7">
        <f>IF(O7&gt;0,Q6+O7,Q6)</f>
        <v>15045098</v>
      </c>
      <c r="R7">
        <f>IF(P7&gt;Q7,P7-Q7,0)</f>
        <v>32225630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J1" zoomScale="75" workbookViewId="0">
      <selection activeCell="V6" sqref="V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37024</v>
      </c>
      <c r="B5" s="1">
        <f>(Weather_Input!B5+Weather_Input!C5)/2</f>
        <v>56</v>
      </c>
      <c r="C5" s="910">
        <v>265000</v>
      </c>
      <c r="D5" s="911">
        <v>0</v>
      </c>
      <c r="E5" s="911">
        <v>0</v>
      </c>
      <c r="F5" s="911">
        <v>59460</v>
      </c>
      <c r="G5" s="911">
        <v>108</v>
      </c>
      <c r="H5" s="911">
        <v>2727</v>
      </c>
      <c r="I5" s="911">
        <v>194932</v>
      </c>
      <c r="J5" s="911">
        <v>0</v>
      </c>
      <c r="K5" s="911">
        <v>6</v>
      </c>
      <c r="L5" s="911">
        <v>731</v>
      </c>
      <c r="M5" s="911">
        <v>2070</v>
      </c>
      <c r="N5" s="911">
        <v>728</v>
      </c>
      <c r="O5" s="911">
        <v>0</v>
      </c>
      <c r="P5" s="911">
        <v>827</v>
      </c>
      <c r="Q5" s="911">
        <v>203</v>
      </c>
      <c r="R5" s="911">
        <v>1621</v>
      </c>
      <c r="S5" s="916">
        <v>4657</v>
      </c>
      <c r="T5" s="1156">
        <v>0</v>
      </c>
      <c r="U5" s="910">
        <f>SUM(D5:S5)-T5</f>
        <v>268070</v>
      </c>
      <c r="V5" s="910">
        <v>159314</v>
      </c>
      <c r="W5" s="11">
        <v>7104</v>
      </c>
      <c r="X5" s="11">
        <v>0</v>
      </c>
      <c r="Y5" s="11">
        <v>0</v>
      </c>
      <c r="Z5" s="11">
        <v>181702</v>
      </c>
      <c r="AA5" s="11">
        <v>161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16301</v>
      </c>
      <c r="AK5" s="11">
        <v>2553</v>
      </c>
      <c r="AL5" s="11">
        <v>0</v>
      </c>
      <c r="AM5" s="1">
        <v>1016</v>
      </c>
      <c r="AN5" s="1"/>
      <c r="AO5" s="1">
        <v>11279</v>
      </c>
      <c r="AP5" s="1">
        <v>0</v>
      </c>
      <c r="AQ5" s="1">
        <v>0</v>
      </c>
      <c r="AR5" s="1">
        <v>20980</v>
      </c>
      <c r="AS5" s="1">
        <v>0</v>
      </c>
      <c r="AT5" s="1">
        <v>627</v>
      </c>
      <c r="AU5" s="1">
        <v>160830</v>
      </c>
      <c r="AV5" s="1">
        <v>560</v>
      </c>
      <c r="AW5" s="626">
        <f>AU5*0.015</f>
        <v>2412.4499999999998</v>
      </c>
      <c r="AX5" s="1">
        <v>0</v>
      </c>
      <c r="AY5" s="1"/>
      <c r="AZ5" s="1">
        <v>108</v>
      </c>
      <c r="BA5" s="1">
        <v>13</v>
      </c>
      <c r="BB5" s="1">
        <v>4</v>
      </c>
      <c r="BC5" s="1">
        <v>0</v>
      </c>
      <c r="BD5" s="1"/>
      <c r="BE5" s="1">
        <v>161</v>
      </c>
      <c r="BF5" s="1">
        <v>36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37025</v>
      </c>
      <c r="B6" s="929">
        <f>(Weather_Input!B6+Weather_Input!C6)/2</f>
        <v>65.5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37026</v>
      </c>
      <c r="B7" s="929">
        <f>(Weather_Input!B7+Weather_Input!C7)/2</f>
        <v>66</v>
      </c>
      <c r="C7" s="910">
        <v>240000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37027</v>
      </c>
      <c r="B8" s="929">
        <f>(Weather_Input!B8+Weather_Input!C8)/2</f>
        <v>63.5</v>
      </c>
      <c r="C8" s="910">
        <v>240000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37028</v>
      </c>
      <c r="B9" s="929">
        <f>(Weather_Input!B9+Weather_Input!C9)/2</f>
        <v>68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37029</v>
      </c>
      <c r="B10" s="929">
        <f>(Weather_Input!B10+Weather_Input!C10)/2</f>
        <v>63.5</v>
      </c>
      <c r="C10" s="910">
        <v>230000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5" sqref="A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37024</v>
      </c>
      <c r="B5" s="1">
        <f>(Weather_Input!B5+Weather_Input!C5)/2</f>
        <v>56</v>
      </c>
      <c r="C5" s="910">
        <v>52000</v>
      </c>
      <c r="D5" s="910">
        <v>0</v>
      </c>
      <c r="E5" s="910">
        <v>44287</v>
      </c>
      <c r="F5" s="910">
        <v>7964</v>
      </c>
      <c r="G5" s="910">
        <v>0</v>
      </c>
      <c r="H5" s="918">
        <f>SUM(D5:G5)</f>
        <v>52251</v>
      </c>
      <c r="I5" s="1">
        <v>1008</v>
      </c>
      <c r="J5" s="1" t="s">
        <v>11</v>
      </c>
      <c r="K5" s="1">
        <v>0</v>
      </c>
      <c r="L5" s="1">
        <v>12511</v>
      </c>
      <c r="M5" s="1">
        <v>12036</v>
      </c>
      <c r="N5" s="1">
        <v>0</v>
      </c>
    </row>
    <row r="6" spans="1:14">
      <c r="A6" s="12">
        <f>A5+1</f>
        <v>37025</v>
      </c>
      <c r="B6" s="929">
        <f>(Weather_Input!B6+Weather_Input!C6)/2</f>
        <v>65.5</v>
      </c>
      <c r="C6" s="910">
        <v>44000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37026</v>
      </c>
      <c r="B7" s="929">
        <f>(Weather_Input!B7+Weather_Input!C7)/2</f>
        <v>66</v>
      </c>
      <c r="C7" s="910">
        <v>39000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37027</v>
      </c>
      <c r="B8" s="929">
        <f>(Weather_Input!B8+Weather_Input!C8)/2</f>
        <v>63.5</v>
      </c>
      <c r="C8" s="910">
        <v>39000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37028</v>
      </c>
      <c r="B9" s="929">
        <f>(Weather_Input!B9+Weather_Input!C9)/2</f>
        <v>68</v>
      </c>
      <c r="C9" s="910">
        <v>38000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37029</v>
      </c>
      <c r="B10" s="929">
        <f>(Weather_Input!B10+Weather_Input!C10)/2</f>
        <v>63.5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6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G1" zoomScale="75" workbookViewId="0">
      <selection activeCell="R7" sqref="R7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5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4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37024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11279</v>
      </c>
      <c r="H7" s="921">
        <v>161</v>
      </c>
      <c r="I7" s="623">
        <v>0</v>
      </c>
      <c r="J7" s="623">
        <v>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160830</v>
      </c>
      <c r="Q7" s="626">
        <f t="shared" ref="Q7:Q12" si="0">P7*0.015</f>
        <v>2412.4499999999998</v>
      </c>
      <c r="R7" s="624">
        <v>560</v>
      </c>
      <c r="S7" s="624">
        <v>0</v>
      </c>
      <c r="T7" s="624">
        <v>0</v>
      </c>
      <c r="U7" s="623">
        <v>33200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37024</v>
      </c>
    </row>
    <row r="8" spans="1:89" s="1" customFormat="1" ht="12.75">
      <c r="A8" s="831">
        <f>A7+1</f>
        <v>37025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28690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132000</v>
      </c>
      <c r="Q8" s="626">
        <f t="shared" si="0"/>
        <v>1980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37025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37026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0</v>
      </c>
      <c r="I9" s="623">
        <v>0</v>
      </c>
      <c r="J9" s="623">
        <v>0</v>
      </c>
      <c r="K9" s="624">
        <v>19000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37026</v>
      </c>
      <c r="AN9" s="623"/>
    </row>
    <row r="10" spans="1:89" s="1" customFormat="1" ht="12.75">
      <c r="A10" s="831">
        <f>A9+1</f>
        <v>37027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37027</v>
      </c>
    </row>
    <row r="11" spans="1:89" s="1" customFormat="1" ht="12.75">
      <c r="A11" s="831">
        <f>A10+1</f>
        <v>37028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37028</v>
      </c>
    </row>
    <row r="12" spans="1:89" s="1" customFormat="1" ht="12.75">
      <c r="A12" s="831">
        <f>A11+1</f>
        <v>37029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37029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T1" zoomScale="75" workbookViewId="0">
      <selection activeCell="AE7" sqref="AE7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3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1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627</v>
      </c>
      <c r="I7" s="624">
        <v>18854</v>
      </c>
      <c r="J7" s="624">
        <v>0</v>
      </c>
      <c r="K7" s="922">
        <v>0</v>
      </c>
      <c r="L7" s="625">
        <v>20980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37024</v>
      </c>
      <c r="AI7" s="623"/>
      <c r="AJ7" s="623"/>
      <c r="AK7" s="623"/>
    </row>
    <row r="8" spans="1:37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13810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0</v>
      </c>
      <c r="U8" s="624">
        <v>0</v>
      </c>
      <c r="V8" s="625">
        <v>176704</v>
      </c>
      <c r="W8" s="625">
        <v>0</v>
      </c>
      <c r="X8" s="623">
        <v>0</v>
      </c>
      <c r="Y8" s="922">
        <v>157294</v>
      </c>
      <c r="Z8" s="625">
        <v>40200</v>
      </c>
      <c r="AA8" s="1">
        <v>0</v>
      </c>
      <c r="AB8" s="623">
        <v>169630</v>
      </c>
      <c r="AC8" s="623">
        <v>54570</v>
      </c>
      <c r="AD8" s="623">
        <v>0</v>
      </c>
      <c r="AE8" s="922">
        <v>0</v>
      </c>
      <c r="AF8" s="831">
        <f>AF7+1</f>
        <v>37025</v>
      </c>
      <c r="AI8" s="623"/>
      <c r="AJ8" s="623"/>
      <c r="AK8" s="623"/>
    </row>
    <row r="9" spans="1:37" s="623" customFormat="1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0</v>
      </c>
      <c r="U9" s="624">
        <v>0</v>
      </c>
      <c r="V9" s="625">
        <v>176704</v>
      </c>
      <c r="W9" s="625">
        <v>0</v>
      </c>
      <c r="X9" s="623">
        <v>0</v>
      </c>
      <c r="Y9" s="922">
        <v>157294</v>
      </c>
      <c r="Z9" s="625">
        <v>40200</v>
      </c>
      <c r="AA9" s="1">
        <v>0</v>
      </c>
      <c r="AB9" s="623">
        <v>169630</v>
      </c>
      <c r="AC9" s="623">
        <v>54570</v>
      </c>
      <c r="AD9" s="623">
        <v>0</v>
      </c>
      <c r="AE9" s="922">
        <v>0</v>
      </c>
      <c r="AF9" s="831">
        <f>AF8+1</f>
        <v>37026</v>
      </c>
    </row>
    <row r="10" spans="1:37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157294</v>
      </c>
      <c r="Z10" s="625">
        <v>40200</v>
      </c>
      <c r="AA10" s="1">
        <v>0</v>
      </c>
      <c r="AB10" s="623">
        <v>169630</v>
      </c>
      <c r="AC10" s="623">
        <v>54570</v>
      </c>
      <c r="AD10" s="623">
        <v>0</v>
      </c>
      <c r="AE10" s="922">
        <v>0</v>
      </c>
      <c r="AF10" s="831">
        <f>AF9+1</f>
        <v>37027</v>
      </c>
      <c r="AI10" s="623"/>
      <c r="AJ10" s="623"/>
      <c r="AK10" s="623"/>
    </row>
    <row r="11" spans="1:37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157294</v>
      </c>
      <c r="Z11" s="625">
        <v>40200</v>
      </c>
      <c r="AA11" s="1">
        <v>0</v>
      </c>
      <c r="AB11" s="623">
        <v>169630</v>
      </c>
      <c r="AC11" s="623">
        <v>54570</v>
      </c>
      <c r="AD11" s="623">
        <v>0</v>
      </c>
      <c r="AE11" s="922">
        <v>0</v>
      </c>
      <c r="AF11" s="831">
        <f>AF10+1</f>
        <v>37028</v>
      </c>
    </row>
    <row r="12" spans="1:37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157294</v>
      </c>
      <c r="Z12" s="625">
        <v>40200</v>
      </c>
      <c r="AA12" s="1">
        <v>0</v>
      </c>
      <c r="AB12" s="623">
        <v>169630</v>
      </c>
      <c r="AC12" s="623">
        <v>54570</v>
      </c>
      <c r="AD12" s="623">
        <v>0</v>
      </c>
      <c r="AE12" s="922">
        <v>0</v>
      </c>
      <c r="AF12" s="831">
        <f>AF11+1</f>
        <v>37029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K7" sqref="K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37024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12036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37024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37025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16780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37025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37026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37026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37027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37027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37028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37028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37029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37029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J7" sqref="J7"/>
    </sheetView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37024</v>
      </c>
      <c r="B7" s="626">
        <v>0</v>
      </c>
      <c r="C7" s="627">
        <v>0</v>
      </c>
      <c r="D7" s="626">
        <v>0</v>
      </c>
      <c r="E7" s="626">
        <v>0</v>
      </c>
      <c r="F7" s="626">
        <v>12511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37024</v>
      </c>
      <c r="W7" s="623"/>
      <c r="X7" s="623"/>
    </row>
    <row r="8" spans="1:24">
      <c r="A8" s="831">
        <f>A7+1</f>
        <v>37025</v>
      </c>
      <c r="B8" s="626">
        <v>0</v>
      </c>
      <c r="C8" s="627">
        <v>0</v>
      </c>
      <c r="D8" s="626">
        <v>0</v>
      </c>
      <c r="E8" s="626">
        <v>0</v>
      </c>
      <c r="F8" s="626">
        <v>9000</v>
      </c>
      <c r="G8" s="626">
        <f>(R8+S8+C8+PGL_Requirements!Y8+PGL_Requirements!Z8-NSG_Requirements!C8)*0.05</f>
        <v>2630.3500000000004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31776</v>
      </c>
      <c r="S8" s="626">
        <v>20831</v>
      </c>
      <c r="T8" s="626">
        <v>0</v>
      </c>
      <c r="U8" s="626">
        <v>0</v>
      </c>
      <c r="V8" s="831">
        <f>V7+1</f>
        <v>37025</v>
      </c>
      <c r="W8" s="623"/>
      <c r="X8" s="623"/>
    </row>
    <row r="9" spans="1:24">
      <c r="A9" s="831">
        <f>A8+1</f>
        <v>37026</v>
      </c>
      <c r="B9" s="626">
        <v>0</v>
      </c>
      <c r="C9" s="627">
        <v>0</v>
      </c>
      <c r="D9" s="626">
        <v>0</v>
      </c>
      <c r="E9" s="626">
        <v>0</v>
      </c>
      <c r="F9" s="626">
        <v>9000</v>
      </c>
      <c r="G9" s="626">
        <f>(R9+S9+C9+PGL_Requirements!Y9+PGL_Requirements!Z9-NSG_Requirements!C9)*0.05</f>
        <v>2630.3500000000004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31776</v>
      </c>
      <c r="S9" s="626">
        <v>20831</v>
      </c>
      <c r="T9" s="626">
        <v>0</v>
      </c>
      <c r="U9" s="626">
        <v>0</v>
      </c>
      <c r="V9" s="831">
        <f>V8+1</f>
        <v>37026</v>
      </c>
      <c r="W9" s="623"/>
      <c r="X9" s="623"/>
    </row>
    <row r="10" spans="1:24">
      <c r="A10" s="831">
        <f>A9+1</f>
        <v>37027</v>
      </c>
      <c r="B10" s="626">
        <v>0</v>
      </c>
      <c r="C10" s="627">
        <v>0</v>
      </c>
      <c r="D10" s="626">
        <v>0</v>
      </c>
      <c r="E10" s="626">
        <v>0</v>
      </c>
      <c r="F10" s="626">
        <v>9000</v>
      </c>
      <c r="G10" s="626">
        <f>(R10+S10+C10+PGL_Requirements!Y10+PGL_Requirements!Z10-NSG_Requirements!C10)*0.05</f>
        <v>2630.3500000000004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31776</v>
      </c>
      <c r="S10" s="626">
        <v>20831</v>
      </c>
      <c r="T10" s="626">
        <v>0</v>
      </c>
      <c r="U10" s="626">
        <v>0</v>
      </c>
      <c r="V10" s="831">
        <f>V9+1</f>
        <v>37027</v>
      </c>
      <c r="W10" s="623"/>
      <c r="X10" s="623"/>
    </row>
    <row r="11" spans="1:24">
      <c r="A11" s="831">
        <f>A10+1</f>
        <v>37028</v>
      </c>
      <c r="B11" s="626">
        <v>0</v>
      </c>
      <c r="C11" s="627">
        <v>0</v>
      </c>
      <c r="D11" s="626">
        <v>0</v>
      </c>
      <c r="E11" s="626">
        <v>0</v>
      </c>
      <c r="F11" s="626">
        <v>9000</v>
      </c>
      <c r="G11" s="626">
        <f>(R11+S11+C11+PGL_Requirements!Y11+PGL_Requirements!Z11-NSG_Requirements!C11)*0.05</f>
        <v>2630.3500000000004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31776</v>
      </c>
      <c r="S11" s="626">
        <v>20831</v>
      </c>
      <c r="T11" s="626">
        <v>0</v>
      </c>
      <c r="U11" s="626">
        <v>0</v>
      </c>
      <c r="V11" s="831">
        <f>V10+1</f>
        <v>37028</v>
      </c>
      <c r="W11" s="623"/>
      <c r="X11" s="623"/>
    </row>
    <row r="12" spans="1:24">
      <c r="A12" s="831">
        <f>A11+1</f>
        <v>37029</v>
      </c>
      <c r="B12" s="626">
        <v>0</v>
      </c>
      <c r="C12" s="627">
        <v>0</v>
      </c>
      <c r="D12" s="626">
        <v>0</v>
      </c>
      <c r="E12" s="626">
        <v>0</v>
      </c>
      <c r="F12" s="626">
        <v>9000</v>
      </c>
      <c r="G12" s="626">
        <f>(R12+S12+C12+PGL_Requirements!Y12+PGL_Requirements!Z12-NSG_Requirements!C12)*0.05</f>
        <v>2630.3500000000004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31776</v>
      </c>
      <c r="S12" s="626">
        <v>20831</v>
      </c>
      <c r="T12" s="626">
        <v>0</v>
      </c>
      <c r="U12" s="626">
        <v>0</v>
      </c>
      <c r="V12" s="831">
        <f>V11+1</f>
        <v>37029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SUN</v>
      </c>
      <c r="I1" s="836">
        <f>D4</f>
        <v>37024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SUN</v>
      </c>
      <c r="E3" s="841" t="str">
        <f t="shared" si="0"/>
        <v>MON</v>
      </c>
      <c r="F3" s="841" t="str">
        <f t="shared" si="0"/>
        <v>TUE</v>
      </c>
      <c r="G3" s="841" t="str">
        <f t="shared" si="0"/>
        <v>WED</v>
      </c>
      <c r="H3" s="841" t="str">
        <f t="shared" si="0"/>
        <v>THU</v>
      </c>
      <c r="I3" s="842" t="str">
        <f t="shared" si="0"/>
        <v>FRI</v>
      </c>
    </row>
    <row r="4" spans="1:256" ht="15.75" thickBot="1">
      <c r="A4" s="843"/>
      <c r="B4" s="844"/>
      <c r="C4" s="844"/>
      <c r="D4" s="465">
        <f>Weather_Input!A5</f>
        <v>37024</v>
      </c>
      <c r="E4" s="465">
        <f>Weather_Input!A6</f>
        <v>37025</v>
      </c>
      <c r="F4" s="465">
        <f>Weather_Input!A7</f>
        <v>37026</v>
      </c>
      <c r="G4" s="465">
        <f>Weather_Input!A8</f>
        <v>37027</v>
      </c>
      <c r="H4" s="465">
        <f>Weather_Input!A9</f>
        <v>37028</v>
      </c>
      <c r="I4" s="466">
        <f>Weather_Input!A10</f>
        <v>37029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68/44/56</v>
      </c>
      <c r="E5" s="467" t="str">
        <f>TEXT(Weather_Input!B6,"0")&amp;"/"&amp;TEXT(Weather_Input!C6,"0") &amp; "/" &amp; TEXT((Weather_Input!B6+Weather_Input!C6)/2,"0")</f>
        <v>73/58/66</v>
      </c>
      <c r="F5" s="467" t="str">
        <f>TEXT(Weather_Input!B7,"0")&amp;"/"&amp;TEXT(Weather_Input!C7,"0") &amp; "/" &amp; TEXT((Weather_Input!B7+Weather_Input!C7)/2,"0")</f>
        <v>77/55/66</v>
      </c>
      <c r="G5" s="467" t="str">
        <f>TEXT(Weather_Input!B8,"0")&amp;"/"&amp;TEXT(Weather_Input!C8,"0") &amp; "/" &amp; TEXT((Weather_Input!B8+Weather_Input!C8)/2,"0")</f>
        <v>72/55/64</v>
      </c>
      <c r="H5" s="467" t="str">
        <f>TEXT(Weather_Input!B9,"0")&amp;"/"&amp;TEXT(Weather_Input!C9,"0") &amp; "/" &amp; TEXT((Weather_Input!B9+Weather_Input!C9)/2,"0")</f>
        <v>78/58/68</v>
      </c>
      <c r="I5" s="468" t="str">
        <f>TEXT(Weather_Input!B10,"0")&amp;"/"&amp;TEXT(Weather_Input!C10,"0") &amp; "/" &amp; TEXT((Weather_Input!B10+Weather_Input!C10)/2,"0")</f>
        <v>74/53/64</v>
      </c>
    </row>
    <row r="6" spans="1:256" ht="15.75">
      <c r="A6" s="850" t="s">
        <v>139</v>
      </c>
      <c r="B6" s="838"/>
      <c r="C6" s="838"/>
      <c r="D6" s="467">
        <f>PGL_Deliveries!C5/1000</f>
        <v>265</v>
      </c>
      <c r="E6" s="467">
        <f>PGL_Deliveries!C6/1000</f>
        <v>240</v>
      </c>
      <c r="F6" s="467">
        <f>PGL_Deliveries!C7/1000</f>
        <v>240</v>
      </c>
      <c r="G6" s="467">
        <f>PGL_Deliveries!C8/1000</f>
        <v>240</v>
      </c>
      <c r="H6" s="467">
        <f>PGL_Deliveries!C9/1000</f>
        <v>240</v>
      </c>
      <c r="I6" s="468">
        <f>PGL_Deliveries!C10/1000</f>
        <v>230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0.161</v>
      </c>
      <c r="E7" s="467">
        <f>PGL_Requirements!H8/1000</f>
        <v>28.69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8</v>
      </c>
      <c r="F8" s="467">
        <f>PGL_Requirements!I9/1000+PGL_Requirements!K9/1000</f>
        <v>19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160.83000000000001</v>
      </c>
      <c r="E13" s="467">
        <f>PGL_Requirements!P8/1000</f>
        <v>132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2.4124499999999998</v>
      </c>
      <c r="E14" s="467">
        <f>PGL_Requirements!Q8/1000</f>
        <v>1.98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0.56000000000000005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33.200000000000003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11.279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473.44244999999995</v>
      </c>
      <c r="E30" s="471">
        <f t="shared" si="1"/>
        <v>451.5</v>
      </c>
      <c r="F30" s="471">
        <f t="shared" si="1"/>
        <v>452.08</v>
      </c>
      <c r="G30" s="471">
        <f t="shared" si="1"/>
        <v>433.08</v>
      </c>
      <c r="H30" s="471">
        <f t="shared" si="1"/>
        <v>433.08</v>
      </c>
      <c r="I30" s="1170">
        <f t="shared" si="1"/>
        <v>423.08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1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0.627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20.98</v>
      </c>
      <c r="E37" s="467">
        <f>PGL_Supplies!L8/1000</f>
        <v>13.81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0</v>
      </c>
      <c r="F43" s="467">
        <f>PGL_Supplies!T9/1000</f>
        <v>0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157.29400000000001</v>
      </c>
      <c r="F47" s="467">
        <f>PGL_Supplies!Y9/1000</f>
        <v>157.29400000000001</v>
      </c>
      <c r="G47" s="467">
        <f>PGL_Supplies!Y10/1000</f>
        <v>157.29400000000001</v>
      </c>
      <c r="H47" s="467">
        <f>PGL_Supplies!Y11/1000</f>
        <v>157.29400000000001</v>
      </c>
      <c r="I47" s="468">
        <f>PGL_Supplies!Y12/1000</f>
        <v>157.29400000000001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169.63</v>
      </c>
      <c r="F50" s="467">
        <f>PGL_Supplies!AB9/1000</f>
        <v>169.63</v>
      </c>
      <c r="G50" s="467">
        <f>PGL_Supplies!AB10/1000</f>
        <v>169.63</v>
      </c>
      <c r="H50" s="467">
        <f>PGL_Supplies!AB11/1000</f>
        <v>169.63</v>
      </c>
      <c r="I50" s="468">
        <f>PGL_Supplies!AB12/1000</f>
        <v>169.63</v>
      </c>
    </row>
    <row r="51" spans="1:10" ht="15.75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54.57</v>
      </c>
      <c r="F51" s="467">
        <f>PGL_Supplies!AC9/1000</f>
        <v>54.57</v>
      </c>
      <c r="G51" s="467">
        <f>PGL_Supplies!AC10/1000</f>
        <v>54.57</v>
      </c>
      <c r="H51" s="467">
        <f>PGL_Supplies!AC11/1000</f>
        <v>54.57</v>
      </c>
      <c r="I51" s="468">
        <f>PGL_Supplies!AC12/1000</f>
        <v>54.57</v>
      </c>
    </row>
    <row r="52" spans="1:10" ht="15.75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 ht="15.75">
      <c r="A53" s="864"/>
      <c r="B53" s="838" t="s">
        <v>158</v>
      </c>
      <c r="C53" s="838"/>
      <c r="D53" s="467">
        <f>PGL_Supplies!I7/1000</f>
        <v>18.853999999999999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482.15499999999997</v>
      </c>
      <c r="E61" s="477">
        <f t="shared" si="2"/>
        <v>451.50400000000002</v>
      </c>
      <c r="F61" s="477">
        <f t="shared" si="2"/>
        <v>437.69400000000002</v>
      </c>
      <c r="G61" s="477">
        <f t="shared" si="2"/>
        <v>437.69400000000002</v>
      </c>
      <c r="H61" s="477">
        <f t="shared" si="2"/>
        <v>437.69400000000002</v>
      </c>
      <c r="I61" s="1172">
        <f t="shared" si="2"/>
        <v>437.69400000000002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8.7125500000000216</v>
      </c>
      <c r="E62" s="478">
        <f t="shared" si="3"/>
        <v>4.0000000000190994E-3</v>
      </c>
      <c r="F62" s="478">
        <f t="shared" si="3"/>
        <v>0</v>
      </c>
      <c r="G62" s="478">
        <f t="shared" si="3"/>
        <v>4.6140000000000327</v>
      </c>
      <c r="H62" s="478">
        <f t="shared" si="3"/>
        <v>4.6140000000000327</v>
      </c>
      <c r="I62" s="1173">
        <f t="shared" si="3"/>
        <v>14.614000000000033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14.385999999999967</v>
      </c>
      <c r="G63" s="479">
        <f t="shared" si="4"/>
        <v>0</v>
      </c>
      <c r="H63" s="479">
        <f t="shared" si="4"/>
        <v>0</v>
      </c>
      <c r="I63" s="1174">
        <f t="shared" si="4"/>
        <v>0</v>
      </c>
    </row>
    <row r="64" spans="1:10" ht="16.5" thickTop="1" thickBot="1">
      <c r="A64" s="1161" t="s">
        <v>767</v>
      </c>
      <c r="B64" s="1162"/>
      <c r="C64" s="1162"/>
      <c r="D64" s="1163">
        <f>PGL_Supplies!V7/1000</f>
        <v>176.70400000000001</v>
      </c>
      <c r="E64" s="1163">
        <f>PGL_Supplies!V8/1000</f>
        <v>176.70400000000001</v>
      </c>
      <c r="F64" s="1163">
        <f>PGL_Supplies!V9/1000</f>
        <v>176.70400000000001</v>
      </c>
      <c r="G64" s="1163">
        <f>PGL_Supplies!V10/1000</f>
        <v>176.70400000000001</v>
      </c>
      <c r="H64" s="1163">
        <f>PGL_Supplies!V11/1000</f>
        <v>176.70400000000001</v>
      </c>
      <c r="I64" s="1164">
        <f>PGL_Supplies!V12/1000</f>
        <v>176.70400000000001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2001-05-14T16:02:54Z</cp:lastPrinted>
  <dcterms:created xsi:type="dcterms:W3CDTF">1997-07-16T16:14:22Z</dcterms:created>
  <dcterms:modified xsi:type="dcterms:W3CDTF">2023-09-10T17:13:06Z</dcterms:modified>
</cp:coreProperties>
</file>