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99F033D-E085-4817-9625-2FB7BC6453E1}" xr6:coauthVersionLast="47" xr6:coauthVersionMax="47" xr10:uidLastSave="{00000000-0000-0000-0000-000000000000}"/>
  <bookViews>
    <workbookView xWindow="-120" yWindow="-120" windowWidth="38640" windowHeight="15720" activeTab="1"/>
  </bookViews>
  <sheets>
    <sheet name="WEEKEND" sheetId="11" r:id="rId1"/>
    <sheet name="DAILY" sheetId="9" r:id="rId2"/>
  </sheets>
  <externalReferences>
    <externalReference r:id="rId3"/>
  </externalReferences>
  <definedNames>
    <definedName name="_xlnm.Print_Area" localSheetId="1">DAILY!$A$1:$V$76</definedName>
    <definedName name="_xlnm.Print_Area" localSheetId="0">WEEKEND!$A$1:$L$54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9" l="1"/>
  <c r="P1" i="9"/>
  <c r="T1" i="9"/>
  <c r="B2" i="9"/>
  <c r="P2" i="9"/>
  <c r="T2" i="9"/>
  <c r="X2" i="9"/>
  <c r="Y2" i="9"/>
  <c r="AH2" i="9"/>
  <c r="AJ2" i="9"/>
  <c r="AK2" i="9"/>
  <c r="K3" i="9"/>
  <c r="L3" i="9"/>
  <c r="P3" i="9"/>
  <c r="T3" i="9"/>
  <c r="X3" i="9"/>
  <c r="Y3" i="9"/>
  <c r="Z3" i="9"/>
  <c r="AH3" i="9"/>
  <c r="AJ3" i="9"/>
  <c r="AK3" i="9"/>
  <c r="D4" i="9"/>
  <c r="K4" i="9"/>
  <c r="L4" i="9"/>
  <c r="M4" i="9"/>
  <c r="X4" i="9"/>
  <c r="Y4" i="9"/>
  <c r="Z4" i="9"/>
  <c r="AG4" i="9"/>
  <c r="AH4" i="9"/>
  <c r="AJ4" i="9"/>
  <c r="AK4" i="9"/>
  <c r="K5" i="9"/>
  <c r="L5" i="9"/>
  <c r="M5" i="9"/>
  <c r="X5" i="9"/>
  <c r="Y5" i="9"/>
  <c r="Z5" i="9"/>
  <c r="AG5" i="9"/>
  <c r="AH5" i="9"/>
  <c r="AJ5" i="9"/>
  <c r="AK5" i="9"/>
  <c r="K6" i="9"/>
  <c r="L6" i="9"/>
  <c r="M6" i="9"/>
  <c r="X6" i="9"/>
  <c r="Y6" i="9"/>
  <c r="Z6" i="9"/>
  <c r="AG6" i="9"/>
  <c r="AH6" i="9"/>
  <c r="AJ6" i="9"/>
  <c r="AK6" i="9"/>
  <c r="X7" i="9"/>
  <c r="Y7" i="9"/>
  <c r="Z7" i="9"/>
  <c r="AG7" i="9"/>
  <c r="AH7" i="9"/>
  <c r="AJ7" i="9"/>
  <c r="AK7" i="9"/>
  <c r="X8" i="9"/>
  <c r="Z8" i="9"/>
  <c r="AG8" i="9"/>
  <c r="AH8" i="9"/>
  <c r="AJ8" i="9"/>
  <c r="AK8" i="9"/>
  <c r="X9" i="9"/>
  <c r="Y9" i="9"/>
  <c r="Z9" i="9"/>
  <c r="AG9" i="9"/>
  <c r="AH9" i="9"/>
  <c r="AJ9" i="9"/>
  <c r="AK9" i="9"/>
  <c r="Z10" i="9"/>
  <c r="AG10" i="9"/>
  <c r="AH10" i="9"/>
  <c r="AJ10" i="9"/>
  <c r="AK10" i="9"/>
  <c r="X11" i="9"/>
  <c r="Y11" i="9"/>
  <c r="Z11" i="9"/>
  <c r="AG11" i="9"/>
  <c r="AJ11" i="9"/>
  <c r="X12" i="9"/>
  <c r="Y12" i="9"/>
  <c r="Z12" i="9"/>
  <c r="AG12" i="9"/>
  <c r="AJ12" i="9"/>
  <c r="X13" i="9"/>
  <c r="Z13" i="9"/>
  <c r="AG13" i="9"/>
  <c r="AJ13" i="9"/>
  <c r="E14" i="9"/>
  <c r="X14" i="9"/>
  <c r="Z14" i="9"/>
  <c r="AG14" i="9"/>
  <c r="AJ14" i="9"/>
  <c r="F15" i="9"/>
  <c r="X15" i="9"/>
  <c r="Z15" i="9"/>
  <c r="AG15" i="9"/>
  <c r="AJ15" i="9"/>
  <c r="Z16" i="9"/>
  <c r="AG16" i="9"/>
  <c r="AJ16" i="9"/>
  <c r="Z17" i="9"/>
  <c r="AJ17" i="9"/>
  <c r="Z18" i="9"/>
  <c r="AJ18" i="9"/>
  <c r="Z19" i="9"/>
  <c r="AJ19" i="9"/>
  <c r="Z20" i="9"/>
  <c r="AJ20" i="9"/>
  <c r="Z21" i="9"/>
  <c r="AJ21" i="9"/>
  <c r="Z22" i="9"/>
  <c r="AJ22" i="9"/>
  <c r="Z23" i="9"/>
  <c r="AJ23" i="9"/>
  <c r="Z24" i="9"/>
  <c r="AJ24" i="9"/>
  <c r="Z25" i="9"/>
  <c r="AJ25" i="9"/>
  <c r="Z26" i="9"/>
  <c r="AJ26" i="9"/>
  <c r="Z27" i="9"/>
  <c r="AJ27" i="9"/>
  <c r="B28" i="9"/>
  <c r="C28" i="9"/>
  <c r="Z28" i="9"/>
  <c r="AJ28" i="9"/>
  <c r="E29" i="9"/>
  <c r="Z29" i="9"/>
  <c r="AJ29" i="9"/>
  <c r="Z30" i="9"/>
  <c r="AJ30" i="9"/>
  <c r="Z31" i="9"/>
  <c r="AJ31" i="9"/>
  <c r="Z32" i="9"/>
  <c r="AJ32" i="9"/>
  <c r="B57" i="9"/>
  <c r="B1" i="11"/>
  <c r="H1" i="11"/>
  <c r="B2" i="11"/>
  <c r="H2" i="11"/>
  <c r="D4" i="11"/>
  <c r="J4" i="11"/>
  <c r="E14" i="11"/>
  <c r="K14" i="11"/>
  <c r="F15" i="11"/>
  <c r="L15" i="11"/>
  <c r="B28" i="11"/>
  <c r="C28" i="11"/>
  <c r="H28" i="11"/>
  <c r="I28" i="11"/>
  <c r="E29" i="11"/>
  <c r="K29" i="11"/>
  <c r="B57" i="11"/>
  <c r="H57" i="11"/>
</calcChain>
</file>

<file path=xl/sharedStrings.xml><?xml version="1.0" encoding="utf-8"?>
<sst xmlns="http://schemas.openxmlformats.org/spreadsheetml/2006/main" count="278" uniqueCount="74">
  <si>
    <t>TODAY'S DATE:</t>
  </si>
  <si>
    <t>TODAY'S SENDOUT FOR PGL:</t>
  </si>
  <si>
    <t>TODAY'S SENDOUT FOR NS:</t>
  </si>
  <si>
    <t xml:space="preserve">ESTIMATED PGL SENDOUT FOR: </t>
  </si>
  <si>
    <t xml:space="preserve">ESTIMATED NORTH SHORE SENDOUT FOR: </t>
  </si>
  <si>
    <t>Elwood Burn</t>
  </si>
  <si>
    <t>Elwood Bank Balance</t>
  </si>
  <si>
    <t>Wilton Burn</t>
  </si>
  <si>
    <t>Wilton OBA</t>
  </si>
  <si>
    <t>Gas Control Estimate</t>
  </si>
  <si>
    <t>Gas Control Actual</t>
  </si>
  <si>
    <t>Rider Gas</t>
  </si>
  <si>
    <t>SENDOUT FOR:</t>
  </si>
  <si>
    <t>HI</t>
  </si>
  <si>
    <t>LOW</t>
  </si>
  <si>
    <t>MEAN</t>
  </si>
  <si>
    <t>WEATHER</t>
  </si>
  <si>
    <t xml:space="preserve"> </t>
  </si>
  <si>
    <t>Ketra</t>
  </si>
  <si>
    <t>ELWOOD</t>
  </si>
  <si>
    <t>Change</t>
  </si>
  <si>
    <t>PGL SENDOUT</t>
  </si>
  <si>
    <t>NS SENDOUT</t>
  </si>
  <si>
    <t>Total Burn:</t>
  </si>
  <si>
    <t>HUB:</t>
  </si>
  <si>
    <t>OFF SYSTEM SALES</t>
  </si>
  <si>
    <t>KN Nomination:</t>
  </si>
  <si>
    <t>INJECTIONS:</t>
  </si>
  <si>
    <t>PGL Balancing:</t>
  </si>
  <si>
    <t xml:space="preserve">     MANLOVE</t>
  </si>
  <si>
    <t xml:space="preserve">     NGPL</t>
  </si>
  <si>
    <t xml:space="preserve">     ANR </t>
  </si>
  <si>
    <t xml:space="preserve">     ANR (NO-NOTICE)</t>
  </si>
  <si>
    <t>TOTAL REQUIREMENTS</t>
  </si>
  <si>
    <t xml:space="preserve">     NGPL (NO-NOTICE)</t>
  </si>
  <si>
    <t xml:space="preserve">     PANHANDLE</t>
  </si>
  <si>
    <t xml:space="preserve">     FUEL</t>
  </si>
  <si>
    <t>LNG LIQUIFACTION</t>
  </si>
  <si>
    <t>ENA BASELOAD</t>
  </si>
  <si>
    <t>ENA SIQ</t>
  </si>
  <si>
    <t>ENA DIQ</t>
  </si>
  <si>
    <t>RIDER GAS</t>
  </si>
  <si>
    <t>IMBALANCES</t>
  </si>
  <si>
    <t>TOTAL SOURCES</t>
  </si>
  <si>
    <t>RFG</t>
  </si>
  <si>
    <t>LNG VAPORIZE</t>
  </si>
  <si>
    <t>WITHDRAWALS:</t>
  </si>
  <si>
    <t xml:space="preserve">     NGPL:  NSS1</t>
  </si>
  <si>
    <t xml:space="preserve">     NGPL:  NSS2</t>
  </si>
  <si>
    <t xml:space="preserve">     NGPL:  DSS</t>
  </si>
  <si>
    <t xml:space="preserve">     COENERGY</t>
  </si>
  <si>
    <t xml:space="preserve">     ENGAGE</t>
  </si>
  <si>
    <t xml:space="preserve">     NGPL (DSS)</t>
  </si>
  <si>
    <t>Elwood Injection</t>
  </si>
  <si>
    <t>Wilton Injection</t>
  </si>
  <si>
    <t xml:space="preserve">     NICOR BALANCING</t>
  </si>
  <si>
    <t>TRUNKLINE IMBALANCE</t>
  </si>
  <si>
    <t>CITYGATE PURCHASES</t>
  </si>
  <si>
    <t>OFF SYSTEM SALES:</t>
  </si>
  <si>
    <t xml:space="preserve">     NGPL DSS</t>
  </si>
  <si>
    <t xml:space="preserve">     ANR</t>
  </si>
  <si>
    <t xml:space="preserve">     ENOVATE</t>
  </si>
  <si>
    <t xml:space="preserve">    ENOVATE</t>
  </si>
  <si>
    <t xml:space="preserve">    MISC</t>
  </si>
  <si>
    <t xml:space="preserve">     MISC</t>
  </si>
  <si>
    <t>ENOVATE</t>
  </si>
  <si>
    <t>LINE PACK / IMBALANCE</t>
  </si>
  <si>
    <t xml:space="preserve">     ALLIANCE UNDER DELIVERY</t>
  </si>
  <si>
    <t xml:space="preserve">    ENA SELL BACK</t>
  </si>
  <si>
    <t xml:space="preserve">     NGPL FT - AMR</t>
  </si>
  <si>
    <t>ANR IMBALANCE</t>
  </si>
  <si>
    <t xml:space="preserve">     NGPL AM (DSS REFILL)</t>
  </si>
  <si>
    <t xml:space="preserve">     NGPL GS (DSS REFILL)</t>
  </si>
  <si>
    <t>SOUTH TX (REFILL)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</si>
</sst>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_(* #,##0.000_);_(* \(#,##0.000\);_(* &quot;-&quot;??_);_(@_)"/>
    <numFmt numFmtId="172" formatCode="_(&quot;$&quot;* #,##0_);_(&quot;$&quot;* \(#,##0\);_(&quot;$&quot;* &quot;-&quot;??_);_(@_)"/>
    <numFmt numFmtId="176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4" fontId="2" fillId="0" borderId="1" xfId="0" applyNumberFormat="1" applyFont="1" applyBorder="1"/>
    <xf numFmtId="0" fontId="3" fillId="0" borderId="2" xfId="0" applyFont="1" applyBorder="1" applyAlignment="1">
      <alignment wrapText="1"/>
    </xf>
    <xf numFmtId="176" fontId="3" fillId="0" borderId="3" xfId="1" applyNumberFormat="1" applyFont="1" applyBorder="1"/>
    <xf numFmtId="0" fontId="2" fillId="0" borderId="3" xfId="0" applyFont="1" applyBorder="1"/>
    <xf numFmtId="0" fontId="3" fillId="0" borderId="3" xfId="0" applyFont="1" applyBorder="1" applyAlignment="1">
      <alignment wrapText="1"/>
    </xf>
    <xf numFmtId="176" fontId="3" fillId="0" borderId="4" xfId="1" applyNumberFormat="1" applyFont="1" applyBorder="1"/>
    <xf numFmtId="176" fontId="2" fillId="0" borderId="0" xfId="1" applyNumberFormat="1" applyFont="1" applyBorder="1"/>
    <xf numFmtId="0" fontId="2" fillId="0" borderId="0" xfId="0" applyFont="1" applyAlignment="1">
      <alignment wrapText="1"/>
    </xf>
    <xf numFmtId="14" fontId="2" fillId="0" borderId="0" xfId="0" applyNumberFormat="1" applyFont="1"/>
    <xf numFmtId="176" fontId="2" fillId="0" borderId="0" xfId="1" applyNumberFormat="1" applyFont="1"/>
    <xf numFmtId="1" fontId="2" fillId="0" borderId="0" xfId="0" applyNumberFormat="1" applyFont="1" applyAlignment="1">
      <alignment horizontal="center"/>
    </xf>
    <xf numFmtId="176" fontId="2" fillId="0" borderId="0" xfId="0" applyNumberFormat="1" applyFont="1"/>
    <xf numFmtId="14" fontId="2" fillId="0" borderId="0" xfId="1" applyNumberFormat="1" applyFont="1"/>
    <xf numFmtId="0" fontId="2" fillId="2" borderId="5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" fontId="2" fillId="2" borderId="6" xfId="0" applyNumberFormat="1" applyFont="1" applyFill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3" fillId="0" borderId="2" xfId="0" applyFont="1" applyBorder="1"/>
    <xf numFmtId="14" fontId="2" fillId="0" borderId="1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/>
    <xf numFmtId="176" fontId="2" fillId="0" borderId="9" xfId="1" applyNumberFormat="1" applyFont="1" applyBorder="1"/>
    <xf numFmtId="0" fontId="2" fillId="0" borderId="0" xfId="0" applyFont="1" applyBorder="1"/>
    <xf numFmtId="176" fontId="2" fillId="0" borderId="7" xfId="0" applyNumberFormat="1" applyFont="1" applyBorder="1"/>
    <xf numFmtId="176" fontId="2" fillId="0" borderId="10" xfId="0" applyNumberFormat="1" applyFont="1" applyBorder="1"/>
    <xf numFmtId="0" fontId="2" fillId="0" borderId="11" xfId="0" applyFont="1" applyBorder="1"/>
    <xf numFmtId="176" fontId="2" fillId="0" borderId="12" xfId="1" applyNumberFormat="1" applyFont="1" applyBorder="1"/>
    <xf numFmtId="176" fontId="2" fillId="0" borderId="13" xfId="0" applyNumberFormat="1" applyFont="1" applyBorder="1"/>
    <xf numFmtId="0" fontId="3" fillId="0" borderId="8" xfId="0" applyFont="1" applyBorder="1"/>
    <xf numFmtId="176" fontId="2" fillId="3" borderId="1" xfId="1" applyNumberFormat="1" applyFont="1" applyFill="1" applyBorder="1"/>
    <xf numFmtId="176" fontId="2" fillId="0" borderId="14" xfId="1" applyNumberFormat="1" applyFont="1" applyBorder="1"/>
    <xf numFmtId="0" fontId="2" fillId="0" borderId="14" xfId="0" applyFont="1" applyBorder="1"/>
    <xf numFmtId="176" fontId="2" fillId="0" borderId="7" xfId="1" applyNumberFormat="1" applyFont="1" applyBorder="1"/>
    <xf numFmtId="176" fontId="2" fillId="0" borderId="10" xfId="1" applyNumberFormat="1" applyFont="1" applyBorder="1"/>
    <xf numFmtId="176" fontId="2" fillId="0" borderId="13" xfId="1" applyNumberFormat="1" applyFont="1" applyBorder="1"/>
    <xf numFmtId="176" fontId="2" fillId="0" borderId="9" xfId="1" applyNumberFormat="1" applyFont="1" applyFill="1" applyBorder="1"/>
    <xf numFmtId="0" fontId="2" fillId="0" borderId="0" xfId="0" quotePrefix="1" applyFont="1"/>
    <xf numFmtId="0" fontId="2" fillId="0" borderId="8" xfId="0" applyFont="1" applyFill="1" applyBorder="1"/>
    <xf numFmtId="0" fontId="3" fillId="0" borderId="0" xfId="0" applyFont="1" applyAlignment="1">
      <alignment wrapText="1"/>
    </xf>
    <xf numFmtId="0" fontId="4" fillId="0" borderId="0" xfId="0" applyFont="1" applyFill="1"/>
    <xf numFmtId="14" fontId="4" fillId="0" borderId="1" xfId="0" applyNumberFormat="1" applyFont="1" applyFill="1" applyBorder="1"/>
    <xf numFmtId="0" fontId="4" fillId="0" borderId="0" xfId="0" applyFont="1" applyFill="1" applyAlignment="1">
      <alignment horizontal="center"/>
    </xf>
    <xf numFmtId="176" fontId="2" fillId="0" borderId="0" xfId="1" applyNumberFormat="1" applyFont="1" applyAlignment="1">
      <alignment horizontal="left"/>
    </xf>
    <xf numFmtId="0" fontId="2" fillId="0" borderId="9" xfId="0" applyFont="1" applyFill="1" applyBorder="1"/>
    <xf numFmtId="176" fontId="2" fillId="0" borderId="0" xfId="1" applyNumberFormat="1" applyFont="1" applyAlignment="1">
      <alignment horizontal="right"/>
    </xf>
    <xf numFmtId="169" fontId="2" fillId="0" borderId="0" xfId="1" applyNumberFormat="1" applyFont="1"/>
    <xf numFmtId="169" fontId="2" fillId="0" borderId="0" xfId="0" applyNumberFormat="1" applyFont="1"/>
    <xf numFmtId="172" fontId="2" fillId="0" borderId="0" xfId="2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95-4415-86CB-2E39D8A03D89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95-4415-86CB-2E39D8A03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8982176"/>
        <c:axId val="1"/>
      </c:lineChart>
      <c:catAx>
        <c:axId val="111898217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18982176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E81-4A00-B875-E44AF5C85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2552304"/>
        <c:axId val="1"/>
      </c:lineChart>
      <c:catAx>
        <c:axId val="1122552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2552304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576-4BF1-B162-D01E7187E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2555552"/>
        <c:axId val="1"/>
      </c:lineChart>
      <c:catAx>
        <c:axId val="1122555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255555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765-49C4-9710-5EC3F3DE0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2987600"/>
        <c:axId val="1"/>
      </c:lineChart>
      <c:catAx>
        <c:axId val="1122987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298760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C9-482B-962C-A5EAFA4F1801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C9-482B-962C-A5EAFA4F1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2982496"/>
        <c:axId val="1"/>
      </c:lineChart>
      <c:catAx>
        <c:axId val="112298249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2982496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1B-4FAA-AA0D-78AF93118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2988528"/>
        <c:axId val="1"/>
      </c:lineChart>
      <c:dateAx>
        <c:axId val="112298852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298852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0E-455C-8773-20EF9B796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2986208"/>
        <c:axId val="1"/>
      </c:lineChart>
      <c:catAx>
        <c:axId val="112298620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2986208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6E8-436B-A709-38952EA46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2984816"/>
        <c:axId val="1"/>
      </c:lineChart>
      <c:catAx>
        <c:axId val="112298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2984816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BDD-496F-85A1-607882FC2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3713776"/>
        <c:axId val="1"/>
      </c:lineChart>
      <c:catAx>
        <c:axId val="1123713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371377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B9F-4371-85F8-56F78F4EE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3713312"/>
        <c:axId val="1"/>
      </c:lineChart>
      <c:catAx>
        <c:axId val="112371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371331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FE-43B5-9103-61786DC2F0C9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FE-43B5-9103-61786DC2F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3714240"/>
        <c:axId val="1"/>
      </c:lineChart>
      <c:catAx>
        <c:axId val="11237142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3714240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8C-4C94-B3FE-C52F47D12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8978000"/>
        <c:axId val="1"/>
      </c:lineChart>
      <c:dateAx>
        <c:axId val="111897800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1897800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96-47A8-B6DF-FD15D37BC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3716096"/>
        <c:axId val="1"/>
      </c:lineChart>
      <c:dateAx>
        <c:axId val="112371609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371609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54-4FD1-BFB4-4DCF3C959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3717024"/>
        <c:axId val="1"/>
      </c:lineChart>
      <c:catAx>
        <c:axId val="112371702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3717024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23A-47A9-81D0-65859DF61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3712384"/>
        <c:axId val="1"/>
      </c:lineChart>
      <c:catAx>
        <c:axId val="112371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3712384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58D-4D52-ABA7-749BBF64D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232576"/>
        <c:axId val="1"/>
      </c:lineChart>
      <c:catAx>
        <c:axId val="1124232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423257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2EE-45AC-A2B5-121482DD5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229792"/>
        <c:axId val="1"/>
      </c:lineChart>
      <c:catAx>
        <c:axId val="1124229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422979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74-446E-A879-D5E978C692D7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74-446E-A879-D5E978C69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226080"/>
        <c:axId val="1"/>
      </c:lineChart>
      <c:catAx>
        <c:axId val="112422608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4226080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87-443A-BB05-EE71D1FDA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231648"/>
        <c:axId val="1"/>
      </c:lineChart>
      <c:dateAx>
        <c:axId val="112423164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423164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32-469A-8334-B56DE6F0D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227936"/>
        <c:axId val="1"/>
      </c:lineChart>
      <c:catAx>
        <c:axId val="112422793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4227936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DF2-44D2-84B9-42E3F1493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231184"/>
        <c:axId val="1"/>
      </c:lineChart>
      <c:catAx>
        <c:axId val="1124231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4231184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2B1-4DFF-944D-AD6DBD8BB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827648"/>
        <c:axId val="1"/>
      </c:lineChart>
      <c:catAx>
        <c:axId val="112482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482764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0-45FD-966E-60C23E8FD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8979392"/>
        <c:axId val="1"/>
      </c:lineChart>
      <c:catAx>
        <c:axId val="111897939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18979392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814-4A0C-965E-FD3D93252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824864"/>
        <c:axId val="1"/>
      </c:lineChart>
      <c:catAx>
        <c:axId val="1124824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482486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layout>
        <c:manualLayout>
          <c:xMode val="edge"/>
          <c:yMode val="edge"/>
          <c:x val="0.45092536467735378"/>
          <c:y val="1.404539011048171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796356281903992E-2"/>
          <c:y val="8.1463262640793954E-2"/>
          <c:w val="0.9353614800543284"/>
          <c:h val="0.60114269672861742"/>
        </c:manualLayout>
      </c:layout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DAILY!$AF$2:$AF$32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DAILY!$AG$2:$AG$32</c:f>
              <c:numCache>
                <c:formatCode>_(* #,##0_);_(* \(#,##0\);_(* "-"??_);_(@_)</c:formatCode>
                <c:ptCount val="31"/>
                <c:pt idx="0">
                  <c:v>250000</c:v>
                </c:pt>
                <c:pt idx="1">
                  <c:v>250000</c:v>
                </c:pt>
                <c:pt idx="2">
                  <c:v>268000</c:v>
                </c:pt>
                <c:pt idx="3">
                  <c:v>264000</c:v>
                </c:pt>
                <c:pt idx="4">
                  <c:v>262000</c:v>
                </c:pt>
                <c:pt idx="5">
                  <c:v>262000</c:v>
                </c:pt>
                <c:pt idx="6">
                  <c:v>282000</c:v>
                </c:pt>
                <c:pt idx="7">
                  <c:v>283700</c:v>
                </c:pt>
                <c:pt idx="8">
                  <c:v>278000</c:v>
                </c:pt>
                <c:pt idx="9">
                  <c:v>278000</c:v>
                </c:pt>
                <c:pt idx="10">
                  <c:v>252000</c:v>
                </c:pt>
                <c:pt idx="11">
                  <c:v>246000</c:v>
                </c:pt>
                <c:pt idx="12">
                  <c:v>252000</c:v>
                </c:pt>
                <c:pt idx="13">
                  <c:v>258000</c:v>
                </c:pt>
                <c:pt idx="14">
                  <c:v>258000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B8-4AF9-85D0-A2C190E97263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DAILY!$AF$2:$AF$32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DAILY!$AH$2:$AH$32</c:f>
              <c:numCache>
                <c:formatCode>_(* #,##0_);_(* \(#,##0\);_(* "-"??_);_(@_)</c:formatCode>
                <c:ptCount val="31"/>
                <c:pt idx="0">
                  <c:v>264954</c:v>
                </c:pt>
                <c:pt idx="1">
                  <c:v>273967</c:v>
                </c:pt>
                <c:pt idx="2">
                  <c:v>278797</c:v>
                </c:pt>
                <c:pt idx="3">
                  <c:v>316170</c:v>
                </c:pt>
                <c:pt idx="4">
                  <c:v>303968</c:v>
                </c:pt>
                <c:pt idx="5">
                  <c:v>275357</c:v>
                </c:pt>
                <c:pt idx="6">
                  <c:v>309413</c:v>
                </c:pt>
                <c:pt idx="7">
                  <c:v>282740</c:v>
                </c:pt>
                <c:pt idx="8">
                  <c:v>259341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B8-4AF9-85D0-A2C190E97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826256"/>
        <c:axId val="1"/>
      </c:lineChart>
      <c:catAx>
        <c:axId val="1124826256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50000"/>
          <c:min val="50000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4826256"/>
        <c:crosses val="autoZero"/>
        <c:crossBetween val="between"/>
        <c:majorUnit val="100000"/>
        <c:minorUnit val="10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418009865949171"/>
          <c:y val="0.86238695278357735"/>
          <c:w val="5.2323803723969345E-2"/>
          <c:h val="0.129217589016431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layout>
        <c:manualLayout>
          <c:xMode val="edge"/>
          <c:yMode val="edge"/>
          <c:x val="0.38958292753754703"/>
          <c:y val="1.59241085599664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5074037434712"/>
          <c:y val="9.2359829647805453E-2"/>
          <c:w val="0.82057821351412463"/>
          <c:h val="0.58282237329477227"/>
        </c:manualLayout>
      </c:layout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DAILY!$X$2:$X$32</c:f>
              <c:numCache>
                <c:formatCode>_(* #,##0_);_(* \(#,##0\);_(* "-"??_);_(@_)</c:formatCode>
                <c:ptCount val="31"/>
                <c:pt idx="0">
                  <c:v>66800</c:v>
                </c:pt>
                <c:pt idx="1">
                  <c:v>74000</c:v>
                </c:pt>
                <c:pt idx="2">
                  <c:v>22200</c:v>
                </c:pt>
                <c:pt idx="3">
                  <c:v>17000</c:v>
                </c:pt>
                <c:pt idx="4">
                  <c:v>11400</c:v>
                </c:pt>
                <c:pt idx="5">
                  <c:v>24800</c:v>
                </c:pt>
                <c:pt idx="6">
                  <c:v>23640</c:v>
                </c:pt>
                <c:pt idx="7">
                  <c:v>42580</c:v>
                </c:pt>
                <c:pt idx="8">
                  <c:v>0</c:v>
                </c:pt>
                <c:pt idx="9">
                  <c:v>20000</c:v>
                </c:pt>
                <c:pt idx="10">
                  <c:v>39000</c:v>
                </c:pt>
                <c:pt idx="11">
                  <c:v>14000</c:v>
                </c:pt>
                <c:pt idx="12">
                  <c:v>27000</c:v>
                </c:pt>
                <c:pt idx="13">
                  <c:v>52000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8-4A67-80D0-C88AE9EC2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821616"/>
        <c:axId val="1"/>
      </c:lineChart>
      <c:dateAx>
        <c:axId val="112482161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  <c:max val="20000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482161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677409403444778"/>
          <c:y val="0.93633758332602768"/>
          <c:w val="0.18558871744898894"/>
          <c:h val="5.414196910388595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layout>
        <c:manualLayout>
          <c:xMode val="edge"/>
          <c:yMode val="edge"/>
          <c:x val="0.43515504509586278"/>
          <c:y val="3.44838190474130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1864509758545068E-2"/>
          <c:y val="0.10057780555495467"/>
          <c:w val="0.94696341791863903"/>
          <c:h val="0.66381351666270083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DAILY!$AJ$2:$AJ$32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DAILY!$AK$2:$AK$32</c:f>
              <c:numCache>
                <c:formatCode>_(* #,##0_);_(* \(#,##0\);_(* "-"??_);_(@_)</c:formatCode>
                <c:ptCount val="31"/>
                <c:pt idx="0">
                  <c:v>199681</c:v>
                </c:pt>
                <c:pt idx="1">
                  <c:v>194490</c:v>
                </c:pt>
                <c:pt idx="2">
                  <c:v>194490</c:v>
                </c:pt>
                <c:pt idx="3">
                  <c:v>198035</c:v>
                </c:pt>
                <c:pt idx="4">
                  <c:v>201435</c:v>
                </c:pt>
                <c:pt idx="5">
                  <c:v>201435</c:v>
                </c:pt>
                <c:pt idx="6">
                  <c:v>201435</c:v>
                </c:pt>
                <c:pt idx="7">
                  <c:v>198400</c:v>
                </c:pt>
                <c:pt idx="8">
                  <c:v>195640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72-4C9F-A7C9-6CAECD093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822544"/>
        <c:axId val="1"/>
      </c:lineChart>
      <c:catAx>
        <c:axId val="1124822544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00000"/>
          <c:min val="100000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4822544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5227018676127151"/>
          <c:y val="0.93106311428015176"/>
          <c:w val="4.3043791723574504E-2"/>
          <c:h val="6.0346683332972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layout>
        <c:manualLayout>
          <c:xMode val="edge"/>
          <c:yMode val="edge"/>
          <c:x val="0.33044521775775759"/>
          <c:y val="3.21554388891614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35112139718662"/>
          <c:y val="0.1157595800009813"/>
          <c:w val="0.85799810926575659"/>
          <c:h val="0.588444531671655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DAILY!$Z$2:$Z$32</c:f>
              <c:numCache>
                <c:formatCode>0</c:formatCode>
                <c:ptCount val="31"/>
                <c:pt idx="0">
                  <c:v>252500.4192</c:v>
                </c:pt>
                <c:pt idx="1">
                  <c:v>203500.4192</c:v>
                </c:pt>
                <c:pt idx="2">
                  <c:v>216300.4192</c:v>
                </c:pt>
                <c:pt idx="3">
                  <c:v>222944.4192</c:v>
                </c:pt>
                <c:pt idx="4">
                  <c:v>235188.4192</c:v>
                </c:pt>
                <c:pt idx="5">
                  <c:v>230388.4192</c:v>
                </c:pt>
                <c:pt idx="6">
                  <c:v>206748.4192</c:v>
                </c:pt>
                <c:pt idx="7">
                  <c:v>185368.4192</c:v>
                </c:pt>
                <c:pt idx="8">
                  <c:v>185368.4192</c:v>
                </c:pt>
                <c:pt idx="9">
                  <c:v>195368.4192</c:v>
                </c:pt>
                <c:pt idx="10">
                  <c:v>176368.4192</c:v>
                </c:pt>
                <c:pt idx="11">
                  <c:v>162368.4192</c:v>
                </c:pt>
                <c:pt idx="12">
                  <c:v>135368.4192</c:v>
                </c:pt>
                <c:pt idx="13">
                  <c:v>83368.419200000004</c:v>
                </c:pt>
                <c:pt idx="14">
                  <c:v>83368.419200000004</c:v>
                </c:pt>
                <c:pt idx="15">
                  <c:v>83368.419200000004</c:v>
                </c:pt>
                <c:pt idx="16">
                  <c:v>83368.419200000004</c:v>
                </c:pt>
                <c:pt idx="17">
                  <c:v>83368.419200000004</c:v>
                </c:pt>
                <c:pt idx="18">
                  <c:v>83368.419200000004</c:v>
                </c:pt>
                <c:pt idx="19">
                  <c:v>83368.419200000004</c:v>
                </c:pt>
                <c:pt idx="20">
                  <c:v>83368.419200000004</c:v>
                </c:pt>
                <c:pt idx="21">
                  <c:v>83368.419200000004</c:v>
                </c:pt>
                <c:pt idx="22">
                  <c:v>83368.419200000004</c:v>
                </c:pt>
                <c:pt idx="23">
                  <c:v>83368.419200000004</c:v>
                </c:pt>
                <c:pt idx="24">
                  <c:v>83368.419200000004</c:v>
                </c:pt>
                <c:pt idx="25">
                  <c:v>83368.419200000004</c:v>
                </c:pt>
                <c:pt idx="26">
                  <c:v>83368.419200000004</c:v>
                </c:pt>
                <c:pt idx="27">
                  <c:v>83368.419200000004</c:v>
                </c:pt>
                <c:pt idx="28">
                  <c:v>83368.419200000004</c:v>
                </c:pt>
                <c:pt idx="29">
                  <c:v>83368.419200000004</c:v>
                </c:pt>
                <c:pt idx="30">
                  <c:v>83368.419200000004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1C6-4F55-A11E-86CF01951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1414016"/>
        <c:axId val="1"/>
      </c:lineChart>
      <c:catAx>
        <c:axId val="10314140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1414016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031575987232808"/>
          <c:y val="0.93250772778568269"/>
          <c:w val="0.12319229609390087"/>
          <c:h val="5.7879790000490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layout>
        <c:manualLayout>
          <c:xMode val="edge"/>
          <c:yMode val="edge"/>
          <c:x val="0.40215373369963081"/>
          <c:y val="1.58735295137782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56621708240985"/>
          <c:y val="9.2066471179913623E-2"/>
          <c:w val="0.85323872016879854"/>
          <c:h val="0.61906765103735029"/>
        </c:manualLayout>
      </c:layout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DAILY!$AB$2:$AB$32</c:f>
              <c:numCache>
                <c:formatCode>_(* #,##0_);_(* \(#,##0\);_(* "-"??_);_(@_)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1FF-4ADF-B23F-9FDB20413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1414944"/>
        <c:axId val="1"/>
      </c:lineChart>
      <c:catAx>
        <c:axId val="10314149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141494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993715974595111"/>
          <c:y val="0.93336353541015882"/>
          <c:w val="0.10244981048621774"/>
          <c:h val="5.71447062496015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layout>
        <c:manualLayout>
          <c:xMode val="edge"/>
          <c:yMode val="edge"/>
          <c:x val="0.45284481739858756"/>
          <c:y val="1.577340416389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69694738174345E-2"/>
          <c:y val="9.1485744150583637E-2"/>
          <c:w val="0.86504971528704544"/>
          <c:h val="0.61831744322463422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DAILY!$AD$2:$AD$32</c:f>
              <c:numCache>
                <c:formatCode>_(* #,##0_);_(* \(#,##0\);_(* "-"??_);_(@_)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43C-459A-878C-E0D7C9D4C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1417728"/>
        <c:axId val="1"/>
      </c:lineChart>
      <c:catAx>
        <c:axId val="10314177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141772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424981589938339"/>
          <c:y val="0.9369402073352876"/>
          <c:w val="0.13498258980150207"/>
          <c:h val="5.047489332445993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0F4-4405-9575-9A2B3CE34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8975680"/>
        <c:axId val="1"/>
      </c:lineChart>
      <c:catAx>
        <c:axId val="1118975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18975680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2AA-4641-9CA6-3D92DF12E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8982640"/>
        <c:axId val="1"/>
      </c:lineChart>
      <c:catAx>
        <c:axId val="1118982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1898264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4D7-4518-A6B3-6F27C93FD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2556016"/>
        <c:axId val="1"/>
      </c:lineChart>
      <c:catAx>
        <c:axId val="1122556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255601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81-44D5-BA9B-4D6160B4CC53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81-44D5-BA9B-4D6160B4C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2554160"/>
        <c:axId val="1"/>
      </c:lineChart>
      <c:catAx>
        <c:axId val="112255416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2554160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FB-4C65-9DE4-8B19FCBC1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2549520"/>
        <c:axId val="1"/>
      </c:lineChart>
      <c:dateAx>
        <c:axId val="112254952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254952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BB-47B9-882E-A52BF2F22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2550912"/>
        <c:axId val="1"/>
      </c:lineChart>
      <c:catAx>
        <c:axId val="112255091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2550912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52" name="Text Box 4">
          <a:extLst>
            <a:ext uri="{FF2B5EF4-FFF2-40B4-BE49-F238E27FC236}">
              <a16:creationId xmlns:a16="http://schemas.microsoft.com/office/drawing/2014/main" id="{C47A8675-72A3-BE77-BE43-613943B483E5}"/>
            </a:ext>
          </a:extLst>
        </xdr:cNvPr>
        <xdr:cNvSpPr txBox="1">
          <a:spLocks noChangeArrowheads="1"/>
        </xdr:cNvSpPr>
      </xdr:nvSpPr>
      <xdr:spPr bwMode="auto">
        <a:xfrm>
          <a:off x="3143250" y="5324475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53" name="Text Box 5">
          <a:extLst>
            <a:ext uri="{FF2B5EF4-FFF2-40B4-BE49-F238E27FC236}">
              <a16:creationId xmlns:a16="http://schemas.microsoft.com/office/drawing/2014/main" id="{B30ED4CB-A6C2-0808-80C0-3725E1D7B9D3}"/>
            </a:ext>
          </a:extLst>
        </xdr:cNvPr>
        <xdr:cNvSpPr txBox="1">
          <a:spLocks noChangeArrowheads="1"/>
        </xdr:cNvSpPr>
      </xdr:nvSpPr>
      <xdr:spPr bwMode="auto">
        <a:xfrm>
          <a:off x="9753600" y="5324475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41</xdr:row>
      <xdr:rowOff>0</xdr:rowOff>
    </xdr:from>
    <xdr:to>
      <xdr:col>0</xdr:col>
      <xdr:colOff>0</xdr:colOff>
      <xdr:row>58</xdr:row>
      <xdr:rowOff>95250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991226BF-6D82-5617-FEC5-BD091F60B3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219075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7C617176-A588-46F1-4C89-A2AC651EC4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59</xdr:row>
      <xdr:rowOff>28575</xdr:rowOff>
    </xdr:from>
    <xdr:to>
      <xdr:col>0</xdr:col>
      <xdr:colOff>0</xdr:colOff>
      <xdr:row>76</xdr:row>
      <xdr:rowOff>47625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05FABA75-173C-1717-0937-38715CA9A4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219075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56A5996C-0DB4-030E-22C9-6C9B14D251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38100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C715742A-6034-7FB8-43EE-5D281E3FD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28575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2186C7D1-7D7A-C59E-6985-1D872D6687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0</xdr:col>
      <xdr:colOff>0</xdr:colOff>
      <xdr:row>58</xdr:row>
      <xdr:rowOff>95250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D072589B-04BE-2791-901F-83A13CF8BA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219075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DB5C5380-F8E0-C02C-306F-831E310361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59</xdr:row>
      <xdr:rowOff>28575</xdr:rowOff>
    </xdr:from>
    <xdr:to>
      <xdr:col>0</xdr:col>
      <xdr:colOff>0</xdr:colOff>
      <xdr:row>76</xdr:row>
      <xdr:rowOff>47625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AB824E9C-3334-D209-F52A-22849D180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219075</xdr:rowOff>
    </xdr:to>
    <xdr:graphicFrame macro="">
      <xdr:nvGraphicFramePr>
        <xdr:cNvPr id="1034" name="Chart 10">
          <a:extLst>
            <a:ext uri="{FF2B5EF4-FFF2-40B4-BE49-F238E27FC236}">
              <a16:creationId xmlns:a16="http://schemas.microsoft.com/office/drawing/2014/main" id="{DA4B4C87-9E2F-2CDC-00AF-022B9B6601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38100</xdr:rowOff>
    </xdr:to>
    <xdr:graphicFrame macro="">
      <xdr:nvGraphicFramePr>
        <xdr:cNvPr id="1035" name="Chart 11">
          <a:extLst>
            <a:ext uri="{FF2B5EF4-FFF2-40B4-BE49-F238E27FC236}">
              <a16:creationId xmlns:a16="http://schemas.microsoft.com/office/drawing/2014/main" id="{A3BBEF1E-156D-3C5B-1A77-86EDF2AAD4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28575</xdr:rowOff>
    </xdr:to>
    <xdr:graphicFrame macro="">
      <xdr:nvGraphicFramePr>
        <xdr:cNvPr id="1036" name="Chart 12">
          <a:extLst>
            <a:ext uri="{FF2B5EF4-FFF2-40B4-BE49-F238E27FC236}">
              <a16:creationId xmlns:a16="http://schemas.microsoft.com/office/drawing/2014/main" id="{6F0E3253-7DAA-DF17-712F-7E1DEE9D1A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0</xdr:col>
      <xdr:colOff>0</xdr:colOff>
      <xdr:row>58</xdr:row>
      <xdr:rowOff>95250</xdr:rowOff>
    </xdr:to>
    <xdr:graphicFrame macro="">
      <xdr:nvGraphicFramePr>
        <xdr:cNvPr id="1037" name="Chart 13">
          <a:extLst>
            <a:ext uri="{FF2B5EF4-FFF2-40B4-BE49-F238E27FC236}">
              <a16:creationId xmlns:a16="http://schemas.microsoft.com/office/drawing/2014/main" id="{07C1E4A0-A58E-D82F-20B5-2A330A6B83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219075</xdr:rowOff>
    </xdr:to>
    <xdr:graphicFrame macro="">
      <xdr:nvGraphicFramePr>
        <xdr:cNvPr id="1038" name="Chart 14">
          <a:extLst>
            <a:ext uri="{FF2B5EF4-FFF2-40B4-BE49-F238E27FC236}">
              <a16:creationId xmlns:a16="http://schemas.microsoft.com/office/drawing/2014/main" id="{E4F05592-6DED-64FD-A41F-E556DA89A6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59</xdr:row>
      <xdr:rowOff>28575</xdr:rowOff>
    </xdr:from>
    <xdr:to>
      <xdr:col>0</xdr:col>
      <xdr:colOff>0</xdr:colOff>
      <xdr:row>76</xdr:row>
      <xdr:rowOff>47625</xdr:rowOff>
    </xdr:to>
    <xdr:graphicFrame macro="">
      <xdr:nvGraphicFramePr>
        <xdr:cNvPr id="1039" name="Chart 15">
          <a:extLst>
            <a:ext uri="{FF2B5EF4-FFF2-40B4-BE49-F238E27FC236}">
              <a16:creationId xmlns:a16="http://schemas.microsoft.com/office/drawing/2014/main" id="{B6EA0978-717B-865A-5B65-C50AF3D35C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219075</xdr:rowOff>
    </xdr:to>
    <xdr:graphicFrame macro="">
      <xdr:nvGraphicFramePr>
        <xdr:cNvPr id="1040" name="Chart 16">
          <a:extLst>
            <a:ext uri="{FF2B5EF4-FFF2-40B4-BE49-F238E27FC236}">
              <a16:creationId xmlns:a16="http://schemas.microsoft.com/office/drawing/2014/main" id="{8D86B5CA-6374-5CE3-3573-E9A82ECFB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38100</xdr:rowOff>
    </xdr:to>
    <xdr:graphicFrame macro="">
      <xdr:nvGraphicFramePr>
        <xdr:cNvPr id="1041" name="Chart 17">
          <a:extLst>
            <a:ext uri="{FF2B5EF4-FFF2-40B4-BE49-F238E27FC236}">
              <a16:creationId xmlns:a16="http://schemas.microsoft.com/office/drawing/2014/main" id="{FB52ECD8-36F0-5897-9106-3EFA4CEAD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28575</xdr:rowOff>
    </xdr:to>
    <xdr:graphicFrame macro="">
      <xdr:nvGraphicFramePr>
        <xdr:cNvPr id="1042" name="Chart 18">
          <a:extLst>
            <a:ext uri="{FF2B5EF4-FFF2-40B4-BE49-F238E27FC236}">
              <a16:creationId xmlns:a16="http://schemas.microsoft.com/office/drawing/2014/main" id="{9BE09840-F5C1-4C30-86C0-3EDC2E9E6D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0</xdr:col>
      <xdr:colOff>0</xdr:colOff>
      <xdr:row>58</xdr:row>
      <xdr:rowOff>95250</xdr:rowOff>
    </xdr:to>
    <xdr:graphicFrame macro="">
      <xdr:nvGraphicFramePr>
        <xdr:cNvPr id="1043" name="Chart 19">
          <a:extLst>
            <a:ext uri="{FF2B5EF4-FFF2-40B4-BE49-F238E27FC236}">
              <a16:creationId xmlns:a16="http://schemas.microsoft.com/office/drawing/2014/main" id="{67F096A8-A371-D98E-13F9-4A9B6A3796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219075</xdr:rowOff>
    </xdr:to>
    <xdr:graphicFrame macro="">
      <xdr:nvGraphicFramePr>
        <xdr:cNvPr id="1044" name="Chart 20">
          <a:extLst>
            <a:ext uri="{FF2B5EF4-FFF2-40B4-BE49-F238E27FC236}">
              <a16:creationId xmlns:a16="http://schemas.microsoft.com/office/drawing/2014/main" id="{50B9718A-9D5B-1150-7FEF-857574F93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59</xdr:row>
      <xdr:rowOff>28575</xdr:rowOff>
    </xdr:from>
    <xdr:to>
      <xdr:col>0</xdr:col>
      <xdr:colOff>0</xdr:colOff>
      <xdr:row>76</xdr:row>
      <xdr:rowOff>47625</xdr:rowOff>
    </xdr:to>
    <xdr:graphicFrame macro="">
      <xdr:nvGraphicFramePr>
        <xdr:cNvPr id="1045" name="Chart 21">
          <a:extLst>
            <a:ext uri="{FF2B5EF4-FFF2-40B4-BE49-F238E27FC236}">
              <a16:creationId xmlns:a16="http://schemas.microsoft.com/office/drawing/2014/main" id="{FE1753DC-59FD-9E06-15CB-0217D61973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219075</xdr:rowOff>
    </xdr:to>
    <xdr:graphicFrame macro="">
      <xdr:nvGraphicFramePr>
        <xdr:cNvPr id="1046" name="Chart 22">
          <a:extLst>
            <a:ext uri="{FF2B5EF4-FFF2-40B4-BE49-F238E27FC236}">
              <a16:creationId xmlns:a16="http://schemas.microsoft.com/office/drawing/2014/main" id="{4604231B-90DF-E1AD-4AC4-BDBF33B8E4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38100</xdr:rowOff>
    </xdr:to>
    <xdr:graphicFrame macro="">
      <xdr:nvGraphicFramePr>
        <xdr:cNvPr id="1047" name="Chart 23">
          <a:extLst>
            <a:ext uri="{FF2B5EF4-FFF2-40B4-BE49-F238E27FC236}">
              <a16:creationId xmlns:a16="http://schemas.microsoft.com/office/drawing/2014/main" id="{822CE117-163B-24BD-BAAB-B71CBF5EC7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28575</xdr:rowOff>
    </xdr:to>
    <xdr:graphicFrame macro="">
      <xdr:nvGraphicFramePr>
        <xdr:cNvPr id="1048" name="Chart 24">
          <a:extLst>
            <a:ext uri="{FF2B5EF4-FFF2-40B4-BE49-F238E27FC236}">
              <a16:creationId xmlns:a16="http://schemas.microsoft.com/office/drawing/2014/main" id="{EFCA21AF-1BA2-6762-2C86-3E95FF4DE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0</xdr:col>
      <xdr:colOff>0</xdr:colOff>
      <xdr:row>60</xdr:row>
      <xdr:rowOff>95250</xdr:rowOff>
    </xdr:to>
    <xdr:graphicFrame macro="">
      <xdr:nvGraphicFramePr>
        <xdr:cNvPr id="1049" name="Chart 25">
          <a:extLst>
            <a:ext uri="{FF2B5EF4-FFF2-40B4-BE49-F238E27FC236}">
              <a16:creationId xmlns:a16="http://schemas.microsoft.com/office/drawing/2014/main" id="{376CB445-E2F4-E1BD-A8B1-E29428B50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28</xdr:row>
      <xdr:rowOff>219075</xdr:rowOff>
    </xdr:to>
    <xdr:graphicFrame macro="">
      <xdr:nvGraphicFramePr>
        <xdr:cNvPr id="1050" name="Chart 26">
          <a:extLst>
            <a:ext uri="{FF2B5EF4-FFF2-40B4-BE49-F238E27FC236}">
              <a16:creationId xmlns:a16="http://schemas.microsoft.com/office/drawing/2014/main" id="{F76A8191-43A2-6D44-A501-973A7F189A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61</xdr:row>
      <xdr:rowOff>28575</xdr:rowOff>
    </xdr:from>
    <xdr:to>
      <xdr:col>0</xdr:col>
      <xdr:colOff>0</xdr:colOff>
      <xdr:row>78</xdr:row>
      <xdr:rowOff>47625</xdr:rowOff>
    </xdr:to>
    <xdr:graphicFrame macro="">
      <xdr:nvGraphicFramePr>
        <xdr:cNvPr id="1051" name="Chart 27">
          <a:extLst>
            <a:ext uri="{FF2B5EF4-FFF2-40B4-BE49-F238E27FC236}">
              <a16:creationId xmlns:a16="http://schemas.microsoft.com/office/drawing/2014/main" id="{CF082A33-BD12-D680-3835-1B30CC50F2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28</xdr:row>
      <xdr:rowOff>219075</xdr:rowOff>
    </xdr:to>
    <xdr:graphicFrame macro="">
      <xdr:nvGraphicFramePr>
        <xdr:cNvPr id="1052" name="Chart 28">
          <a:extLst>
            <a:ext uri="{FF2B5EF4-FFF2-40B4-BE49-F238E27FC236}">
              <a16:creationId xmlns:a16="http://schemas.microsoft.com/office/drawing/2014/main" id="{A26D56B8-DBFE-D575-7FEB-C70C19F40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0</xdr:col>
      <xdr:colOff>0</xdr:colOff>
      <xdr:row>42</xdr:row>
      <xdr:rowOff>38100</xdr:rowOff>
    </xdr:to>
    <xdr:graphicFrame macro="">
      <xdr:nvGraphicFramePr>
        <xdr:cNvPr id="1053" name="Chart 29">
          <a:extLst>
            <a:ext uri="{FF2B5EF4-FFF2-40B4-BE49-F238E27FC236}">
              <a16:creationId xmlns:a16="http://schemas.microsoft.com/office/drawing/2014/main" id="{19374DDB-5408-8B8B-EEFD-E218907C05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0</xdr:col>
      <xdr:colOff>0</xdr:colOff>
      <xdr:row>42</xdr:row>
      <xdr:rowOff>28575</xdr:rowOff>
    </xdr:to>
    <xdr:graphicFrame macro="">
      <xdr:nvGraphicFramePr>
        <xdr:cNvPr id="1054" name="Chart 30">
          <a:extLst>
            <a:ext uri="{FF2B5EF4-FFF2-40B4-BE49-F238E27FC236}">
              <a16:creationId xmlns:a16="http://schemas.microsoft.com/office/drawing/2014/main" id="{68640142-94BF-B742-733E-9D0DDDFAA9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</xdr:col>
      <xdr:colOff>0</xdr:colOff>
      <xdr:row>45</xdr:row>
      <xdr:rowOff>19050</xdr:rowOff>
    </xdr:from>
    <xdr:to>
      <xdr:col>21</xdr:col>
      <xdr:colOff>9525</xdr:colOff>
      <xdr:row>65</xdr:row>
      <xdr:rowOff>142875</xdr:rowOff>
    </xdr:to>
    <xdr:graphicFrame macro="">
      <xdr:nvGraphicFramePr>
        <xdr:cNvPr id="1055" name="Chart 31">
          <a:extLst>
            <a:ext uri="{FF2B5EF4-FFF2-40B4-BE49-F238E27FC236}">
              <a16:creationId xmlns:a16="http://schemas.microsoft.com/office/drawing/2014/main" id="{671E0A34-E3AD-1674-EFD7-0EC893FCFA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</xdr:col>
      <xdr:colOff>19050</xdr:colOff>
      <xdr:row>7</xdr:row>
      <xdr:rowOff>19050</xdr:rowOff>
    </xdr:from>
    <xdr:to>
      <xdr:col>13</xdr:col>
      <xdr:colOff>142875</xdr:colOff>
      <xdr:row>25</xdr:row>
      <xdr:rowOff>76200</xdr:rowOff>
    </xdr:to>
    <xdr:graphicFrame macro="">
      <xdr:nvGraphicFramePr>
        <xdr:cNvPr id="1056" name="Chart 32">
          <a:extLst>
            <a:ext uri="{FF2B5EF4-FFF2-40B4-BE49-F238E27FC236}">
              <a16:creationId xmlns:a16="http://schemas.microsoft.com/office/drawing/2014/main" id="{BBB49215-A9D4-6C59-3BB2-D438635238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723900</xdr:colOff>
      <xdr:row>66</xdr:row>
      <xdr:rowOff>114300</xdr:rowOff>
    </xdr:from>
    <xdr:to>
      <xdr:col>20</xdr:col>
      <xdr:colOff>647700</xdr:colOff>
      <xdr:row>87</xdr:row>
      <xdr:rowOff>28575</xdr:rowOff>
    </xdr:to>
    <xdr:graphicFrame macro="">
      <xdr:nvGraphicFramePr>
        <xdr:cNvPr id="1057" name="Chart 33">
          <a:extLst>
            <a:ext uri="{FF2B5EF4-FFF2-40B4-BE49-F238E27FC236}">
              <a16:creationId xmlns:a16="http://schemas.microsoft.com/office/drawing/2014/main" id="{DAE7EB62-C306-2E5B-4846-5E552C2EE8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13</xdr:col>
      <xdr:colOff>276225</xdr:colOff>
      <xdr:row>7</xdr:row>
      <xdr:rowOff>19050</xdr:rowOff>
    </xdr:from>
    <xdr:to>
      <xdr:col>21</xdr:col>
      <xdr:colOff>9525</xdr:colOff>
      <xdr:row>25</xdr:row>
      <xdr:rowOff>47625</xdr:rowOff>
    </xdr:to>
    <xdr:graphicFrame macro="">
      <xdr:nvGraphicFramePr>
        <xdr:cNvPr id="1058" name="Chart 34">
          <a:extLst>
            <a:ext uri="{FF2B5EF4-FFF2-40B4-BE49-F238E27FC236}">
              <a16:creationId xmlns:a16="http://schemas.microsoft.com/office/drawing/2014/main" id="{C4AD06E7-4940-E84C-B90F-E8B52CAF9B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</xdr:col>
      <xdr:colOff>0</xdr:colOff>
      <xdr:row>25</xdr:row>
      <xdr:rowOff>104775</xdr:rowOff>
    </xdr:from>
    <xdr:to>
      <xdr:col>13</xdr:col>
      <xdr:colOff>142875</xdr:colOff>
      <xdr:row>43</xdr:row>
      <xdr:rowOff>152400</xdr:rowOff>
    </xdr:to>
    <xdr:graphicFrame macro="">
      <xdr:nvGraphicFramePr>
        <xdr:cNvPr id="1059" name="Chart 35">
          <a:extLst>
            <a:ext uri="{FF2B5EF4-FFF2-40B4-BE49-F238E27FC236}">
              <a16:creationId xmlns:a16="http://schemas.microsoft.com/office/drawing/2014/main" id="{B8586F63-7546-B54D-5FFD-C12392B4F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13</xdr:col>
      <xdr:colOff>304800</xdr:colOff>
      <xdr:row>25</xdr:row>
      <xdr:rowOff>76200</xdr:rowOff>
    </xdr:from>
    <xdr:to>
      <xdr:col>21</xdr:col>
      <xdr:colOff>28575</xdr:colOff>
      <xdr:row>43</xdr:row>
      <xdr:rowOff>142875</xdr:rowOff>
    </xdr:to>
    <xdr:graphicFrame macro="">
      <xdr:nvGraphicFramePr>
        <xdr:cNvPr id="1060" name="Chart 36">
          <a:extLst>
            <a:ext uri="{FF2B5EF4-FFF2-40B4-BE49-F238E27FC236}">
              <a16:creationId xmlns:a16="http://schemas.microsoft.com/office/drawing/2014/main" id="{D6F8BBEA-F28A-7881-AF00-A8C1AF0A3C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1061" name="Text Box 37">
          <a:extLst>
            <a:ext uri="{FF2B5EF4-FFF2-40B4-BE49-F238E27FC236}">
              <a16:creationId xmlns:a16="http://schemas.microsoft.com/office/drawing/2014/main" id="{07680F2F-C3E2-DAC8-885F-F828AB0ED597}"/>
            </a:ext>
          </a:extLst>
        </xdr:cNvPr>
        <xdr:cNvSpPr txBox="1">
          <a:spLocks noChangeArrowheads="1"/>
        </xdr:cNvSpPr>
      </xdr:nvSpPr>
      <xdr:spPr bwMode="auto">
        <a:xfrm>
          <a:off x="3143250" y="5476875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NATTS\ARUBA\Alcatraz\quot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3"/>
      <sheetName val="eolquote"/>
      <sheetName val="gas supply deal"/>
      <sheetName val="WKEND SENDOUT"/>
      <sheetName val="Sheet2"/>
      <sheetName val="nng ventura"/>
      <sheetName val="SENDOUT"/>
      <sheetName val="ngpl dss deal"/>
      <sheetName val="gage (sept)"/>
      <sheetName val="ANR"/>
      <sheetName val="Cary"/>
      <sheetName val="Richie"/>
      <sheetName val="CHICAGO PRICES"/>
      <sheetName val="gage ga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B2">
            <v>36770</v>
          </cell>
          <cell r="AC2">
            <v>66453</v>
          </cell>
          <cell r="AD2">
            <v>190431</v>
          </cell>
          <cell r="AE2">
            <v>70212</v>
          </cell>
          <cell r="AF2">
            <v>-66665</v>
          </cell>
          <cell r="AH2">
            <v>36770</v>
          </cell>
          <cell r="AI2">
            <v>271986</v>
          </cell>
          <cell r="AJ2">
            <v>271986</v>
          </cell>
          <cell r="AL2">
            <v>36770</v>
          </cell>
          <cell r="AM2">
            <v>145517</v>
          </cell>
        </row>
        <row r="3">
          <cell r="AB3">
            <v>36771</v>
          </cell>
          <cell r="AC3">
            <v>21735</v>
          </cell>
          <cell r="AD3">
            <v>188696</v>
          </cell>
          <cell r="AE3">
            <v>10</v>
          </cell>
          <cell r="AF3">
            <v>-51703</v>
          </cell>
          <cell r="AH3">
            <v>36771</v>
          </cell>
          <cell r="AI3">
            <v>215041</v>
          </cell>
          <cell r="AJ3">
            <v>215041</v>
          </cell>
          <cell r="AL3">
            <v>36771</v>
          </cell>
          <cell r="AM3">
            <v>175311</v>
          </cell>
        </row>
        <row r="4">
          <cell r="AB4">
            <v>36772</v>
          </cell>
          <cell r="AC4">
            <v>0</v>
          </cell>
          <cell r="AD4">
            <v>208354</v>
          </cell>
          <cell r="AE4">
            <v>10</v>
          </cell>
          <cell r="AF4">
            <v>-26758</v>
          </cell>
          <cell r="AH4">
            <v>36772</v>
          </cell>
          <cell r="AI4">
            <v>190000</v>
          </cell>
          <cell r="AJ4">
            <v>190000</v>
          </cell>
          <cell r="AL4">
            <v>36772</v>
          </cell>
          <cell r="AM4">
            <v>169521</v>
          </cell>
        </row>
        <row r="5">
          <cell r="AB5">
            <v>36773</v>
          </cell>
          <cell r="AC5">
            <v>0</v>
          </cell>
          <cell r="AD5">
            <v>228012</v>
          </cell>
          <cell r="AE5">
            <v>10</v>
          </cell>
          <cell r="AF5">
            <v>-6768</v>
          </cell>
          <cell r="AH5">
            <v>36773</v>
          </cell>
          <cell r="AI5">
            <v>223000</v>
          </cell>
          <cell r="AJ5">
            <v>223000</v>
          </cell>
          <cell r="AL5">
            <v>36773</v>
          </cell>
          <cell r="AM5">
            <v>175636</v>
          </cell>
        </row>
        <row r="6">
          <cell r="AB6">
            <v>36774</v>
          </cell>
          <cell r="AC6">
            <v>0</v>
          </cell>
          <cell r="AD6">
            <v>247670</v>
          </cell>
          <cell r="AE6">
            <v>10</v>
          </cell>
          <cell r="AF6">
            <v>-6778</v>
          </cell>
          <cell r="AH6">
            <v>36774</v>
          </cell>
          <cell r="AI6">
            <v>253395</v>
          </cell>
          <cell r="AJ6">
            <v>253395</v>
          </cell>
          <cell r="AL6">
            <v>36774</v>
          </cell>
          <cell r="AM6">
            <v>174951</v>
          </cell>
        </row>
        <row r="7">
          <cell r="AB7">
            <v>36775</v>
          </cell>
          <cell r="AC7">
            <v>0</v>
          </cell>
          <cell r="AD7">
            <v>267328</v>
          </cell>
          <cell r="AE7">
            <v>10</v>
          </cell>
          <cell r="AF7">
            <v>-6788</v>
          </cell>
          <cell r="AH7">
            <v>36775</v>
          </cell>
          <cell r="AI7">
            <v>253852</v>
          </cell>
          <cell r="AJ7">
            <v>253852</v>
          </cell>
          <cell r="AL7">
            <v>36775</v>
          </cell>
          <cell r="AM7">
            <v>151882</v>
          </cell>
        </row>
        <row r="8">
          <cell r="AB8">
            <v>36776</v>
          </cell>
          <cell r="AC8">
            <v>60449</v>
          </cell>
          <cell r="AD8">
            <v>226879</v>
          </cell>
          <cell r="AE8">
            <v>10</v>
          </cell>
          <cell r="AF8">
            <v>-6798</v>
          </cell>
          <cell r="AH8">
            <v>36776</v>
          </cell>
          <cell r="AI8">
            <v>252690</v>
          </cell>
          <cell r="AJ8">
            <v>252690</v>
          </cell>
          <cell r="AL8">
            <v>36776</v>
          </cell>
          <cell r="AM8">
            <v>149644</v>
          </cell>
        </row>
        <row r="9">
          <cell r="AB9">
            <v>36777</v>
          </cell>
          <cell r="AC9">
            <v>59968</v>
          </cell>
          <cell r="AD9">
            <v>166911</v>
          </cell>
          <cell r="AE9">
            <v>10</v>
          </cell>
          <cell r="AF9">
            <v>-6808</v>
          </cell>
          <cell r="AH9">
            <v>36777</v>
          </cell>
          <cell r="AI9">
            <v>234709</v>
          </cell>
          <cell r="AJ9">
            <v>234709</v>
          </cell>
          <cell r="AL9">
            <v>36777</v>
          </cell>
          <cell r="AM9">
            <v>141843</v>
          </cell>
        </row>
        <row r="10">
          <cell r="AB10">
            <v>36778</v>
          </cell>
          <cell r="AC10">
            <v>26249</v>
          </cell>
          <cell r="AD10">
            <v>190255.8579</v>
          </cell>
          <cell r="AE10">
            <v>10</v>
          </cell>
          <cell r="AF10">
            <v>-4568</v>
          </cell>
          <cell r="AH10">
            <v>36778</v>
          </cell>
          <cell r="AI10">
            <v>206740</v>
          </cell>
          <cell r="AJ10">
            <v>206740</v>
          </cell>
          <cell r="AL10">
            <v>36778</v>
          </cell>
          <cell r="AM10">
            <v>152372</v>
          </cell>
        </row>
        <row r="11">
          <cell r="AB11">
            <v>36779</v>
          </cell>
          <cell r="AC11">
            <v>3220</v>
          </cell>
          <cell r="AD11">
            <v>236235.91990000001</v>
          </cell>
          <cell r="AE11">
            <v>10</v>
          </cell>
          <cell r="AF11">
            <v>-2328</v>
          </cell>
          <cell r="AH11">
            <v>36779</v>
          </cell>
          <cell r="AI11">
            <v>219834</v>
          </cell>
          <cell r="AJ11">
            <v>219834</v>
          </cell>
          <cell r="AL11">
            <v>36779</v>
          </cell>
          <cell r="AM11">
            <v>152322</v>
          </cell>
        </row>
        <row r="12">
          <cell r="AB12">
            <v>36780</v>
          </cell>
          <cell r="AC12">
            <v>33982</v>
          </cell>
          <cell r="AD12">
            <v>251980.01209999999</v>
          </cell>
          <cell r="AE12">
            <v>17041</v>
          </cell>
          <cell r="AF12">
            <v>2881</v>
          </cell>
          <cell r="AH12">
            <v>36780</v>
          </cell>
          <cell r="AI12">
            <v>257926</v>
          </cell>
          <cell r="AJ12">
            <v>257926</v>
          </cell>
          <cell r="AL12">
            <v>36780</v>
          </cell>
          <cell r="AM12">
            <v>151972</v>
          </cell>
        </row>
        <row r="13">
          <cell r="AB13">
            <v>36781</v>
          </cell>
          <cell r="AC13">
            <v>24286</v>
          </cell>
          <cell r="AD13">
            <v>277254.3027</v>
          </cell>
          <cell r="AE13">
            <v>10</v>
          </cell>
          <cell r="AF13">
            <v>2871</v>
          </cell>
          <cell r="AH13">
            <v>36781</v>
          </cell>
          <cell r="AI13">
            <v>251589</v>
          </cell>
          <cell r="AJ13">
            <v>251589</v>
          </cell>
          <cell r="AL13">
            <v>36781</v>
          </cell>
          <cell r="AM13">
            <v>154619</v>
          </cell>
        </row>
        <row r="14">
          <cell r="AB14">
            <v>36782</v>
          </cell>
          <cell r="AC14">
            <v>28430</v>
          </cell>
          <cell r="AD14">
            <v>298455.45569999999</v>
          </cell>
          <cell r="AE14">
            <v>10</v>
          </cell>
          <cell r="AF14">
            <v>2861</v>
          </cell>
          <cell r="AH14">
            <v>36782</v>
          </cell>
          <cell r="AI14">
            <v>246443</v>
          </cell>
          <cell r="AJ14">
            <v>246443</v>
          </cell>
          <cell r="AL14">
            <v>36782</v>
          </cell>
          <cell r="AM14">
            <v>138783</v>
          </cell>
        </row>
        <row r="15">
          <cell r="AB15">
            <v>36783</v>
          </cell>
          <cell r="AC15">
            <v>21687</v>
          </cell>
          <cell r="AD15">
            <v>276768.45569999999</v>
          </cell>
          <cell r="AE15">
            <v>10</v>
          </cell>
          <cell r="AF15">
            <v>2851</v>
          </cell>
          <cell r="AH15">
            <v>36783</v>
          </cell>
          <cell r="AI15">
            <v>251946</v>
          </cell>
          <cell r="AJ15">
            <v>251946</v>
          </cell>
          <cell r="AL15">
            <v>36783</v>
          </cell>
          <cell r="AM15">
            <v>151157</v>
          </cell>
        </row>
        <row r="16">
          <cell r="AB16">
            <v>36784</v>
          </cell>
          <cell r="AC16">
            <v>0</v>
          </cell>
          <cell r="AD16">
            <v>296426.45569999999</v>
          </cell>
          <cell r="AE16">
            <v>498</v>
          </cell>
          <cell r="AF16">
            <v>2353</v>
          </cell>
          <cell r="AH16">
            <v>36784</v>
          </cell>
          <cell r="AI16">
            <v>271866</v>
          </cell>
          <cell r="AJ16">
            <v>271866</v>
          </cell>
          <cell r="AL16">
            <v>36784</v>
          </cell>
          <cell r="AM16">
            <v>150550</v>
          </cell>
        </row>
        <row r="17">
          <cell r="AB17">
            <v>36785</v>
          </cell>
          <cell r="AC17">
            <v>0</v>
          </cell>
          <cell r="AD17">
            <v>316084.45569999999</v>
          </cell>
          <cell r="AE17">
            <v>10</v>
          </cell>
          <cell r="AF17">
            <v>2343</v>
          </cell>
          <cell r="AH17">
            <v>36785</v>
          </cell>
          <cell r="AI17">
            <v>243751</v>
          </cell>
          <cell r="AJ17">
            <v>243751</v>
          </cell>
          <cell r="AL17">
            <v>36785</v>
          </cell>
          <cell r="AM17">
            <v>147765</v>
          </cell>
        </row>
        <row r="18">
          <cell r="AB18">
            <v>36786</v>
          </cell>
          <cell r="AC18">
            <v>0</v>
          </cell>
          <cell r="AD18">
            <v>335742.45569999999</v>
          </cell>
          <cell r="AE18">
            <v>10</v>
          </cell>
          <cell r="AF18">
            <v>2333</v>
          </cell>
          <cell r="AH18">
            <v>36786</v>
          </cell>
          <cell r="AI18">
            <v>237705</v>
          </cell>
          <cell r="AJ18">
            <v>237705</v>
          </cell>
          <cell r="AL18">
            <v>36786</v>
          </cell>
          <cell r="AM18">
            <v>147792</v>
          </cell>
        </row>
        <row r="19">
          <cell r="AB19">
            <v>36787</v>
          </cell>
          <cell r="AC19">
            <v>81658</v>
          </cell>
          <cell r="AD19">
            <v>274084.45569999999</v>
          </cell>
          <cell r="AE19">
            <v>10</v>
          </cell>
          <cell r="AF19">
            <v>2323</v>
          </cell>
          <cell r="AH19">
            <v>36787</v>
          </cell>
          <cell r="AI19">
            <v>250000</v>
          </cell>
          <cell r="AJ19">
            <v>251462</v>
          </cell>
          <cell r="AL19">
            <v>36787</v>
          </cell>
          <cell r="AM19">
            <v>147092</v>
          </cell>
        </row>
        <row r="20">
          <cell r="AB20">
            <v>36788</v>
          </cell>
          <cell r="AC20">
            <v>38400</v>
          </cell>
          <cell r="AD20">
            <v>255684.45569999999</v>
          </cell>
          <cell r="AE20">
            <v>10</v>
          </cell>
          <cell r="AF20">
            <v>2313</v>
          </cell>
          <cell r="AH20">
            <v>36788</v>
          </cell>
          <cell r="AI20">
            <v>252000</v>
          </cell>
          <cell r="AJ20">
            <v>238627</v>
          </cell>
          <cell r="AL20">
            <v>36788</v>
          </cell>
          <cell r="AM20">
            <v>172170</v>
          </cell>
        </row>
        <row r="21">
          <cell r="AB21">
            <v>36789</v>
          </cell>
          <cell r="AC21">
            <v>0</v>
          </cell>
          <cell r="AD21">
            <v>305684.45569999999</v>
          </cell>
          <cell r="AE21">
            <v>10</v>
          </cell>
          <cell r="AF21">
            <v>2303</v>
          </cell>
          <cell r="AH21">
            <v>36789</v>
          </cell>
          <cell r="AI21">
            <v>258000</v>
          </cell>
          <cell r="AJ21">
            <v>293010</v>
          </cell>
          <cell r="AL21">
            <v>36789</v>
          </cell>
          <cell r="AM21">
            <v>150209</v>
          </cell>
        </row>
        <row r="22">
          <cell r="AB22">
            <v>36790</v>
          </cell>
          <cell r="AC22">
            <v>0</v>
          </cell>
          <cell r="AD22">
            <v>305684.45569999999</v>
          </cell>
          <cell r="AE22">
            <v>10</v>
          </cell>
          <cell r="AF22">
            <v>2293</v>
          </cell>
          <cell r="AH22">
            <v>36790</v>
          </cell>
          <cell r="AI22">
            <v>305000</v>
          </cell>
          <cell r="AJ22">
            <v>297613</v>
          </cell>
          <cell r="AL22">
            <v>36790</v>
          </cell>
          <cell r="AM22">
            <v>157505</v>
          </cell>
        </row>
        <row r="23">
          <cell r="AB23">
            <v>36791</v>
          </cell>
          <cell r="AC23">
            <v>0</v>
          </cell>
          <cell r="AD23">
            <v>305684.45569999999</v>
          </cell>
          <cell r="AE23">
            <v>10</v>
          </cell>
          <cell r="AF23">
            <v>2283</v>
          </cell>
          <cell r="AH23">
            <v>36791</v>
          </cell>
          <cell r="AI23">
            <v>279000</v>
          </cell>
          <cell r="AJ23">
            <v>279524</v>
          </cell>
          <cell r="AL23">
            <v>36791</v>
          </cell>
          <cell r="AM23">
            <v>160398</v>
          </cell>
        </row>
        <row r="24">
          <cell r="AB24">
            <v>36792</v>
          </cell>
          <cell r="AC24">
            <v>0</v>
          </cell>
          <cell r="AD24">
            <v>305684.45569999999</v>
          </cell>
          <cell r="AE24">
            <v>10</v>
          </cell>
          <cell r="AF24">
            <v>2273</v>
          </cell>
          <cell r="AH24">
            <v>36792</v>
          </cell>
          <cell r="AI24">
            <v>250000</v>
          </cell>
          <cell r="AJ24">
            <v>259718</v>
          </cell>
          <cell r="AL24">
            <v>36792</v>
          </cell>
          <cell r="AM24">
            <v>149216</v>
          </cell>
        </row>
        <row r="25">
          <cell r="AB25">
            <v>36793</v>
          </cell>
          <cell r="AC25">
            <v>0</v>
          </cell>
          <cell r="AD25">
            <v>305684.45569999999</v>
          </cell>
          <cell r="AE25">
            <v>10</v>
          </cell>
          <cell r="AF25">
            <v>2263</v>
          </cell>
          <cell r="AH25">
            <v>36793</v>
          </cell>
          <cell r="AI25">
            <v>463000</v>
          </cell>
          <cell r="AJ25">
            <v>361520</v>
          </cell>
          <cell r="AL25">
            <v>36793</v>
          </cell>
          <cell r="AM25">
            <v>149106</v>
          </cell>
        </row>
        <row r="26">
          <cell r="AB26">
            <v>36794</v>
          </cell>
          <cell r="AC26">
            <v>0</v>
          </cell>
          <cell r="AD26">
            <v>305684.45569999999</v>
          </cell>
          <cell r="AE26">
            <v>10</v>
          </cell>
          <cell r="AF26">
            <v>2253</v>
          </cell>
          <cell r="AH26">
            <v>36794</v>
          </cell>
          <cell r="AI26">
            <v>476000</v>
          </cell>
          <cell r="AJ26">
            <v>474825</v>
          </cell>
          <cell r="AL26">
            <v>36794</v>
          </cell>
          <cell r="AM26">
            <v>148256</v>
          </cell>
        </row>
        <row r="27">
          <cell r="AB27">
            <v>36795</v>
          </cell>
          <cell r="AC27">
            <v>0</v>
          </cell>
          <cell r="AD27">
            <v>305684.45569999999</v>
          </cell>
          <cell r="AE27">
            <v>10</v>
          </cell>
          <cell r="AF27">
            <v>2243</v>
          </cell>
          <cell r="AH27">
            <v>36795</v>
          </cell>
          <cell r="AI27">
            <v>376000</v>
          </cell>
          <cell r="AJ27">
            <v>364951</v>
          </cell>
          <cell r="AL27">
            <v>36795</v>
          </cell>
          <cell r="AM27">
            <v>154560</v>
          </cell>
        </row>
        <row r="28">
          <cell r="AB28">
            <v>36796</v>
          </cell>
          <cell r="AC28">
            <v>0</v>
          </cell>
          <cell r="AD28">
            <v>305684.45569999999</v>
          </cell>
          <cell r="AE28">
            <v>10</v>
          </cell>
          <cell r="AF28">
            <v>2233</v>
          </cell>
          <cell r="AH28">
            <v>36796</v>
          </cell>
          <cell r="AI28">
            <v>388000</v>
          </cell>
          <cell r="AJ28">
            <v>365702</v>
          </cell>
          <cell r="AL28">
            <v>36796</v>
          </cell>
          <cell r="AM28">
            <v>148298</v>
          </cell>
        </row>
        <row r="29">
          <cell r="AB29">
            <v>36797</v>
          </cell>
          <cell r="AC29">
            <v>0</v>
          </cell>
          <cell r="AD29">
            <v>305684.45569999999</v>
          </cell>
          <cell r="AE29">
            <v>10</v>
          </cell>
          <cell r="AF29">
            <v>2223</v>
          </cell>
          <cell r="AH29">
            <v>36797</v>
          </cell>
          <cell r="AI29">
            <v>372000</v>
          </cell>
          <cell r="AL29">
            <v>36797</v>
          </cell>
          <cell r="AM29">
            <v>152983</v>
          </cell>
        </row>
        <row r="30">
          <cell r="AB30">
            <v>36798</v>
          </cell>
          <cell r="AC30">
            <v>0</v>
          </cell>
          <cell r="AD30">
            <v>305684.45569999999</v>
          </cell>
          <cell r="AE30">
            <v>10</v>
          </cell>
          <cell r="AF30">
            <v>2213</v>
          </cell>
          <cell r="AH30">
            <v>36798</v>
          </cell>
          <cell r="AI30">
            <v>292000</v>
          </cell>
          <cell r="AL30">
            <v>36798</v>
          </cell>
          <cell r="AM30">
            <v>180458</v>
          </cell>
        </row>
        <row r="31">
          <cell r="AB31">
            <v>36799</v>
          </cell>
          <cell r="AC31">
            <v>0</v>
          </cell>
          <cell r="AD31">
            <v>305684.45569999999</v>
          </cell>
          <cell r="AE31">
            <v>10</v>
          </cell>
          <cell r="AF31">
            <v>2203</v>
          </cell>
          <cell r="AH31">
            <v>36799</v>
          </cell>
          <cell r="AI31">
            <v>233000</v>
          </cell>
          <cell r="AL31">
            <v>36799</v>
          </cell>
          <cell r="AM31">
            <v>180458</v>
          </cell>
        </row>
        <row r="32">
          <cell r="AB32">
            <v>36800</v>
          </cell>
          <cell r="AC32">
            <v>0</v>
          </cell>
          <cell r="AD32">
            <v>305684.45569999999</v>
          </cell>
          <cell r="AE32">
            <v>10</v>
          </cell>
          <cell r="AF32">
            <v>2193</v>
          </cell>
          <cell r="AH32">
            <v>36800</v>
          </cell>
          <cell r="AI32">
            <v>258000</v>
          </cell>
          <cell r="AL32">
            <v>36800</v>
          </cell>
          <cell r="AM32">
            <v>218710</v>
          </cell>
        </row>
        <row r="33">
          <cell r="AH33">
            <v>36801</v>
          </cell>
          <cell r="AI33">
            <v>282000</v>
          </cell>
          <cell r="AL33">
            <v>36801</v>
          </cell>
          <cell r="AM33">
            <v>218240</v>
          </cell>
        </row>
        <row r="34">
          <cell r="AH34">
            <v>36802</v>
          </cell>
          <cell r="AI34">
            <v>266000</v>
          </cell>
          <cell r="AL34">
            <v>36802</v>
          </cell>
          <cell r="AM34">
            <v>218240</v>
          </cell>
        </row>
        <row r="35">
          <cell r="AH35">
            <v>36803</v>
          </cell>
          <cell r="AI35">
            <v>352000</v>
          </cell>
          <cell r="AL35">
            <v>36803</v>
          </cell>
        </row>
        <row r="36">
          <cell r="AH36">
            <v>36804</v>
          </cell>
          <cell r="AI36">
            <v>517000</v>
          </cell>
          <cell r="AL36">
            <v>36804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9"/>
  <sheetViews>
    <sheetView zoomScale="75" workbookViewId="0">
      <selection activeCell="A13" sqref="A13"/>
    </sheetView>
  </sheetViews>
  <sheetFormatPr defaultRowHeight="12.75" x14ac:dyDescent="0.2"/>
  <cols>
    <col min="1" max="1" width="30.42578125" style="44" bestFit="1" customWidth="1"/>
    <col min="2" max="2" width="11" style="44" bestFit="1" customWidth="1"/>
    <col min="3" max="3" width="11" style="2" bestFit="1" customWidth="1"/>
    <col min="4" max="4" width="26.42578125" style="2" bestFit="1" customWidth="1"/>
    <col min="5" max="5" width="11" style="2" bestFit="1" customWidth="1"/>
    <col min="6" max="6" width="9.28515625" style="2" bestFit="1" customWidth="1"/>
    <col min="7" max="7" width="30.42578125" style="2" bestFit="1" customWidth="1"/>
    <col min="8" max="9" width="11" style="2" bestFit="1" customWidth="1"/>
    <col min="10" max="10" width="26.42578125" style="2" bestFit="1" customWidth="1"/>
    <col min="11" max="11" width="9.28515625" style="2" bestFit="1" customWidth="1"/>
    <col min="12" max="12" width="11.140625" style="2" customWidth="1"/>
    <col min="13" max="16384" width="9.140625" style="2"/>
  </cols>
  <sheetData>
    <row r="1" spans="1:12" ht="27.75" customHeight="1" thickBot="1" x14ac:dyDescent="0.25">
      <c r="A1" s="44" t="s">
        <v>0</v>
      </c>
      <c r="B1" s="45">
        <f ca="1">TODAY()</f>
        <v>37022</v>
      </c>
      <c r="G1" s="2" t="s">
        <v>0</v>
      </c>
      <c r="H1" s="3">
        <f ca="1">TODAY()</f>
        <v>37022</v>
      </c>
    </row>
    <row r="2" spans="1:12" ht="13.5" thickBot="1" x14ac:dyDescent="0.25">
      <c r="A2" s="44" t="s">
        <v>12</v>
      </c>
      <c r="B2" s="45">
        <f ca="1">TODAY()+2</f>
        <v>37024</v>
      </c>
      <c r="G2" s="2" t="s">
        <v>12</v>
      </c>
      <c r="H2" s="3">
        <f ca="1">TODAY()+3</f>
        <v>37025</v>
      </c>
    </row>
    <row r="3" spans="1:12" ht="25.5" customHeight="1" thickBot="1" x14ac:dyDescent="0.25">
      <c r="B3" s="46" t="s">
        <v>13</v>
      </c>
      <c r="C3" s="1" t="s">
        <v>14</v>
      </c>
      <c r="D3" s="1" t="s">
        <v>15</v>
      </c>
      <c r="H3" s="1" t="s">
        <v>13</v>
      </c>
      <c r="I3" s="1" t="s">
        <v>14</v>
      </c>
      <c r="J3" s="1" t="s">
        <v>15</v>
      </c>
    </row>
    <row r="4" spans="1:12" ht="13.5" thickBot="1" x14ac:dyDescent="0.25">
      <c r="A4" s="2" t="s">
        <v>16</v>
      </c>
      <c r="B4" s="16">
        <v>74</v>
      </c>
      <c r="C4" s="17">
        <v>52</v>
      </c>
      <c r="D4" s="18">
        <f>AVERAGE(B4,C4)</f>
        <v>63</v>
      </c>
      <c r="G4" s="2" t="s">
        <v>16</v>
      </c>
      <c r="H4" s="16">
        <v>77</v>
      </c>
      <c r="I4" s="17">
        <v>56</v>
      </c>
      <c r="J4" s="18">
        <f>AVERAGE(H4,I4)</f>
        <v>66.5</v>
      </c>
    </row>
    <row r="5" spans="1:12" x14ac:dyDescent="0.2">
      <c r="A5" s="19"/>
      <c r="B5" s="20"/>
      <c r="C5" s="1" t="s">
        <v>18</v>
      </c>
      <c r="D5" s="19"/>
      <c r="E5" s="20"/>
      <c r="F5" s="1" t="s">
        <v>18</v>
      </c>
      <c r="G5" s="19"/>
      <c r="H5" s="20"/>
      <c r="I5" s="1" t="s">
        <v>18</v>
      </c>
      <c r="J5" s="19"/>
      <c r="K5" s="20"/>
      <c r="L5" s="1" t="s">
        <v>18</v>
      </c>
    </row>
    <row r="6" spans="1:12" x14ac:dyDescent="0.2">
      <c r="A6" s="25" t="s">
        <v>21</v>
      </c>
      <c r="B6" s="26">
        <v>-215000</v>
      </c>
      <c r="C6" s="12">
        <v>-233000</v>
      </c>
      <c r="D6" s="25" t="s">
        <v>22</v>
      </c>
      <c r="E6" s="26">
        <v>-36000</v>
      </c>
      <c r="F6" s="12">
        <v>-39000</v>
      </c>
      <c r="G6" s="25" t="s">
        <v>21</v>
      </c>
      <c r="H6" s="26">
        <v>-220000</v>
      </c>
      <c r="I6" s="12">
        <v>-231000</v>
      </c>
      <c r="J6" s="25" t="s">
        <v>22</v>
      </c>
      <c r="K6" s="26">
        <v>-37000</v>
      </c>
      <c r="L6" s="12">
        <v>-41000</v>
      </c>
    </row>
    <row r="7" spans="1:12" x14ac:dyDescent="0.2">
      <c r="A7" s="25" t="s">
        <v>58</v>
      </c>
      <c r="B7" s="26"/>
      <c r="D7" s="25" t="s">
        <v>25</v>
      </c>
      <c r="E7" s="26">
        <v>0</v>
      </c>
      <c r="G7" s="25" t="s">
        <v>58</v>
      </c>
      <c r="H7" s="26"/>
      <c r="J7" s="25" t="s">
        <v>25</v>
      </c>
      <c r="K7" s="26">
        <v>0</v>
      </c>
    </row>
    <row r="8" spans="1:12" x14ac:dyDescent="0.2">
      <c r="A8" s="25" t="s">
        <v>62</v>
      </c>
      <c r="B8" s="26">
        <v>0</v>
      </c>
      <c r="D8" s="25" t="s">
        <v>27</v>
      </c>
      <c r="E8" s="26"/>
      <c r="G8" s="25" t="s">
        <v>62</v>
      </c>
      <c r="H8" s="26">
        <v>0</v>
      </c>
      <c r="J8" s="25" t="s">
        <v>27</v>
      </c>
      <c r="K8" s="26"/>
    </row>
    <row r="9" spans="1:12" x14ac:dyDescent="0.2">
      <c r="A9" s="25" t="s">
        <v>68</v>
      </c>
      <c r="B9" s="26">
        <v>-50000</v>
      </c>
      <c r="D9" s="25" t="s">
        <v>29</v>
      </c>
      <c r="E9" s="26">
        <v>0</v>
      </c>
      <c r="G9" s="25" t="s">
        <v>68</v>
      </c>
      <c r="H9" s="26">
        <v>-50000</v>
      </c>
      <c r="J9" s="25" t="s">
        <v>29</v>
      </c>
      <c r="K9" s="26">
        <v>0</v>
      </c>
    </row>
    <row r="10" spans="1:12" x14ac:dyDescent="0.2">
      <c r="A10" s="42" t="s">
        <v>63</v>
      </c>
      <c r="B10" s="26">
        <v>0</v>
      </c>
      <c r="C10" s="14" t="s">
        <v>17</v>
      </c>
      <c r="D10" s="25" t="s">
        <v>52</v>
      </c>
      <c r="E10" s="26">
        <v>-8340</v>
      </c>
      <c r="G10" s="42" t="s">
        <v>63</v>
      </c>
      <c r="H10" s="26">
        <v>0</v>
      </c>
      <c r="I10" s="14" t="s">
        <v>17</v>
      </c>
      <c r="J10" s="25" t="s">
        <v>52</v>
      </c>
      <c r="K10" s="26">
        <v>-8340</v>
      </c>
    </row>
    <row r="11" spans="1:12" x14ac:dyDescent="0.2">
      <c r="A11" s="25" t="s">
        <v>24</v>
      </c>
      <c r="B11" s="26">
        <v>0</v>
      </c>
      <c r="C11" s="14"/>
      <c r="D11" s="25" t="s">
        <v>31</v>
      </c>
      <c r="E11" s="26">
        <v>-20000</v>
      </c>
      <c r="G11" s="25" t="s">
        <v>24</v>
      </c>
      <c r="H11" s="26">
        <v>0</v>
      </c>
      <c r="I11" s="14"/>
      <c r="J11" s="25" t="s">
        <v>31</v>
      </c>
      <c r="K11" s="26">
        <v>-20000</v>
      </c>
    </row>
    <row r="12" spans="1:12" x14ac:dyDescent="0.2">
      <c r="A12" s="25" t="s">
        <v>29</v>
      </c>
      <c r="B12" s="26">
        <v>-170000</v>
      </c>
      <c r="C12" s="14"/>
      <c r="D12" s="42" t="s">
        <v>55</v>
      </c>
      <c r="E12" s="40">
        <v>0</v>
      </c>
      <c r="G12" s="25" t="s">
        <v>29</v>
      </c>
      <c r="H12" s="26">
        <v>-170000</v>
      </c>
      <c r="I12" s="14"/>
      <c r="J12" s="42" t="s">
        <v>55</v>
      </c>
      <c r="K12" s="40">
        <v>0</v>
      </c>
    </row>
    <row r="13" spans="1:12" ht="13.5" thickBot="1" x14ac:dyDescent="0.25">
      <c r="A13" s="25" t="s">
        <v>61</v>
      </c>
      <c r="B13" s="26">
        <v>0</v>
      </c>
      <c r="C13" s="1"/>
      <c r="D13" s="25" t="s">
        <v>32</v>
      </c>
      <c r="E13" s="26">
        <v>-16254</v>
      </c>
      <c r="G13" s="25" t="s">
        <v>61</v>
      </c>
      <c r="H13" s="26">
        <v>0</v>
      </c>
      <c r="I13" s="1"/>
      <c r="J13" s="25" t="s">
        <v>32</v>
      </c>
      <c r="K13" s="26">
        <v>-15254</v>
      </c>
    </row>
    <row r="14" spans="1:12" ht="13.5" thickBot="1" x14ac:dyDescent="0.25">
      <c r="A14" s="25" t="s">
        <v>19</v>
      </c>
      <c r="B14" s="26">
        <v>-7000</v>
      </c>
      <c r="C14" s="14"/>
      <c r="D14" s="33" t="s">
        <v>33</v>
      </c>
      <c r="E14" s="34">
        <f>SUM(E6:E13)</f>
        <v>-80594</v>
      </c>
      <c r="G14" s="25" t="s">
        <v>19</v>
      </c>
      <c r="H14" s="26">
        <v>-7000</v>
      </c>
      <c r="I14" s="14"/>
      <c r="J14" s="33" t="s">
        <v>33</v>
      </c>
      <c r="K14" s="34">
        <f>SUM(K6:K13)</f>
        <v>-80594</v>
      </c>
    </row>
    <row r="15" spans="1:12" x14ac:dyDescent="0.2">
      <c r="A15" s="25" t="s">
        <v>27</v>
      </c>
      <c r="B15" s="26"/>
      <c r="C15" s="14"/>
      <c r="D15" s="25"/>
      <c r="E15" s="26"/>
      <c r="F15" s="14">
        <f>+E14+E29</f>
        <v>0</v>
      </c>
      <c r="G15" s="25" t="s">
        <v>27</v>
      </c>
      <c r="H15" s="26"/>
      <c r="I15" s="14"/>
      <c r="J15" s="25"/>
      <c r="K15" s="26"/>
      <c r="L15" s="14">
        <f>+K14+K29</f>
        <v>0</v>
      </c>
    </row>
    <row r="16" spans="1:12" x14ac:dyDescent="0.2">
      <c r="A16" s="25" t="s">
        <v>60</v>
      </c>
      <c r="B16" s="26">
        <v>-40000</v>
      </c>
      <c r="C16" s="14"/>
      <c r="D16" s="25" t="s">
        <v>38</v>
      </c>
      <c r="E16" s="26">
        <v>22875</v>
      </c>
      <c r="G16" s="25" t="s">
        <v>60</v>
      </c>
      <c r="H16" s="26">
        <v>-40000</v>
      </c>
      <c r="I16" s="14"/>
      <c r="J16" s="25" t="s">
        <v>38</v>
      </c>
      <c r="K16" s="26">
        <v>22875</v>
      </c>
    </row>
    <row r="17" spans="1:12" x14ac:dyDescent="0.2">
      <c r="A17" s="25" t="s">
        <v>32</v>
      </c>
      <c r="B17" s="40">
        <v>0</v>
      </c>
      <c r="C17" s="14"/>
      <c r="D17" s="25" t="s">
        <v>39</v>
      </c>
      <c r="E17" s="26">
        <v>10000</v>
      </c>
      <c r="G17" s="25" t="s">
        <v>32</v>
      </c>
      <c r="H17" s="40">
        <v>0</v>
      </c>
      <c r="I17" s="14"/>
      <c r="J17" s="25" t="s">
        <v>39</v>
      </c>
      <c r="K17" s="26">
        <v>10000</v>
      </c>
    </row>
    <row r="18" spans="1:12" x14ac:dyDescent="0.2">
      <c r="A18" s="25" t="s">
        <v>34</v>
      </c>
      <c r="B18" s="26">
        <v>0</v>
      </c>
      <c r="D18" s="25" t="s">
        <v>40</v>
      </c>
      <c r="E18" s="26">
        <v>7603</v>
      </c>
      <c r="F18" s="14" t="s">
        <v>17</v>
      </c>
      <c r="G18" s="25" t="s">
        <v>34</v>
      </c>
      <c r="H18" s="26">
        <v>0</v>
      </c>
      <c r="J18" s="25" t="s">
        <v>40</v>
      </c>
      <c r="K18" s="26">
        <v>7603</v>
      </c>
      <c r="L18" s="14" t="s">
        <v>17</v>
      </c>
    </row>
    <row r="19" spans="1:12" x14ac:dyDescent="0.2">
      <c r="A19" s="25" t="s">
        <v>30</v>
      </c>
      <c r="B19" s="26">
        <v>-70000</v>
      </c>
      <c r="C19" s="41"/>
      <c r="D19" s="25" t="s">
        <v>41</v>
      </c>
      <c r="E19" s="26">
        <v>20831</v>
      </c>
      <c r="G19" s="25" t="s">
        <v>30</v>
      </c>
      <c r="H19" s="26">
        <v>-70000</v>
      </c>
      <c r="I19" s="41"/>
      <c r="J19" s="25" t="s">
        <v>41</v>
      </c>
      <c r="K19" s="26">
        <v>20831</v>
      </c>
    </row>
    <row r="20" spans="1:12" x14ac:dyDescent="0.2">
      <c r="A20" s="25" t="s">
        <v>50</v>
      </c>
      <c r="B20" s="26">
        <v>0</v>
      </c>
      <c r="C20" s="14"/>
      <c r="D20" s="25" t="s">
        <v>46</v>
      </c>
      <c r="E20" s="26">
        <v>0</v>
      </c>
      <c r="G20" s="25" t="s">
        <v>50</v>
      </c>
      <c r="H20" s="26">
        <v>0</v>
      </c>
      <c r="I20" s="14"/>
      <c r="J20" s="25" t="s">
        <v>46</v>
      </c>
      <c r="K20" s="26">
        <v>0</v>
      </c>
    </row>
    <row r="21" spans="1:12" x14ac:dyDescent="0.2">
      <c r="A21" s="25" t="s">
        <v>51</v>
      </c>
      <c r="B21" s="26">
        <v>0</v>
      </c>
      <c r="C21" s="14"/>
      <c r="D21" s="25" t="s">
        <v>59</v>
      </c>
      <c r="E21" s="26">
        <v>4340</v>
      </c>
      <c r="G21" s="25" t="s">
        <v>51</v>
      </c>
      <c r="H21" s="26">
        <v>0</v>
      </c>
      <c r="I21" s="14"/>
      <c r="J21" s="25" t="s">
        <v>59</v>
      </c>
      <c r="K21" s="26">
        <v>4340</v>
      </c>
    </row>
    <row r="22" spans="1:12" x14ac:dyDescent="0.2">
      <c r="A22" s="25" t="s">
        <v>35</v>
      </c>
      <c r="B22" s="26">
        <v>-29198</v>
      </c>
      <c r="D22" s="25" t="s">
        <v>69</v>
      </c>
      <c r="E22" s="26">
        <v>6945</v>
      </c>
      <c r="G22" s="25" t="s">
        <v>35</v>
      </c>
      <c r="H22" s="26">
        <v>-29198</v>
      </c>
      <c r="J22" s="25" t="s">
        <v>69</v>
      </c>
      <c r="K22" s="26">
        <v>6945</v>
      </c>
    </row>
    <row r="23" spans="1:12" x14ac:dyDescent="0.2">
      <c r="A23" s="25" t="s">
        <v>29</v>
      </c>
      <c r="B23" s="40">
        <v>0</v>
      </c>
      <c r="C23" s="14" t="s">
        <v>17</v>
      </c>
      <c r="D23" s="25" t="s">
        <v>60</v>
      </c>
      <c r="E23" s="40">
        <v>0</v>
      </c>
      <c r="F23" s="14"/>
      <c r="G23" s="25" t="s">
        <v>29</v>
      </c>
      <c r="H23" s="40">
        <v>0</v>
      </c>
      <c r="I23" s="14" t="s">
        <v>17</v>
      </c>
      <c r="J23" s="25" t="s">
        <v>60</v>
      </c>
      <c r="K23" s="40">
        <v>0</v>
      </c>
      <c r="L23" s="14"/>
    </row>
    <row r="24" spans="1:12" x14ac:dyDescent="0.2">
      <c r="A24" s="25" t="s">
        <v>67</v>
      </c>
      <c r="B24" s="40">
        <v>0</v>
      </c>
      <c r="D24" s="25" t="s">
        <v>32</v>
      </c>
      <c r="E24" s="40">
        <v>0</v>
      </c>
      <c r="G24" s="25" t="s">
        <v>67</v>
      </c>
      <c r="H24" s="40">
        <v>0</v>
      </c>
      <c r="J24" s="25" t="s">
        <v>32</v>
      </c>
      <c r="K24" s="40">
        <v>0</v>
      </c>
    </row>
    <row r="25" spans="1:12" x14ac:dyDescent="0.2">
      <c r="A25" s="25" t="s">
        <v>36</v>
      </c>
      <c r="B25" s="26">
        <v>0</v>
      </c>
      <c r="D25" s="25" t="s">
        <v>29</v>
      </c>
      <c r="E25" s="40">
        <v>8000</v>
      </c>
      <c r="G25" s="25" t="s">
        <v>36</v>
      </c>
      <c r="H25" s="26">
        <v>0</v>
      </c>
      <c r="J25" s="25" t="s">
        <v>29</v>
      </c>
      <c r="K25" s="40">
        <v>8000</v>
      </c>
    </row>
    <row r="26" spans="1:12" x14ac:dyDescent="0.2">
      <c r="A26" s="25" t="s">
        <v>37</v>
      </c>
      <c r="B26" s="26">
        <v>0</v>
      </c>
      <c r="D26" s="25" t="s">
        <v>55</v>
      </c>
      <c r="E26" s="40">
        <v>0</v>
      </c>
      <c r="G26" s="25" t="s">
        <v>37</v>
      </c>
      <c r="H26" s="26">
        <v>0</v>
      </c>
      <c r="J26" s="25" t="s">
        <v>55</v>
      </c>
      <c r="K26" s="40">
        <v>0</v>
      </c>
    </row>
    <row r="27" spans="1:12" ht="13.5" thickBot="1" x14ac:dyDescent="0.25">
      <c r="A27" s="25" t="s">
        <v>66</v>
      </c>
      <c r="B27" s="26">
        <v>-20929</v>
      </c>
      <c r="C27" s="14"/>
      <c r="D27" s="25" t="s">
        <v>57</v>
      </c>
      <c r="E27" s="40">
        <v>0</v>
      </c>
      <c r="G27" s="25" t="s">
        <v>66</v>
      </c>
      <c r="H27" s="26">
        <v>-15929</v>
      </c>
      <c r="I27" s="14"/>
      <c r="J27" s="25" t="s">
        <v>57</v>
      </c>
      <c r="K27" s="40">
        <v>0</v>
      </c>
    </row>
    <row r="28" spans="1:12" ht="13.5" thickBot="1" x14ac:dyDescent="0.25">
      <c r="A28" s="33" t="s">
        <v>33</v>
      </c>
      <c r="B28" s="34">
        <f>SUM(B6:B27)</f>
        <v>-602127</v>
      </c>
      <c r="C28" s="14">
        <f>SUM(B28,B57)</f>
        <v>0</v>
      </c>
      <c r="D28" s="25" t="s">
        <v>42</v>
      </c>
      <c r="E28" s="26">
        <v>0</v>
      </c>
      <c r="G28" s="33" t="s">
        <v>33</v>
      </c>
      <c r="H28" s="34">
        <f>SUM(H6:H27)</f>
        <v>-602127</v>
      </c>
      <c r="I28" s="14">
        <f>SUM(H28,H57)</f>
        <v>0</v>
      </c>
      <c r="J28" s="25" t="s">
        <v>42</v>
      </c>
      <c r="K28" s="26">
        <v>0</v>
      </c>
    </row>
    <row r="29" spans="1:12" ht="13.5" thickBot="1" x14ac:dyDescent="0.25">
      <c r="A29" s="25"/>
      <c r="B29" s="40"/>
      <c r="C29" s="14"/>
      <c r="D29" s="33" t="s">
        <v>43</v>
      </c>
      <c r="E29" s="34">
        <f>SUM(E16:E28)</f>
        <v>80594</v>
      </c>
      <c r="G29" s="25"/>
      <c r="H29" s="40"/>
      <c r="I29" s="14"/>
      <c r="J29" s="33" t="s">
        <v>43</v>
      </c>
      <c r="K29" s="34">
        <f>SUM(K16:K28)</f>
        <v>80594</v>
      </c>
    </row>
    <row r="30" spans="1:12" ht="13.5" thickBot="1" x14ac:dyDescent="0.25">
      <c r="A30" s="25" t="s">
        <v>38</v>
      </c>
      <c r="B30" s="40">
        <v>103081</v>
      </c>
      <c r="C30" s="14"/>
      <c r="D30" s="30"/>
      <c r="E30" s="35"/>
      <c r="F30" s="14"/>
      <c r="G30" s="25" t="s">
        <v>38</v>
      </c>
      <c r="H30" s="40">
        <v>103081</v>
      </c>
      <c r="I30" s="14"/>
      <c r="J30" s="30"/>
      <c r="K30" s="35"/>
      <c r="L30" s="14"/>
    </row>
    <row r="31" spans="1:12" x14ac:dyDescent="0.2">
      <c r="A31" s="25" t="s">
        <v>39</v>
      </c>
      <c r="B31" s="40">
        <v>125000</v>
      </c>
      <c r="C31" s="14"/>
      <c r="E31" s="12"/>
      <c r="G31" s="25" t="s">
        <v>39</v>
      </c>
      <c r="H31" s="40">
        <v>125000</v>
      </c>
      <c r="I31" s="14"/>
      <c r="K31" s="12"/>
    </row>
    <row r="32" spans="1:12" x14ac:dyDescent="0.2">
      <c r="A32" s="25" t="s">
        <v>40</v>
      </c>
      <c r="B32" s="40">
        <v>0</v>
      </c>
      <c r="E32" s="12"/>
      <c r="G32" s="25" t="s">
        <v>40</v>
      </c>
      <c r="H32" s="40">
        <v>0</v>
      </c>
      <c r="K32" s="12"/>
    </row>
    <row r="33" spans="1:11" x14ac:dyDescent="0.2">
      <c r="A33" s="25" t="s">
        <v>41</v>
      </c>
      <c r="B33" s="40">
        <v>176804</v>
      </c>
      <c r="D33" s="52"/>
      <c r="G33" s="25" t="s">
        <v>41</v>
      </c>
      <c r="H33" s="40">
        <v>176804</v>
      </c>
      <c r="J33" s="52"/>
    </row>
    <row r="34" spans="1:11" x14ac:dyDescent="0.2">
      <c r="A34" s="25" t="s">
        <v>73</v>
      </c>
      <c r="B34" s="40">
        <v>29198</v>
      </c>
      <c r="C34" s="14"/>
      <c r="G34" s="25" t="s">
        <v>73</v>
      </c>
      <c r="H34" s="40">
        <v>29198</v>
      </c>
      <c r="I34" s="14"/>
    </row>
    <row r="35" spans="1:11" x14ac:dyDescent="0.2">
      <c r="A35" s="25" t="s">
        <v>65</v>
      </c>
      <c r="B35" s="40">
        <v>0</v>
      </c>
      <c r="G35" s="25" t="s">
        <v>65</v>
      </c>
      <c r="H35" s="40">
        <v>0</v>
      </c>
    </row>
    <row r="36" spans="1:11" x14ac:dyDescent="0.2">
      <c r="A36" s="25" t="s">
        <v>70</v>
      </c>
      <c r="B36" s="40">
        <v>0</v>
      </c>
      <c r="G36" s="25" t="s">
        <v>70</v>
      </c>
      <c r="H36" s="40">
        <v>0</v>
      </c>
    </row>
    <row r="37" spans="1:11" x14ac:dyDescent="0.2">
      <c r="A37" s="25" t="s">
        <v>56</v>
      </c>
      <c r="B37" s="40">
        <v>0</v>
      </c>
      <c r="D37" s="51"/>
      <c r="G37" s="25" t="s">
        <v>56</v>
      </c>
      <c r="H37" s="40">
        <v>0</v>
      </c>
      <c r="J37" s="51"/>
    </row>
    <row r="38" spans="1:11" x14ac:dyDescent="0.2">
      <c r="A38" s="25" t="s">
        <v>57</v>
      </c>
      <c r="B38" s="40">
        <v>20838</v>
      </c>
      <c r="D38" s="50"/>
      <c r="E38" s="14"/>
      <c r="G38" s="25" t="s">
        <v>57</v>
      </c>
      <c r="H38" s="40">
        <v>20838</v>
      </c>
      <c r="J38" s="50"/>
      <c r="K38" s="14"/>
    </row>
    <row r="39" spans="1:11" x14ac:dyDescent="0.2">
      <c r="A39" s="25" t="s">
        <v>19</v>
      </c>
      <c r="B39" s="40">
        <v>0</v>
      </c>
      <c r="G39" s="25" t="s">
        <v>19</v>
      </c>
      <c r="H39" s="40">
        <v>0</v>
      </c>
    </row>
    <row r="40" spans="1:11" x14ac:dyDescent="0.2">
      <c r="A40" s="25" t="s">
        <v>24</v>
      </c>
      <c r="B40" s="48"/>
      <c r="G40" s="25" t="s">
        <v>24</v>
      </c>
      <c r="H40" s="48"/>
    </row>
    <row r="41" spans="1:11" x14ac:dyDescent="0.2">
      <c r="A41" s="25" t="s">
        <v>64</v>
      </c>
      <c r="B41" s="40">
        <v>0</v>
      </c>
      <c r="G41" s="25" t="s">
        <v>64</v>
      </c>
      <c r="H41" s="40">
        <v>0</v>
      </c>
    </row>
    <row r="42" spans="1:11" x14ac:dyDescent="0.2">
      <c r="A42" s="25" t="s">
        <v>29</v>
      </c>
      <c r="B42" s="40">
        <v>54918</v>
      </c>
      <c r="G42" s="25" t="s">
        <v>29</v>
      </c>
      <c r="H42" s="40">
        <v>54918</v>
      </c>
    </row>
    <row r="43" spans="1:11" x14ac:dyDescent="0.2">
      <c r="A43" s="25" t="s">
        <v>44</v>
      </c>
      <c r="B43" s="40">
        <v>13950</v>
      </c>
      <c r="E43" s="12"/>
      <c r="G43" s="25" t="s">
        <v>44</v>
      </c>
      <c r="H43" s="40">
        <v>13950</v>
      </c>
      <c r="K43" s="12"/>
    </row>
    <row r="44" spans="1:11" x14ac:dyDescent="0.2">
      <c r="A44" s="25" t="s">
        <v>45</v>
      </c>
      <c r="B44" s="40">
        <v>1000</v>
      </c>
      <c r="C44" s="14"/>
      <c r="E44" s="12"/>
      <c r="G44" s="25" t="s">
        <v>45</v>
      </c>
      <c r="H44" s="40">
        <v>1000</v>
      </c>
      <c r="I44" s="14"/>
      <c r="K44" s="12"/>
    </row>
    <row r="45" spans="1:11" x14ac:dyDescent="0.2">
      <c r="A45" s="25" t="s">
        <v>46</v>
      </c>
      <c r="B45" s="40"/>
      <c r="E45" s="12"/>
      <c r="G45" s="25" t="s">
        <v>46</v>
      </c>
      <c r="H45" s="40"/>
      <c r="K45" s="12"/>
    </row>
    <row r="46" spans="1:11" x14ac:dyDescent="0.2">
      <c r="A46" s="25" t="s">
        <v>60</v>
      </c>
      <c r="B46" s="40">
        <v>0</v>
      </c>
      <c r="C46" s="14"/>
      <c r="E46" s="12"/>
      <c r="G46" s="25" t="s">
        <v>60</v>
      </c>
      <c r="H46" s="40">
        <v>0</v>
      </c>
      <c r="I46" s="14"/>
      <c r="K46" s="12"/>
    </row>
    <row r="47" spans="1:11" x14ac:dyDescent="0.2">
      <c r="A47" s="25" t="s">
        <v>32</v>
      </c>
      <c r="B47" s="40">
        <v>0</v>
      </c>
      <c r="G47" s="25" t="s">
        <v>32</v>
      </c>
      <c r="H47" s="40">
        <v>0</v>
      </c>
    </row>
    <row r="48" spans="1:11" x14ac:dyDescent="0.2">
      <c r="A48" s="25" t="s">
        <v>34</v>
      </c>
      <c r="B48" s="40">
        <v>0</v>
      </c>
      <c r="E48" s="12"/>
      <c r="G48" s="25" t="s">
        <v>34</v>
      </c>
      <c r="H48" s="40">
        <v>0</v>
      </c>
      <c r="K48" s="12"/>
    </row>
    <row r="49" spans="1:11" x14ac:dyDescent="0.2">
      <c r="A49" s="25" t="s">
        <v>47</v>
      </c>
      <c r="B49" s="40">
        <v>0</v>
      </c>
      <c r="C49" s="14" t="s">
        <v>17</v>
      </c>
      <c r="E49" s="12"/>
      <c r="G49" s="25" t="s">
        <v>47</v>
      </c>
      <c r="H49" s="40">
        <v>0</v>
      </c>
      <c r="I49" s="14" t="s">
        <v>17</v>
      </c>
      <c r="K49" s="12"/>
    </row>
    <row r="50" spans="1:11" x14ac:dyDescent="0.2">
      <c r="A50" s="25" t="s">
        <v>48</v>
      </c>
      <c r="B50" s="40">
        <v>0</v>
      </c>
      <c r="E50" s="12"/>
      <c r="G50" s="25" t="s">
        <v>48</v>
      </c>
      <c r="H50" s="40">
        <v>0</v>
      </c>
      <c r="K50" s="12"/>
    </row>
    <row r="51" spans="1:11" x14ac:dyDescent="0.2">
      <c r="A51" s="25" t="s">
        <v>49</v>
      </c>
      <c r="B51" s="40">
        <v>0</v>
      </c>
      <c r="E51" s="12"/>
      <c r="G51" s="25" t="s">
        <v>49</v>
      </c>
      <c r="H51" s="40">
        <v>0</v>
      </c>
      <c r="K51" s="12"/>
    </row>
    <row r="52" spans="1:11" x14ac:dyDescent="0.2">
      <c r="A52" s="25" t="s">
        <v>35</v>
      </c>
      <c r="B52" s="40">
        <v>0</v>
      </c>
      <c r="C52" s="14"/>
      <c r="E52" s="12"/>
      <c r="G52" s="25" t="s">
        <v>35</v>
      </c>
      <c r="H52" s="40">
        <v>0</v>
      </c>
      <c r="I52" s="14"/>
      <c r="K52" s="12"/>
    </row>
    <row r="53" spans="1:11" x14ac:dyDescent="0.2">
      <c r="A53" s="25" t="s">
        <v>71</v>
      </c>
      <c r="B53" s="40">
        <v>35000</v>
      </c>
      <c r="E53" s="12"/>
      <c r="G53" s="25" t="s">
        <v>71</v>
      </c>
      <c r="H53" s="40">
        <v>35000</v>
      </c>
      <c r="K53" s="12"/>
    </row>
    <row r="54" spans="1:11" x14ac:dyDescent="0.2">
      <c r="A54" s="25" t="s">
        <v>72</v>
      </c>
      <c r="B54" s="40">
        <v>42338</v>
      </c>
      <c r="C54" s="14"/>
      <c r="E54" s="12"/>
      <c r="G54" s="25" t="s">
        <v>72</v>
      </c>
      <c r="H54" s="40">
        <v>42338</v>
      </c>
      <c r="I54" s="14"/>
      <c r="K54" s="12"/>
    </row>
    <row r="55" spans="1:11" x14ac:dyDescent="0.2">
      <c r="A55" s="25" t="s">
        <v>29</v>
      </c>
      <c r="B55" s="40">
        <v>0</v>
      </c>
      <c r="C55" s="14"/>
      <c r="E55" s="12"/>
      <c r="G55" s="25" t="s">
        <v>29</v>
      </c>
      <c r="H55" s="40">
        <v>0</v>
      </c>
      <c r="I55" s="14"/>
      <c r="K55" s="12"/>
    </row>
    <row r="56" spans="1:11" ht="13.5" thickBot="1" x14ac:dyDescent="0.25">
      <c r="A56" s="25" t="s">
        <v>42</v>
      </c>
      <c r="B56" s="40">
        <v>0</v>
      </c>
      <c r="C56" s="14"/>
      <c r="E56" s="12"/>
      <c r="G56" s="25" t="s">
        <v>42</v>
      </c>
      <c r="H56" s="40">
        <v>0</v>
      </c>
      <c r="I56" s="14"/>
      <c r="K56" s="12"/>
    </row>
    <row r="57" spans="1:11" ht="13.5" thickBot="1" x14ac:dyDescent="0.25">
      <c r="A57" s="33" t="s">
        <v>43</v>
      </c>
      <c r="B57" s="34">
        <f>SUM(B30:B56)</f>
        <v>602127</v>
      </c>
      <c r="C57" s="14"/>
      <c r="E57" s="12"/>
      <c r="G57" s="33" t="s">
        <v>43</v>
      </c>
      <c r="H57" s="34">
        <f>SUM(H30:H56)</f>
        <v>602127</v>
      </c>
      <c r="I57" s="14"/>
      <c r="K57" s="12"/>
    </row>
    <row r="58" spans="1:11" ht="13.5" thickBot="1" x14ac:dyDescent="0.25">
      <c r="A58" s="30"/>
      <c r="B58" s="36"/>
      <c r="G58" s="30"/>
      <c r="H58" s="36"/>
    </row>
    <row r="59" spans="1:11" x14ac:dyDescent="0.2">
      <c r="E59" s="12"/>
      <c r="K59" s="12"/>
    </row>
  </sheetData>
  <phoneticPr fontId="0" type="noConversion"/>
  <pageMargins left="0.55000000000000004" right="0.3" top="1" bottom="0.5" header="0.5" footer="0.5"/>
  <pageSetup scale="66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59"/>
  <sheetViews>
    <sheetView tabSelected="1" zoomScale="75" workbookViewId="0"/>
  </sheetViews>
  <sheetFormatPr defaultRowHeight="12.75" x14ac:dyDescent="0.2"/>
  <cols>
    <col min="1" max="1" width="30.42578125" style="2" bestFit="1" customWidth="1"/>
    <col min="2" max="3" width="11" style="2" bestFit="1" customWidth="1"/>
    <col min="4" max="4" width="26.42578125" style="2" bestFit="1" customWidth="1"/>
    <col min="5" max="5" width="10.42578125" style="2" bestFit="1" customWidth="1"/>
    <col min="6" max="6" width="12.140625" style="2" customWidth="1"/>
    <col min="7" max="7" width="12.28515625" style="2" bestFit="1" customWidth="1"/>
    <col min="8" max="8" width="11.5703125" style="2" customWidth="1"/>
    <col min="9" max="9" width="11.85546875" style="2" customWidth="1"/>
    <col min="10" max="10" width="14.5703125" style="2" bestFit="1" customWidth="1"/>
    <col min="11" max="12" width="13.7109375" style="2" customWidth="1"/>
    <col min="13" max="13" width="13.5703125" style="2" customWidth="1"/>
    <col min="14" max="14" width="9.140625" style="2"/>
    <col min="15" max="15" width="19" style="2" customWidth="1"/>
    <col min="16" max="16" width="10.7109375" style="2" bestFit="1" customWidth="1"/>
    <col min="17" max="17" width="11.85546875" style="2" bestFit="1" customWidth="1"/>
    <col min="18" max="18" width="10" style="2" bestFit="1" customWidth="1"/>
    <col min="19" max="19" width="20.7109375" style="2" customWidth="1"/>
    <col min="20" max="20" width="10.7109375" style="2" bestFit="1" customWidth="1"/>
    <col min="21" max="21" width="10.42578125" style="2" bestFit="1" customWidth="1"/>
    <col min="22" max="22" width="3.140625" style="2" customWidth="1"/>
    <col min="23" max="23" width="11.85546875" style="2" bestFit="1" customWidth="1"/>
    <col min="24" max="25" width="10.28515625" style="2" customWidth="1"/>
    <col min="26" max="26" width="9.28515625" style="2" bestFit="1" customWidth="1"/>
    <col min="27" max="27" width="1.7109375" style="2" customWidth="1"/>
    <col min="28" max="30" width="9.28515625" style="2" bestFit="1" customWidth="1"/>
    <col min="31" max="31" width="9.140625" style="2"/>
    <col min="32" max="32" width="13.7109375" style="2" customWidth="1"/>
    <col min="33" max="33" width="17" style="2" customWidth="1"/>
    <col min="34" max="34" width="20.140625" style="2" customWidth="1"/>
    <col min="35" max="35" width="9.140625" style="2"/>
    <col min="36" max="36" width="15.42578125" style="2" customWidth="1"/>
    <col min="37" max="37" width="14.7109375" style="2" customWidth="1"/>
    <col min="38" max="38" width="16.5703125" style="2" customWidth="1"/>
    <col min="39" max="16384" width="9.140625" style="2"/>
  </cols>
  <sheetData>
    <row r="1" spans="1:39" ht="39" thickBot="1" x14ac:dyDescent="0.25">
      <c r="A1" s="2" t="s">
        <v>0</v>
      </c>
      <c r="B1" s="3">
        <f ca="1">TODAY()</f>
        <v>37022</v>
      </c>
      <c r="F1" s="4" t="s">
        <v>1</v>
      </c>
      <c r="G1" s="5">
        <v>215000</v>
      </c>
      <c r="H1" s="6"/>
      <c r="I1" s="7" t="s">
        <v>2</v>
      </c>
      <c r="J1" s="8">
        <v>37000</v>
      </c>
      <c r="O1" s="43" t="s">
        <v>3</v>
      </c>
      <c r="P1" s="11">
        <f ca="1">TODAY()+2</f>
        <v>37024</v>
      </c>
      <c r="Q1" s="12">
        <v>215000</v>
      </c>
      <c r="S1" s="43" t="s">
        <v>4</v>
      </c>
      <c r="T1" s="11">
        <f ca="1">TODAY()+2</f>
        <v>37024</v>
      </c>
      <c r="U1" s="12">
        <v>37000</v>
      </c>
      <c r="X1" s="10" t="s">
        <v>5</v>
      </c>
      <c r="Y1" s="10" t="s">
        <v>53</v>
      </c>
      <c r="Z1" s="10" t="s">
        <v>6</v>
      </c>
      <c r="AA1" s="10"/>
      <c r="AB1" s="10" t="s">
        <v>7</v>
      </c>
      <c r="AC1" s="10" t="s">
        <v>54</v>
      </c>
      <c r="AD1" s="10" t="s">
        <v>8</v>
      </c>
      <c r="AG1" s="10" t="s">
        <v>9</v>
      </c>
      <c r="AH1" s="10" t="s">
        <v>10</v>
      </c>
      <c r="AK1" s="1" t="s">
        <v>11</v>
      </c>
    </row>
    <row r="2" spans="1:39" ht="13.5" thickBot="1" x14ac:dyDescent="0.25">
      <c r="A2" s="2" t="s">
        <v>12</v>
      </c>
      <c r="B2" s="3">
        <f ca="1">TODAY()+1</f>
        <v>37023</v>
      </c>
      <c r="D2" s="14"/>
      <c r="P2" s="11">
        <f ca="1">TODAY()+3</f>
        <v>37025</v>
      </c>
      <c r="Q2" s="12">
        <v>220000</v>
      </c>
      <c r="T2" s="11">
        <f ca="1">TODAY()+3</f>
        <v>37025</v>
      </c>
      <c r="U2" s="12">
        <v>38000</v>
      </c>
      <c r="W2" s="11">
        <v>37012</v>
      </c>
      <c r="X2" s="14">
        <f>33400*2</f>
        <v>66800</v>
      </c>
      <c r="Y2" s="14">
        <f>18258*2</f>
        <v>36516</v>
      </c>
      <c r="Z2" s="13">
        <v>252500.4192</v>
      </c>
      <c r="AA2" s="13"/>
      <c r="AB2" s="14">
        <v>0</v>
      </c>
      <c r="AC2" s="14">
        <v>0</v>
      </c>
      <c r="AD2" s="14">
        <v>0</v>
      </c>
      <c r="AF2" s="11">
        <v>37012</v>
      </c>
      <c r="AG2" s="12">
        <v>250000</v>
      </c>
      <c r="AH2" s="12">
        <f>228194+36760</f>
        <v>264954</v>
      </c>
      <c r="AI2" s="14"/>
      <c r="AJ2" s="15">
        <f>+AF2</f>
        <v>37012</v>
      </c>
      <c r="AK2" s="12">
        <f>179124+20557</f>
        <v>199681</v>
      </c>
      <c r="AL2" s="12"/>
      <c r="AM2" s="12"/>
    </row>
    <row r="3" spans="1:39" ht="25.5" customHeight="1" thickBot="1" x14ac:dyDescent="0.25">
      <c r="B3" s="1" t="s">
        <v>13</v>
      </c>
      <c r="C3" s="1" t="s">
        <v>14</v>
      </c>
      <c r="D3" s="1" t="s">
        <v>15</v>
      </c>
      <c r="J3" s="21" t="s">
        <v>19</v>
      </c>
      <c r="K3" s="22">
        <f ca="1">TODAY()-1</f>
        <v>37021</v>
      </c>
      <c r="L3" s="23">
        <f ca="1">TODAY()</f>
        <v>37022</v>
      </c>
      <c r="M3" s="24" t="s">
        <v>20</v>
      </c>
      <c r="P3" s="11">
        <f ca="1">TODAY()+4</f>
        <v>37026</v>
      </c>
      <c r="Q3" s="12">
        <v>220000</v>
      </c>
      <c r="T3" s="11">
        <f ca="1">TODAY()+4</f>
        <v>37026</v>
      </c>
      <c r="U3" s="12">
        <v>38000</v>
      </c>
      <c r="W3" s="11">
        <v>37013</v>
      </c>
      <c r="X3" s="14">
        <f>37000*2</f>
        <v>74000</v>
      </c>
      <c r="Y3" s="14">
        <f>12500*2</f>
        <v>25000</v>
      </c>
      <c r="Z3" s="13">
        <f>Z2-X3+Y3</f>
        <v>203500.4192</v>
      </c>
      <c r="AA3" s="13"/>
      <c r="AB3" s="14">
        <v>0</v>
      </c>
      <c r="AC3" s="14">
        <v>0</v>
      </c>
      <c r="AD3" s="14">
        <v>0</v>
      </c>
      <c r="AF3" s="11">
        <v>37013</v>
      </c>
      <c r="AG3" s="12">
        <v>250000</v>
      </c>
      <c r="AH3" s="12">
        <f>236301+37666</f>
        <v>273967</v>
      </c>
      <c r="AI3" s="14"/>
      <c r="AJ3" s="15">
        <f t="shared" ref="AJ3:AJ15" si="0">+AF3</f>
        <v>37013</v>
      </c>
      <c r="AK3" s="12">
        <f>173899+20591</f>
        <v>194490</v>
      </c>
      <c r="AL3" s="12"/>
      <c r="AM3" s="12"/>
    </row>
    <row r="4" spans="1:39" ht="13.5" thickBot="1" x14ac:dyDescent="0.25">
      <c r="A4" s="2" t="s">
        <v>16</v>
      </c>
      <c r="B4" s="16">
        <v>67</v>
      </c>
      <c r="C4" s="17">
        <v>48</v>
      </c>
      <c r="D4" s="18">
        <f>AVERAGE(B4,C4)</f>
        <v>57.5</v>
      </c>
      <c r="J4" s="25" t="s">
        <v>23</v>
      </c>
      <c r="K4" s="37">
        <f>10000*2</f>
        <v>20000</v>
      </c>
      <c r="L4" s="9">
        <f>19500*2</f>
        <v>39000</v>
      </c>
      <c r="M4" s="28">
        <f>+L4-K4</f>
        <v>19000</v>
      </c>
      <c r="Q4" s="12"/>
      <c r="R4" s="11" t="s">
        <v>17</v>
      </c>
      <c r="W4" s="11">
        <v>37014</v>
      </c>
      <c r="X4" s="14">
        <f>11100*2</f>
        <v>22200</v>
      </c>
      <c r="Y4" s="14">
        <f>17500*2</f>
        <v>35000</v>
      </c>
      <c r="Z4" s="13">
        <f t="shared" ref="Z4:Z32" si="1">Z3-X4+Y4</f>
        <v>216300.4192</v>
      </c>
      <c r="AA4" s="13"/>
      <c r="AB4" s="14">
        <v>0</v>
      </c>
      <c r="AC4" s="14">
        <v>0</v>
      </c>
      <c r="AD4" s="14">
        <v>0</v>
      </c>
      <c r="AF4" s="11">
        <v>37014</v>
      </c>
      <c r="AG4" s="12">
        <f>230000+38000</f>
        <v>268000</v>
      </c>
      <c r="AH4" s="12">
        <f>240298+38499</f>
        <v>278797</v>
      </c>
      <c r="AI4" s="14"/>
      <c r="AJ4" s="15">
        <f t="shared" si="0"/>
        <v>37014</v>
      </c>
      <c r="AK4" s="12">
        <f>173899+20591</f>
        <v>194490</v>
      </c>
      <c r="AL4" s="12"/>
      <c r="AM4" s="12"/>
    </row>
    <row r="5" spans="1:39" x14ac:dyDescent="0.2">
      <c r="A5" s="19"/>
      <c r="B5" s="20"/>
      <c r="C5" s="1" t="s">
        <v>18</v>
      </c>
      <c r="D5" s="19"/>
      <c r="E5" s="20"/>
      <c r="F5" s="1" t="s">
        <v>18</v>
      </c>
      <c r="H5" s="1"/>
      <c r="J5" s="25" t="s">
        <v>26</v>
      </c>
      <c r="K5" s="38">
        <f>15000*2</f>
        <v>30000</v>
      </c>
      <c r="L5" s="9">
        <f>10000*2</f>
        <v>20000</v>
      </c>
      <c r="M5" s="29">
        <f>+L5-K5</f>
        <v>-10000</v>
      </c>
      <c r="W5" s="11">
        <v>37015</v>
      </c>
      <c r="X5" s="14">
        <f>8500*2</f>
        <v>17000</v>
      </c>
      <c r="Y5" s="14">
        <f>11822*2</f>
        <v>23644</v>
      </c>
      <c r="Z5" s="13">
        <f t="shared" si="1"/>
        <v>222944.4192</v>
      </c>
      <c r="AA5" s="13"/>
      <c r="AB5" s="14">
        <v>0</v>
      </c>
      <c r="AC5" s="14">
        <v>0</v>
      </c>
      <c r="AD5" s="14">
        <v>0</v>
      </c>
      <c r="AF5" s="11">
        <v>37015</v>
      </c>
      <c r="AG5" s="12">
        <f>220000+44000</f>
        <v>264000</v>
      </c>
      <c r="AH5" s="12">
        <f>262301+53869</f>
        <v>316170</v>
      </c>
      <c r="AI5" s="14"/>
      <c r="AJ5" s="15">
        <f t="shared" si="0"/>
        <v>37015</v>
      </c>
      <c r="AK5" s="12">
        <f>177444+20591</f>
        <v>198035</v>
      </c>
      <c r="AL5" s="12"/>
      <c r="AM5" s="12"/>
    </row>
    <row r="6" spans="1:39" ht="13.5" thickBot="1" x14ac:dyDescent="0.25">
      <c r="A6" s="25" t="s">
        <v>21</v>
      </c>
      <c r="B6" s="26">
        <v>-210000</v>
      </c>
      <c r="C6" s="12">
        <v>-240000</v>
      </c>
      <c r="D6" s="25" t="s">
        <v>22</v>
      </c>
      <c r="E6" s="26">
        <v>-36000</v>
      </c>
      <c r="F6" s="12">
        <v>-39000</v>
      </c>
      <c r="H6" s="12"/>
      <c r="J6" s="30" t="s">
        <v>28</v>
      </c>
      <c r="K6" s="39">
        <f>(+K4-K5)/2</f>
        <v>-5000</v>
      </c>
      <c r="L6" s="31">
        <f>(+L4-L5)/2</f>
        <v>9500</v>
      </c>
      <c r="M6" s="32">
        <f>+L6-K6</f>
        <v>14500</v>
      </c>
      <c r="W6" s="11">
        <v>37016</v>
      </c>
      <c r="X6" s="14">
        <f>5700*2</f>
        <v>11400</v>
      </c>
      <c r="Y6" s="14">
        <f>11822*2</f>
        <v>23644</v>
      </c>
      <c r="Z6" s="13">
        <f t="shared" si="1"/>
        <v>235188.4192</v>
      </c>
      <c r="AA6" s="13"/>
      <c r="AB6" s="14">
        <v>0</v>
      </c>
      <c r="AC6" s="14">
        <v>0</v>
      </c>
      <c r="AD6" s="14">
        <v>0</v>
      </c>
      <c r="AF6" s="11">
        <v>37016</v>
      </c>
      <c r="AG6" s="12">
        <f>220000+42000</f>
        <v>262000</v>
      </c>
      <c r="AH6" s="12">
        <f>249943+54025</f>
        <v>303968</v>
      </c>
      <c r="AJ6" s="15">
        <f t="shared" si="0"/>
        <v>37016</v>
      </c>
      <c r="AK6" s="12">
        <f>180844+20591</f>
        <v>201435</v>
      </c>
      <c r="AL6" s="12"/>
      <c r="AM6" s="12"/>
    </row>
    <row r="7" spans="1:39" x14ac:dyDescent="0.2">
      <c r="A7" s="25" t="s">
        <v>58</v>
      </c>
      <c r="B7" s="26"/>
      <c r="D7" s="25" t="s">
        <v>25</v>
      </c>
      <c r="E7" s="26">
        <v>0</v>
      </c>
      <c r="G7" s="12"/>
      <c r="H7" s="12"/>
      <c r="W7" s="11">
        <v>37017</v>
      </c>
      <c r="X7" s="14">
        <f>12400*2</f>
        <v>24800</v>
      </c>
      <c r="Y7" s="14">
        <f>10000*2</f>
        <v>20000</v>
      </c>
      <c r="Z7" s="13">
        <f t="shared" si="1"/>
        <v>230388.4192</v>
      </c>
      <c r="AA7" s="13"/>
      <c r="AB7" s="14">
        <v>0</v>
      </c>
      <c r="AC7" s="14">
        <v>0</v>
      </c>
      <c r="AD7" s="14">
        <v>0</v>
      </c>
      <c r="AF7" s="11">
        <v>37017</v>
      </c>
      <c r="AG7" s="12">
        <f>220000+42000</f>
        <v>262000</v>
      </c>
      <c r="AH7" s="47">
        <f>232606+42751</f>
        <v>275357</v>
      </c>
      <c r="AJ7" s="15">
        <f t="shared" si="0"/>
        <v>37017</v>
      </c>
      <c r="AK7" s="12">
        <f>180844+20591</f>
        <v>201435</v>
      </c>
      <c r="AL7" s="12"/>
      <c r="AM7" s="12"/>
    </row>
    <row r="8" spans="1:39" x14ac:dyDescent="0.2">
      <c r="A8" s="25" t="s">
        <v>62</v>
      </c>
      <c r="B8" s="26">
        <v>0</v>
      </c>
      <c r="D8" s="25" t="s">
        <v>27</v>
      </c>
      <c r="E8" s="26"/>
      <c r="G8" s="12"/>
      <c r="H8" s="12"/>
      <c r="W8" s="11">
        <v>37018</v>
      </c>
      <c r="X8" s="14">
        <f>11820*2</f>
        <v>23640</v>
      </c>
      <c r="Y8" s="14">
        <v>0</v>
      </c>
      <c r="Z8" s="13">
        <f t="shared" si="1"/>
        <v>206748.4192</v>
      </c>
      <c r="AA8" s="13"/>
      <c r="AB8" s="14">
        <v>0</v>
      </c>
      <c r="AC8" s="14">
        <v>0</v>
      </c>
      <c r="AD8" s="14">
        <v>0</v>
      </c>
      <c r="AF8" s="11">
        <v>37018</v>
      </c>
      <c r="AG8" s="12">
        <f>240000+42000</f>
        <v>282000</v>
      </c>
      <c r="AH8" s="12">
        <f>260414+48999</f>
        <v>309413</v>
      </c>
      <c r="AJ8" s="15">
        <f t="shared" si="0"/>
        <v>37018</v>
      </c>
      <c r="AK8" s="12">
        <f>180844+20591</f>
        <v>201435</v>
      </c>
      <c r="AL8" s="12"/>
      <c r="AM8" s="12"/>
    </row>
    <row r="9" spans="1:39" x14ac:dyDescent="0.2">
      <c r="A9" s="25" t="s">
        <v>68</v>
      </c>
      <c r="B9" s="26">
        <v>-50000</v>
      </c>
      <c r="D9" s="25" t="s">
        <v>29</v>
      </c>
      <c r="E9" s="26">
        <v>0</v>
      </c>
      <c r="G9" s="12"/>
      <c r="H9" s="12"/>
      <c r="L9" s="12"/>
      <c r="W9" s="11">
        <v>37019</v>
      </c>
      <c r="X9" s="14">
        <f>21290*2</f>
        <v>42580</v>
      </c>
      <c r="Y9" s="14">
        <f>10600*2</f>
        <v>21200</v>
      </c>
      <c r="Z9" s="13">
        <f t="shared" si="1"/>
        <v>185368.4192</v>
      </c>
      <c r="AA9" s="13"/>
      <c r="AB9" s="14">
        <v>0</v>
      </c>
      <c r="AC9" s="14">
        <v>0</v>
      </c>
      <c r="AD9" s="14">
        <v>0</v>
      </c>
      <c r="AF9" s="11">
        <v>37019</v>
      </c>
      <c r="AG9" s="12">
        <f>240000+43700</f>
        <v>283700</v>
      </c>
      <c r="AH9" s="12">
        <f>238983+43757</f>
        <v>282740</v>
      </c>
      <c r="AJ9" s="15">
        <f t="shared" si="0"/>
        <v>37019</v>
      </c>
      <c r="AK9" s="12">
        <f>177809+20591</f>
        <v>198400</v>
      </c>
      <c r="AL9" s="12"/>
      <c r="AM9" s="12"/>
    </row>
    <row r="10" spans="1:39" x14ac:dyDescent="0.2">
      <c r="A10" s="42" t="s">
        <v>63</v>
      </c>
      <c r="B10" s="26">
        <v>0</v>
      </c>
      <c r="C10" s="14" t="s">
        <v>17</v>
      </c>
      <c r="D10" s="25" t="s">
        <v>52</v>
      </c>
      <c r="E10" s="26">
        <v>-8340</v>
      </c>
      <c r="G10" s="12"/>
      <c r="H10" s="12"/>
      <c r="W10" s="11">
        <v>37020</v>
      </c>
      <c r="X10" s="14">
        <v>0</v>
      </c>
      <c r="Y10" s="14">
        <v>0</v>
      </c>
      <c r="Z10" s="13">
        <f t="shared" si="1"/>
        <v>185368.4192</v>
      </c>
      <c r="AA10" s="13"/>
      <c r="AB10" s="14">
        <v>0</v>
      </c>
      <c r="AC10" s="14">
        <v>0</v>
      </c>
      <c r="AD10" s="14">
        <v>0</v>
      </c>
      <c r="AF10" s="11">
        <v>37020</v>
      </c>
      <c r="AG10" s="12">
        <f>240000+38000</f>
        <v>278000</v>
      </c>
      <c r="AH10" s="12">
        <f>220190+39151</f>
        <v>259341</v>
      </c>
      <c r="AJ10" s="15">
        <f t="shared" si="0"/>
        <v>37020</v>
      </c>
      <c r="AK10" s="12">
        <f>174809+20831</f>
        <v>195640</v>
      </c>
      <c r="AL10" s="12"/>
      <c r="AM10" s="12"/>
    </row>
    <row r="11" spans="1:39" x14ac:dyDescent="0.2">
      <c r="A11" s="25" t="s">
        <v>24</v>
      </c>
      <c r="B11" s="26">
        <v>0</v>
      </c>
      <c r="C11" s="14"/>
      <c r="D11" s="25" t="s">
        <v>31</v>
      </c>
      <c r="E11" s="26">
        <v>-20000</v>
      </c>
      <c r="G11" s="12"/>
      <c r="H11" s="12"/>
      <c r="R11" s="13"/>
      <c r="W11" s="11">
        <v>37021</v>
      </c>
      <c r="X11" s="14">
        <f>10000*2</f>
        <v>20000</v>
      </c>
      <c r="Y11" s="14">
        <f>15000*2</f>
        <v>30000</v>
      </c>
      <c r="Z11" s="13">
        <f t="shared" si="1"/>
        <v>195368.4192</v>
      </c>
      <c r="AA11" s="13"/>
      <c r="AB11" s="14">
        <v>0</v>
      </c>
      <c r="AC11" s="14">
        <v>0</v>
      </c>
      <c r="AD11" s="14">
        <v>0</v>
      </c>
      <c r="AF11" s="11">
        <v>37021</v>
      </c>
      <c r="AG11" s="12">
        <f>240000+38000</f>
        <v>278000</v>
      </c>
      <c r="AH11" s="12"/>
      <c r="AJ11" s="15">
        <f t="shared" si="0"/>
        <v>37021</v>
      </c>
      <c r="AK11" s="12"/>
      <c r="AL11" s="12"/>
      <c r="AM11" s="12"/>
    </row>
    <row r="12" spans="1:39" x14ac:dyDescent="0.2">
      <c r="A12" s="25" t="s">
        <v>29</v>
      </c>
      <c r="B12" s="26">
        <v>-170000</v>
      </c>
      <c r="C12" s="14"/>
      <c r="D12" s="42" t="s">
        <v>55</v>
      </c>
      <c r="E12" s="40">
        <v>0</v>
      </c>
      <c r="G12" s="12" t="s">
        <v>17</v>
      </c>
      <c r="H12" s="12"/>
      <c r="R12" s="13"/>
      <c r="W12" s="11">
        <v>37022</v>
      </c>
      <c r="X12" s="14">
        <f>19500*2</f>
        <v>39000</v>
      </c>
      <c r="Y12" s="14">
        <f>10000*2</f>
        <v>20000</v>
      </c>
      <c r="Z12" s="13">
        <f t="shared" si="1"/>
        <v>176368.4192</v>
      </c>
      <c r="AA12" s="13"/>
      <c r="AB12" s="14">
        <v>0</v>
      </c>
      <c r="AC12" s="14">
        <v>0</v>
      </c>
      <c r="AD12" s="14">
        <v>0</v>
      </c>
      <c r="AF12" s="11">
        <v>37022</v>
      </c>
      <c r="AG12" s="12">
        <f>215000+37000</f>
        <v>252000</v>
      </c>
      <c r="AH12" s="12"/>
      <c r="AJ12" s="15">
        <f t="shared" si="0"/>
        <v>37022</v>
      </c>
      <c r="AK12" s="12"/>
      <c r="AL12" s="12"/>
      <c r="AM12" s="12"/>
    </row>
    <row r="13" spans="1:39" ht="13.5" thickBot="1" x14ac:dyDescent="0.25">
      <c r="A13" s="25" t="s">
        <v>61</v>
      </c>
      <c r="B13" s="26">
        <v>0</v>
      </c>
      <c r="C13" s="1"/>
      <c r="D13" s="25" t="s">
        <v>32</v>
      </c>
      <c r="E13" s="26">
        <v>-16254</v>
      </c>
      <c r="G13" s="12"/>
      <c r="H13" s="12"/>
      <c r="R13" s="13"/>
      <c r="W13" s="11">
        <v>37023</v>
      </c>
      <c r="X13" s="14">
        <f>7000*2</f>
        <v>14000</v>
      </c>
      <c r="Y13" s="14">
        <v>0</v>
      </c>
      <c r="Z13" s="13">
        <f t="shared" si="1"/>
        <v>162368.4192</v>
      </c>
      <c r="AA13" s="13"/>
      <c r="AB13" s="14">
        <v>0</v>
      </c>
      <c r="AC13" s="14">
        <v>0</v>
      </c>
      <c r="AD13" s="14">
        <v>0</v>
      </c>
      <c r="AF13" s="11">
        <v>37023</v>
      </c>
      <c r="AG13" s="12">
        <f>210000+36000</f>
        <v>246000</v>
      </c>
      <c r="AH13" s="12"/>
      <c r="AJ13" s="15">
        <f t="shared" si="0"/>
        <v>37023</v>
      </c>
      <c r="AK13" s="12"/>
      <c r="AL13" s="12"/>
      <c r="AM13" s="12"/>
    </row>
    <row r="14" spans="1:39" ht="13.5" thickBot="1" x14ac:dyDescent="0.25">
      <c r="A14" s="25" t="s">
        <v>19</v>
      </c>
      <c r="B14" s="26">
        <v>-7000</v>
      </c>
      <c r="C14" s="14"/>
      <c r="D14" s="33" t="s">
        <v>33</v>
      </c>
      <c r="E14" s="34">
        <f>SUM(E6:E13)</f>
        <v>-80594</v>
      </c>
      <c r="G14" s="12"/>
      <c r="H14" s="12"/>
      <c r="L14" s="12"/>
      <c r="R14" s="13"/>
      <c r="W14" s="11">
        <v>37024</v>
      </c>
      <c r="X14" s="14">
        <f>13500*2</f>
        <v>27000</v>
      </c>
      <c r="Y14" s="14">
        <v>0</v>
      </c>
      <c r="Z14" s="13">
        <f t="shared" si="1"/>
        <v>135368.4192</v>
      </c>
      <c r="AA14" s="13"/>
      <c r="AB14" s="14">
        <v>0</v>
      </c>
      <c r="AC14" s="14">
        <v>0</v>
      </c>
      <c r="AD14" s="14">
        <v>0</v>
      </c>
      <c r="AF14" s="11">
        <v>37024</v>
      </c>
      <c r="AG14" s="12">
        <f>215000+37000</f>
        <v>252000</v>
      </c>
      <c r="AH14" s="12"/>
      <c r="AJ14" s="15">
        <f t="shared" si="0"/>
        <v>37024</v>
      </c>
      <c r="AK14" s="12"/>
      <c r="AL14" s="12"/>
      <c r="AM14" s="12"/>
    </row>
    <row r="15" spans="1:39" x14ac:dyDescent="0.2">
      <c r="A15" s="25" t="s">
        <v>27</v>
      </c>
      <c r="B15" s="26"/>
      <c r="C15" s="14"/>
      <c r="D15" s="25"/>
      <c r="E15" s="26"/>
      <c r="F15" s="14">
        <f>+E14+E29</f>
        <v>0</v>
      </c>
      <c r="G15" s="12"/>
      <c r="H15" s="12"/>
      <c r="L15" s="12"/>
      <c r="R15" s="13"/>
      <c r="W15" s="11">
        <v>37025</v>
      </c>
      <c r="X15" s="14">
        <f>26000*2</f>
        <v>52000</v>
      </c>
      <c r="Y15" s="14">
        <v>0</v>
      </c>
      <c r="Z15" s="13">
        <f t="shared" si="1"/>
        <v>83368.419200000004</v>
      </c>
      <c r="AA15" s="13"/>
      <c r="AB15" s="14">
        <v>0</v>
      </c>
      <c r="AC15" s="14">
        <v>0</v>
      </c>
      <c r="AD15" s="14">
        <v>0</v>
      </c>
      <c r="AF15" s="11">
        <v>37025</v>
      </c>
      <c r="AG15" s="12">
        <f>220000+38000</f>
        <v>258000</v>
      </c>
      <c r="AH15" s="12"/>
      <c r="AJ15" s="15">
        <f t="shared" si="0"/>
        <v>37025</v>
      </c>
      <c r="AK15" s="12"/>
      <c r="AL15" s="12"/>
      <c r="AM15" s="12"/>
    </row>
    <row r="16" spans="1:39" x14ac:dyDescent="0.2">
      <c r="A16" s="25" t="s">
        <v>60</v>
      </c>
      <c r="B16" s="26">
        <v>-40000</v>
      </c>
      <c r="C16" s="14"/>
      <c r="D16" s="25" t="s">
        <v>38</v>
      </c>
      <c r="E16" s="26">
        <v>22875</v>
      </c>
      <c r="G16" s="12"/>
      <c r="H16" s="12"/>
      <c r="L16" s="12"/>
      <c r="R16" s="13"/>
      <c r="W16" s="11">
        <v>37026</v>
      </c>
      <c r="X16" s="14">
        <v>0</v>
      </c>
      <c r="Y16" s="14">
        <v>0</v>
      </c>
      <c r="Z16" s="13">
        <f t="shared" si="1"/>
        <v>83368.419200000004</v>
      </c>
      <c r="AA16" s="13"/>
      <c r="AB16" s="14">
        <v>0</v>
      </c>
      <c r="AC16" s="14">
        <v>0</v>
      </c>
      <c r="AD16" s="14">
        <v>0</v>
      </c>
      <c r="AF16" s="11">
        <v>37026</v>
      </c>
      <c r="AG16" s="12">
        <f>220000+38000</f>
        <v>258000</v>
      </c>
      <c r="AH16" s="12"/>
      <c r="AJ16" s="15">
        <f t="shared" ref="AJ16:AJ32" si="2">+AF16</f>
        <v>37026</v>
      </c>
      <c r="AK16" s="12"/>
      <c r="AL16" s="12"/>
      <c r="AM16" s="12"/>
    </row>
    <row r="17" spans="1:39" x14ac:dyDescent="0.2">
      <c r="A17" s="25" t="s">
        <v>32</v>
      </c>
      <c r="B17" s="40">
        <v>0</v>
      </c>
      <c r="C17" s="14"/>
      <c r="D17" s="25" t="s">
        <v>39</v>
      </c>
      <c r="E17" s="26">
        <v>10000</v>
      </c>
      <c r="G17" s="12"/>
      <c r="H17" s="12"/>
      <c r="L17" s="12"/>
      <c r="R17" s="13"/>
      <c r="W17" s="11">
        <v>37027</v>
      </c>
      <c r="X17" s="14">
        <v>0</v>
      </c>
      <c r="Y17" s="14">
        <v>0</v>
      </c>
      <c r="Z17" s="13">
        <f t="shared" si="1"/>
        <v>83368.419200000004</v>
      </c>
      <c r="AA17" s="13"/>
      <c r="AB17" s="14">
        <v>0</v>
      </c>
      <c r="AC17" s="14">
        <v>0</v>
      </c>
      <c r="AD17" s="14">
        <v>0</v>
      </c>
      <c r="AF17" s="11">
        <v>37027</v>
      </c>
      <c r="AG17" s="12"/>
      <c r="AH17" s="12"/>
      <c r="AJ17" s="15">
        <f t="shared" si="2"/>
        <v>37027</v>
      </c>
      <c r="AK17" s="12"/>
      <c r="AL17" s="12"/>
      <c r="AM17" s="12"/>
    </row>
    <row r="18" spans="1:39" x14ac:dyDescent="0.2">
      <c r="A18" s="25" t="s">
        <v>34</v>
      </c>
      <c r="B18" s="26">
        <v>0</v>
      </c>
      <c r="D18" s="25" t="s">
        <v>40</v>
      </c>
      <c r="E18" s="26">
        <v>7603</v>
      </c>
      <c r="F18" s="14" t="s">
        <v>17</v>
      </c>
      <c r="G18" s="12"/>
      <c r="H18" s="12"/>
      <c r="L18" s="12"/>
      <c r="R18" s="13"/>
      <c r="W18" s="11">
        <v>37028</v>
      </c>
      <c r="X18" s="14">
        <v>0</v>
      </c>
      <c r="Y18" s="14">
        <v>0</v>
      </c>
      <c r="Z18" s="13">
        <f t="shared" si="1"/>
        <v>83368.419200000004</v>
      </c>
      <c r="AA18" s="13"/>
      <c r="AB18" s="14">
        <v>0</v>
      </c>
      <c r="AC18" s="14">
        <v>0</v>
      </c>
      <c r="AD18" s="14">
        <v>0</v>
      </c>
      <c r="AF18" s="11">
        <v>37028</v>
      </c>
      <c r="AG18" s="12"/>
      <c r="AH18" s="12"/>
      <c r="AJ18" s="15">
        <f t="shared" si="2"/>
        <v>37028</v>
      </c>
      <c r="AK18" s="12"/>
      <c r="AL18" s="12"/>
      <c r="AM18" s="12"/>
    </row>
    <row r="19" spans="1:39" x14ac:dyDescent="0.2">
      <c r="A19" s="25" t="s">
        <v>30</v>
      </c>
      <c r="B19" s="26">
        <v>-70000</v>
      </c>
      <c r="C19" s="41"/>
      <c r="D19" s="25" t="s">
        <v>41</v>
      </c>
      <c r="E19" s="26">
        <v>20831</v>
      </c>
      <c r="G19" s="12"/>
      <c r="H19" s="12"/>
      <c r="L19" s="12"/>
      <c r="R19" s="13"/>
      <c r="W19" s="11">
        <v>37029</v>
      </c>
      <c r="X19" s="14">
        <v>0</v>
      </c>
      <c r="Y19" s="14">
        <v>0</v>
      </c>
      <c r="Z19" s="13">
        <f t="shared" si="1"/>
        <v>83368.419200000004</v>
      </c>
      <c r="AA19" s="13"/>
      <c r="AB19" s="14">
        <v>0</v>
      </c>
      <c r="AC19" s="14">
        <v>0</v>
      </c>
      <c r="AD19" s="14">
        <v>0</v>
      </c>
      <c r="AF19" s="11">
        <v>37029</v>
      </c>
      <c r="AG19" s="12"/>
      <c r="AH19" s="12"/>
      <c r="AJ19" s="15">
        <f t="shared" si="2"/>
        <v>37029</v>
      </c>
      <c r="AK19" s="12"/>
      <c r="AL19" s="12"/>
      <c r="AM19" s="12"/>
    </row>
    <row r="20" spans="1:39" x14ac:dyDescent="0.2">
      <c r="A20" s="25" t="s">
        <v>50</v>
      </c>
      <c r="B20" s="26">
        <v>0</v>
      </c>
      <c r="C20" s="14"/>
      <c r="D20" s="25" t="s">
        <v>46</v>
      </c>
      <c r="E20" s="26">
        <v>0</v>
      </c>
      <c r="G20" s="12"/>
      <c r="H20" s="12"/>
      <c r="R20" s="13"/>
      <c r="W20" s="11">
        <v>37030</v>
      </c>
      <c r="X20" s="14">
        <v>0</v>
      </c>
      <c r="Y20" s="14">
        <v>0</v>
      </c>
      <c r="Z20" s="13">
        <f t="shared" si="1"/>
        <v>83368.419200000004</v>
      </c>
      <c r="AA20" s="13"/>
      <c r="AB20" s="14">
        <v>0</v>
      </c>
      <c r="AC20" s="14">
        <v>0</v>
      </c>
      <c r="AD20" s="14">
        <v>0</v>
      </c>
      <c r="AF20" s="11">
        <v>37030</v>
      </c>
      <c r="AG20" s="12"/>
      <c r="AH20" s="12"/>
      <c r="AJ20" s="15">
        <f t="shared" si="2"/>
        <v>37030</v>
      </c>
      <c r="AK20" s="12"/>
      <c r="AL20" s="12"/>
      <c r="AM20" s="12"/>
    </row>
    <row r="21" spans="1:39" x14ac:dyDescent="0.2">
      <c r="A21" s="25" t="s">
        <v>51</v>
      </c>
      <c r="B21" s="26">
        <v>0</v>
      </c>
      <c r="C21" s="14"/>
      <c r="D21" s="25" t="s">
        <v>59</v>
      </c>
      <c r="E21" s="26">
        <v>4340</v>
      </c>
      <c r="G21" s="12"/>
      <c r="H21" s="12"/>
      <c r="R21" s="13"/>
      <c r="W21" s="11">
        <v>37031</v>
      </c>
      <c r="X21" s="14">
        <v>0</v>
      </c>
      <c r="Y21" s="14">
        <v>0</v>
      </c>
      <c r="Z21" s="13">
        <f t="shared" si="1"/>
        <v>83368.419200000004</v>
      </c>
      <c r="AA21" s="13"/>
      <c r="AB21" s="14">
        <v>0</v>
      </c>
      <c r="AC21" s="14">
        <v>0</v>
      </c>
      <c r="AD21" s="14">
        <v>0</v>
      </c>
      <c r="AF21" s="11">
        <v>37031</v>
      </c>
      <c r="AG21" s="12"/>
      <c r="AH21" s="12"/>
      <c r="AJ21" s="15">
        <f t="shared" si="2"/>
        <v>37031</v>
      </c>
      <c r="AK21" s="12"/>
      <c r="AL21" s="12"/>
      <c r="AM21" s="12"/>
    </row>
    <row r="22" spans="1:39" x14ac:dyDescent="0.2">
      <c r="A22" s="25" t="s">
        <v>35</v>
      </c>
      <c r="B22" s="26">
        <v>-29198</v>
      </c>
      <c r="D22" s="25" t="s">
        <v>69</v>
      </c>
      <c r="E22" s="26">
        <v>6945</v>
      </c>
      <c r="G22" s="12"/>
      <c r="H22" s="12"/>
      <c r="R22" s="13"/>
      <c r="W22" s="11">
        <v>37032</v>
      </c>
      <c r="X22" s="14">
        <v>0</v>
      </c>
      <c r="Y22" s="14">
        <v>0</v>
      </c>
      <c r="Z22" s="13">
        <f t="shared" si="1"/>
        <v>83368.419200000004</v>
      </c>
      <c r="AA22" s="13"/>
      <c r="AB22" s="14">
        <v>0</v>
      </c>
      <c r="AC22" s="14">
        <v>0</v>
      </c>
      <c r="AD22" s="14">
        <v>0</v>
      </c>
      <c r="AF22" s="11">
        <v>37032</v>
      </c>
      <c r="AG22" s="12"/>
      <c r="AH22" s="12"/>
      <c r="AJ22" s="15">
        <f t="shared" si="2"/>
        <v>37032</v>
      </c>
      <c r="AK22" s="12"/>
      <c r="AL22" s="12"/>
      <c r="AM22" s="12"/>
    </row>
    <row r="23" spans="1:39" x14ac:dyDescent="0.2">
      <c r="A23" s="25" t="s">
        <v>29</v>
      </c>
      <c r="B23" s="40">
        <v>0</v>
      </c>
      <c r="C23" s="14" t="s">
        <v>17</v>
      </c>
      <c r="D23" s="25" t="s">
        <v>60</v>
      </c>
      <c r="E23" s="40">
        <v>0</v>
      </c>
      <c r="F23" s="14"/>
      <c r="G23" s="12"/>
      <c r="H23" s="12"/>
      <c r="L23" s="2">
        <v>0.32</v>
      </c>
      <c r="R23" s="13"/>
      <c r="W23" s="11">
        <v>37033</v>
      </c>
      <c r="X23" s="14">
        <v>0</v>
      </c>
      <c r="Y23" s="14">
        <v>0</v>
      </c>
      <c r="Z23" s="13">
        <f t="shared" si="1"/>
        <v>83368.419200000004</v>
      </c>
      <c r="AA23" s="13"/>
      <c r="AB23" s="14">
        <v>0</v>
      </c>
      <c r="AC23" s="14">
        <v>0</v>
      </c>
      <c r="AD23" s="14">
        <v>0</v>
      </c>
      <c r="AF23" s="11">
        <v>37033</v>
      </c>
      <c r="AG23" s="12"/>
      <c r="AH23" s="12"/>
      <c r="AJ23" s="15">
        <f t="shared" si="2"/>
        <v>37033</v>
      </c>
      <c r="AK23" s="12"/>
      <c r="AL23" s="12"/>
      <c r="AM23" s="12"/>
    </row>
    <row r="24" spans="1:39" x14ac:dyDescent="0.2">
      <c r="A24" s="25" t="s">
        <v>67</v>
      </c>
      <c r="B24" s="40">
        <v>0</v>
      </c>
      <c r="D24" s="25" t="s">
        <v>32</v>
      </c>
      <c r="E24" s="40">
        <v>0</v>
      </c>
      <c r="G24" s="12"/>
      <c r="H24" s="12"/>
      <c r="R24" s="13"/>
      <c r="W24" s="11">
        <v>37034</v>
      </c>
      <c r="X24" s="14">
        <v>0</v>
      </c>
      <c r="Y24" s="14">
        <v>0</v>
      </c>
      <c r="Z24" s="13">
        <f t="shared" si="1"/>
        <v>83368.419200000004</v>
      </c>
      <c r="AA24" s="13"/>
      <c r="AB24" s="14">
        <v>0</v>
      </c>
      <c r="AC24" s="14">
        <v>0</v>
      </c>
      <c r="AD24" s="14">
        <v>0</v>
      </c>
      <c r="AF24" s="11">
        <v>37034</v>
      </c>
      <c r="AG24" s="12"/>
      <c r="AH24" s="12"/>
      <c r="AJ24" s="15">
        <f t="shared" si="2"/>
        <v>37034</v>
      </c>
      <c r="AK24" s="12"/>
      <c r="AL24" s="12"/>
      <c r="AM24" s="12"/>
    </row>
    <row r="25" spans="1:39" x14ac:dyDescent="0.2">
      <c r="A25" s="25" t="s">
        <v>36</v>
      </c>
      <c r="B25" s="26">
        <v>0</v>
      </c>
      <c r="D25" s="25" t="s">
        <v>29</v>
      </c>
      <c r="E25" s="40">
        <v>8000</v>
      </c>
      <c r="G25" s="12"/>
      <c r="H25" s="12"/>
      <c r="R25" s="13"/>
      <c r="W25" s="11">
        <v>37035</v>
      </c>
      <c r="X25" s="14">
        <v>0</v>
      </c>
      <c r="Y25" s="14">
        <v>0</v>
      </c>
      <c r="Z25" s="13">
        <f t="shared" si="1"/>
        <v>83368.419200000004</v>
      </c>
      <c r="AA25" s="13"/>
      <c r="AB25" s="14">
        <v>0</v>
      </c>
      <c r="AC25" s="14">
        <v>0</v>
      </c>
      <c r="AD25" s="14">
        <v>0</v>
      </c>
      <c r="AF25" s="11">
        <v>37035</v>
      </c>
      <c r="AG25" s="12"/>
      <c r="AH25" s="12"/>
      <c r="AJ25" s="15">
        <f t="shared" si="2"/>
        <v>37035</v>
      </c>
      <c r="AK25" s="12"/>
      <c r="AL25" s="12"/>
      <c r="AM25" s="12"/>
    </row>
    <row r="26" spans="1:39" x14ac:dyDescent="0.2">
      <c r="A26" s="25" t="s">
        <v>37</v>
      </c>
      <c r="B26" s="26">
        <v>0</v>
      </c>
      <c r="D26" s="25" t="s">
        <v>55</v>
      </c>
      <c r="E26" s="40">
        <v>0</v>
      </c>
      <c r="G26" s="12"/>
      <c r="H26" s="12"/>
      <c r="R26" s="13"/>
      <c r="W26" s="11">
        <v>37036</v>
      </c>
      <c r="X26" s="14">
        <v>0</v>
      </c>
      <c r="Y26" s="14">
        <v>0</v>
      </c>
      <c r="Z26" s="13">
        <f t="shared" si="1"/>
        <v>83368.419200000004</v>
      </c>
      <c r="AA26" s="13"/>
      <c r="AB26" s="14">
        <v>0</v>
      </c>
      <c r="AC26" s="14">
        <v>0</v>
      </c>
      <c r="AD26" s="14">
        <v>0</v>
      </c>
      <c r="AF26" s="11">
        <v>37036</v>
      </c>
      <c r="AG26" s="12"/>
      <c r="AH26" s="12"/>
      <c r="AJ26" s="15">
        <f t="shared" si="2"/>
        <v>37036</v>
      </c>
      <c r="AK26" s="12"/>
      <c r="AL26" s="12"/>
      <c r="AM26" s="12"/>
    </row>
    <row r="27" spans="1:39" ht="13.5" thickBot="1" x14ac:dyDescent="0.25">
      <c r="A27" s="25" t="s">
        <v>66</v>
      </c>
      <c r="B27" s="26">
        <v>-25929</v>
      </c>
      <c r="C27" s="14"/>
      <c r="D27" s="25" t="s">
        <v>57</v>
      </c>
      <c r="E27" s="40">
        <v>0</v>
      </c>
      <c r="G27" s="12"/>
      <c r="H27" s="12"/>
      <c r="R27" s="13"/>
      <c r="W27" s="11">
        <v>37037</v>
      </c>
      <c r="X27" s="14">
        <v>0</v>
      </c>
      <c r="Y27" s="14">
        <v>0</v>
      </c>
      <c r="Z27" s="13">
        <f t="shared" si="1"/>
        <v>83368.419200000004</v>
      </c>
      <c r="AA27" s="13"/>
      <c r="AB27" s="14">
        <v>0</v>
      </c>
      <c r="AC27" s="14">
        <v>0</v>
      </c>
      <c r="AD27" s="14">
        <v>0</v>
      </c>
      <c r="AF27" s="11">
        <v>37037</v>
      </c>
      <c r="AG27" s="12"/>
      <c r="AH27" s="12"/>
      <c r="AJ27" s="15">
        <f t="shared" si="2"/>
        <v>37037</v>
      </c>
      <c r="AK27" s="12"/>
      <c r="AL27" s="12"/>
      <c r="AM27" s="12"/>
    </row>
    <row r="28" spans="1:39" ht="13.5" thickBot="1" x14ac:dyDescent="0.25">
      <c r="A28" s="33" t="s">
        <v>33</v>
      </c>
      <c r="B28" s="34">
        <f>SUM(B6:B27)</f>
        <v>-602127</v>
      </c>
      <c r="C28" s="14">
        <f>SUM(B28,B57)</f>
        <v>0</v>
      </c>
      <c r="D28" s="25" t="s">
        <v>42</v>
      </c>
      <c r="E28" s="26">
        <v>0</v>
      </c>
      <c r="G28" s="12"/>
      <c r="H28" s="12"/>
      <c r="R28" s="13"/>
      <c r="W28" s="11">
        <v>37038</v>
      </c>
      <c r="X28" s="14">
        <v>0</v>
      </c>
      <c r="Y28" s="14">
        <v>0</v>
      </c>
      <c r="Z28" s="13">
        <f t="shared" si="1"/>
        <v>83368.419200000004</v>
      </c>
      <c r="AA28" s="13"/>
      <c r="AB28" s="14">
        <v>0</v>
      </c>
      <c r="AC28" s="14">
        <v>0</v>
      </c>
      <c r="AD28" s="14">
        <v>0</v>
      </c>
      <c r="AF28" s="11">
        <v>37038</v>
      </c>
      <c r="AG28" s="12"/>
      <c r="AH28" s="12"/>
      <c r="AJ28" s="15">
        <f t="shared" si="2"/>
        <v>37038</v>
      </c>
      <c r="AK28" s="12"/>
      <c r="AL28" s="12"/>
      <c r="AM28" s="12"/>
    </row>
    <row r="29" spans="1:39" ht="13.5" thickBot="1" x14ac:dyDescent="0.25">
      <c r="A29" s="25"/>
      <c r="B29" s="40"/>
      <c r="C29" s="14"/>
      <c r="D29" s="33" t="s">
        <v>43</v>
      </c>
      <c r="E29" s="34">
        <f>SUM(E16:E28)</f>
        <v>80594</v>
      </c>
      <c r="G29" s="12"/>
      <c r="H29" s="12"/>
      <c r="R29" s="13"/>
      <c r="W29" s="11">
        <v>37039</v>
      </c>
      <c r="X29" s="14">
        <v>0</v>
      </c>
      <c r="Y29" s="14">
        <v>0</v>
      </c>
      <c r="Z29" s="13">
        <f t="shared" si="1"/>
        <v>83368.419200000004</v>
      </c>
      <c r="AA29" s="13"/>
      <c r="AB29" s="14">
        <v>0</v>
      </c>
      <c r="AC29" s="14">
        <v>0</v>
      </c>
      <c r="AD29" s="14">
        <v>0</v>
      </c>
      <c r="AF29" s="11">
        <v>37039</v>
      </c>
      <c r="AG29" s="12"/>
      <c r="AH29" s="12"/>
      <c r="AJ29" s="15">
        <f t="shared" si="2"/>
        <v>37039</v>
      </c>
      <c r="AK29" s="12"/>
      <c r="AL29" s="12"/>
      <c r="AM29" s="12"/>
    </row>
    <row r="30" spans="1:39" ht="13.5" thickBot="1" x14ac:dyDescent="0.25">
      <c r="A30" s="25" t="s">
        <v>38</v>
      </c>
      <c r="B30" s="40">
        <v>103081</v>
      </c>
      <c r="C30" s="14"/>
      <c r="D30" s="30"/>
      <c r="E30" s="35"/>
      <c r="F30" s="14"/>
      <c r="G30" s="12"/>
      <c r="H30" s="12"/>
      <c r="W30" s="11">
        <v>37040</v>
      </c>
      <c r="X30" s="14">
        <v>0</v>
      </c>
      <c r="Y30" s="14">
        <v>0</v>
      </c>
      <c r="Z30" s="13">
        <f t="shared" si="1"/>
        <v>83368.419200000004</v>
      </c>
      <c r="AA30" s="13"/>
      <c r="AB30" s="14">
        <v>0</v>
      </c>
      <c r="AC30" s="14">
        <v>0</v>
      </c>
      <c r="AD30" s="14">
        <v>0</v>
      </c>
      <c r="AF30" s="11">
        <v>37040</v>
      </c>
      <c r="AG30" s="12"/>
      <c r="AH30" s="12"/>
      <c r="AJ30" s="15">
        <f t="shared" si="2"/>
        <v>37040</v>
      </c>
      <c r="AK30" s="12"/>
      <c r="AL30" s="12"/>
      <c r="AM30" s="12"/>
    </row>
    <row r="31" spans="1:39" x14ac:dyDescent="0.2">
      <c r="A31" s="25" t="s">
        <v>39</v>
      </c>
      <c r="B31" s="40">
        <v>125000</v>
      </c>
      <c r="C31" s="14"/>
      <c r="E31" s="12"/>
      <c r="G31" s="12"/>
      <c r="H31" s="12"/>
      <c r="W31" s="11">
        <v>37041</v>
      </c>
      <c r="X31" s="14">
        <v>0</v>
      </c>
      <c r="Y31" s="14">
        <v>0</v>
      </c>
      <c r="Z31" s="13">
        <f t="shared" si="1"/>
        <v>83368.419200000004</v>
      </c>
      <c r="AA31" s="13"/>
      <c r="AB31" s="14">
        <v>0</v>
      </c>
      <c r="AC31" s="14">
        <v>0</v>
      </c>
      <c r="AD31" s="14">
        <v>0</v>
      </c>
      <c r="AF31" s="11">
        <v>37041</v>
      </c>
      <c r="AG31" s="12"/>
      <c r="AH31" s="49"/>
      <c r="AJ31" s="15">
        <f t="shared" si="2"/>
        <v>37041</v>
      </c>
      <c r="AK31" s="12"/>
      <c r="AL31" s="12"/>
      <c r="AM31" s="12"/>
    </row>
    <row r="32" spans="1:39" x14ac:dyDescent="0.2">
      <c r="A32" s="25" t="s">
        <v>40</v>
      </c>
      <c r="B32" s="40">
        <v>0</v>
      </c>
      <c r="E32" s="12"/>
      <c r="G32" s="12"/>
      <c r="H32" s="12"/>
      <c r="W32" s="11">
        <v>37042</v>
      </c>
      <c r="X32" s="14">
        <v>0</v>
      </c>
      <c r="Y32" s="14">
        <v>0</v>
      </c>
      <c r="Z32" s="13">
        <f t="shared" si="1"/>
        <v>83368.419200000004</v>
      </c>
      <c r="AA32" s="13"/>
      <c r="AB32" s="14">
        <v>0</v>
      </c>
      <c r="AC32" s="14">
        <v>0</v>
      </c>
      <c r="AD32" s="14">
        <v>0</v>
      </c>
      <c r="AF32" s="11">
        <v>37042</v>
      </c>
      <c r="AG32" s="12"/>
      <c r="AH32" s="12"/>
      <c r="AJ32" s="15">
        <f t="shared" si="2"/>
        <v>37042</v>
      </c>
      <c r="AK32" s="12"/>
      <c r="AL32" s="12"/>
      <c r="AM32" s="12"/>
    </row>
    <row r="33" spans="1:39" x14ac:dyDescent="0.2">
      <c r="A33" s="25" t="s">
        <v>41</v>
      </c>
      <c r="B33" s="40">
        <v>176804</v>
      </c>
      <c r="D33" s="52"/>
      <c r="G33" s="12"/>
      <c r="H33" s="12"/>
      <c r="AF33" s="11"/>
      <c r="AG33" s="12"/>
      <c r="AJ33" s="15"/>
      <c r="AK33" s="12"/>
      <c r="AL33" s="12"/>
      <c r="AM33" s="12"/>
    </row>
    <row r="34" spans="1:39" x14ac:dyDescent="0.2">
      <c r="A34" s="25" t="s">
        <v>73</v>
      </c>
      <c r="B34" s="40">
        <v>29198</v>
      </c>
      <c r="C34" s="14"/>
      <c r="G34" s="12"/>
      <c r="H34" s="12"/>
      <c r="W34" s="11"/>
      <c r="AF34" s="11"/>
      <c r="AG34" s="12"/>
      <c r="AJ34" s="15"/>
      <c r="AK34" s="12"/>
      <c r="AL34" s="12"/>
      <c r="AM34" s="12"/>
    </row>
    <row r="35" spans="1:39" x14ac:dyDescent="0.2">
      <c r="A35" s="25" t="s">
        <v>65</v>
      </c>
      <c r="B35" s="40">
        <v>0</v>
      </c>
      <c r="G35" s="12"/>
      <c r="H35" s="12"/>
      <c r="W35" s="11"/>
      <c r="AF35" s="11"/>
      <c r="AJ35" s="15"/>
      <c r="AK35" s="12"/>
      <c r="AL35" s="12"/>
      <c r="AM35" s="12"/>
    </row>
    <row r="36" spans="1:39" x14ac:dyDescent="0.2">
      <c r="A36" s="25" t="s">
        <v>70</v>
      </c>
      <c r="B36" s="40">
        <v>0</v>
      </c>
      <c r="G36" s="12"/>
      <c r="H36" s="12"/>
      <c r="W36" s="11"/>
      <c r="AF36" s="11"/>
      <c r="AJ36" s="15"/>
      <c r="AK36" s="12"/>
      <c r="AL36" s="12"/>
      <c r="AM36" s="12"/>
    </row>
    <row r="37" spans="1:39" x14ac:dyDescent="0.2">
      <c r="A37" s="25" t="s">
        <v>56</v>
      </c>
      <c r="B37" s="40">
        <v>0</v>
      </c>
      <c r="D37" s="51"/>
      <c r="G37" s="12"/>
      <c r="H37" s="12"/>
      <c r="W37" s="11"/>
      <c r="AL37" s="12"/>
      <c r="AM37" s="12"/>
    </row>
    <row r="38" spans="1:39" x14ac:dyDescent="0.2">
      <c r="A38" s="25" t="s">
        <v>57</v>
      </c>
      <c r="B38" s="40">
        <v>20838</v>
      </c>
      <c r="D38" s="50"/>
      <c r="E38" s="14"/>
      <c r="G38" s="12"/>
      <c r="H38" s="12"/>
      <c r="AL38" s="12"/>
      <c r="AM38" s="12"/>
    </row>
    <row r="39" spans="1:39" x14ac:dyDescent="0.2">
      <c r="A39" s="25" t="s">
        <v>19</v>
      </c>
      <c r="B39" s="40">
        <v>0</v>
      </c>
      <c r="G39" s="12"/>
      <c r="H39" s="12"/>
      <c r="AJ39" s="12"/>
      <c r="AK39" s="12"/>
      <c r="AL39" s="12"/>
      <c r="AM39" s="12"/>
    </row>
    <row r="40" spans="1:39" x14ac:dyDescent="0.2">
      <c r="A40" s="25" t="s">
        <v>24</v>
      </c>
      <c r="B40" s="48"/>
      <c r="G40" s="12"/>
      <c r="H40" s="12"/>
      <c r="AJ40" s="12"/>
      <c r="AK40" s="12"/>
      <c r="AL40" s="12"/>
      <c r="AM40" s="12"/>
    </row>
    <row r="41" spans="1:39" x14ac:dyDescent="0.2">
      <c r="A41" s="25" t="s">
        <v>64</v>
      </c>
      <c r="B41" s="40">
        <v>0</v>
      </c>
      <c r="G41" s="12"/>
      <c r="H41" s="12"/>
      <c r="AJ41" s="12"/>
      <c r="AK41" s="12"/>
      <c r="AL41" s="12"/>
      <c r="AM41" s="12"/>
    </row>
    <row r="42" spans="1:39" x14ac:dyDescent="0.2">
      <c r="A42" s="25" t="s">
        <v>29</v>
      </c>
      <c r="B42" s="40">
        <v>54918</v>
      </c>
      <c r="AJ42" s="12"/>
      <c r="AK42" s="12"/>
      <c r="AL42" s="12"/>
      <c r="AM42" s="12"/>
    </row>
    <row r="43" spans="1:39" x14ac:dyDescent="0.2">
      <c r="A43" s="25" t="s">
        <v>44</v>
      </c>
      <c r="B43" s="40">
        <v>13950</v>
      </c>
      <c r="E43" s="12"/>
      <c r="AJ43" s="12"/>
      <c r="AK43" s="12"/>
      <c r="AL43" s="12"/>
      <c r="AM43" s="12"/>
    </row>
    <row r="44" spans="1:39" x14ac:dyDescent="0.2">
      <c r="A44" s="25" t="s">
        <v>45</v>
      </c>
      <c r="B44" s="40">
        <v>1000</v>
      </c>
      <c r="C44" s="14"/>
      <c r="E44" s="12"/>
    </row>
    <row r="45" spans="1:39" x14ac:dyDescent="0.2">
      <c r="A45" s="25" t="s">
        <v>46</v>
      </c>
      <c r="B45" s="40"/>
      <c r="E45" s="12"/>
    </row>
    <row r="46" spans="1:39" x14ac:dyDescent="0.2">
      <c r="A46" s="25" t="s">
        <v>60</v>
      </c>
      <c r="B46" s="40">
        <v>0</v>
      </c>
      <c r="C46" s="14"/>
      <c r="E46" s="12"/>
    </row>
    <row r="47" spans="1:39" x14ac:dyDescent="0.2">
      <c r="A47" s="25" t="s">
        <v>32</v>
      </c>
      <c r="B47" s="40">
        <v>0</v>
      </c>
    </row>
    <row r="48" spans="1:39" x14ac:dyDescent="0.2">
      <c r="A48" s="25" t="s">
        <v>34</v>
      </c>
      <c r="B48" s="40">
        <v>0</v>
      </c>
      <c r="E48" s="12"/>
    </row>
    <row r="49" spans="1:5" x14ac:dyDescent="0.2">
      <c r="A49" s="25" t="s">
        <v>47</v>
      </c>
      <c r="B49" s="40">
        <v>0</v>
      </c>
      <c r="C49" s="14" t="s">
        <v>17</v>
      </c>
      <c r="E49" s="12"/>
    </row>
    <row r="50" spans="1:5" x14ac:dyDescent="0.2">
      <c r="A50" s="25" t="s">
        <v>48</v>
      </c>
      <c r="B50" s="40">
        <v>0</v>
      </c>
      <c r="E50" s="12"/>
    </row>
    <row r="51" spans="1:5" x14ac:dyDescent="0.2">
      <c r="A51" s="25" t="s">
        <v>49</v>
      </c>
      <c r="B51" s="40">
        <v>0</v>
      </c>
      <c r="E51" s="12"/>
    </row>
    <row r="52" spans="1:5" x14ac:dyDescent="0.2">
      <c r="A52" s="25" t="s">
        <v>35</v>
      </c>
      <c r="B52" s="40">
        <v>0</v>
      </c>
      <c r="C52" s="14"/>
      <c r="E52" s="12"/>
    </row>
    <row r="53" spans="1:5" x14ac:dyDescent="0.2">
      <c r="A53" s="25" t="s">
        <v>71</v>
      </c>
      <c r="B53" s="40">
        <v>35000</v>
      </c>
      <c r="E53" s="12"/>
    </row>
    <row r="54" spans="1:5" x14ac:dyDescent="0.2">
      <c r="A54" s="25" t="s">
        <v>72</v>
      </c>
      <c r="B54" s="40">
        <v>42338</v>
      </c>
      <c r="C54" s="14"/>
      <c r="E54" s="12"/>
    </row>
    <row r="55" spans="1:5" x14ac:dyDescent="0.2">
      <c r="A55" s="25" t="s">
        <v>29</v>
      </c>
      <c r="B55" s="40">
        <v>0</v>
      </c>
      <c r="C55" s="14"/>
      <c r="E55" s="12"/>
    </row>
    <row r="56" spans="1:5" ht="13.5" thickBot="1" x14ac:dyDescent="0.25">
      <c r="A56" s="25" t="s">
        <v>42</v>
      </c>
      <c r="B56" s="40">
        <v>0</v>
      </c>
      <c r="C56" s="14"/>
      <c r="E56" s="12"/>
    </row>
    <row r="57" spans="1:5" ht="13.5" thickBot="1" x14ac:dyDescent="0.25">
      <c r="A57" s="33" t="s">
        <v>43</v>
      </c>
      <c r="B57" s="34">
        <f>SUM(B30:B56)</f>
        <v>602127</v>
      </c>
      <c r="C57" s="14"/>
      <c r="E57" s="12"/>
    </row>
    <row r="58" spans="1:5" ht="13.5" thickBot="1" x14ac:dyDescent="0.25">
      <c r="A58" s="30"/>
      <c r="B58" s="36"/>
    </row>
    <row r="59" spans="1:5" x14ac:dyDescent="0.2">
      <c r="A59" s="27"/>
      <c r="B59" s="27"/>
    </row>
  </sheetData>
  <phoneticPr fontId="0" type="noConversion"/>
  <pageMargins left="0.55000000000000004" right="0.3" top="1" bottom="0.5" header="0.5" footer="0.23"/>
  <pageSetup scale="44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WEEKEND</vt:lpstr>
      <vt:lpstr>DAILY</vt:lpstr>
      <vt:lpstr>DAILY!Print_Area</vt:lpstr>
      <vt:lpstr>WEEKEND!Print_Area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bdillar</dc:creator>
  <cp:lastModifiedBy>Jan Havlíček</cp:lastModifiedBy>
  <cp:lastPrinted>2000-11-30T23:59:26Z</cp:lastPrinted>
  <dcterms:created xsi:type="dcterms:W3CDTF">2000-09-26T13:26:15Z</dcterms:created>
  <dcterms:modified xsi:type="dcterms:W3CDTF">2023-09-10T17:13:16Z</dcterms:modified>
</cp:coreProperties>
</file>