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367605-84A9-4347-B1DD-86AD61F8B02A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<sst xmlns="http://schemas.openxmlformats.org/spreadsheetml/2006/main" count="2126" uniqueCount="806">
  <si>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</si>
  <si>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</si>
  <si>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</si>
  <si>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</si>
  <si>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</si>
  <si>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</si>
  <si>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</si>
  <si>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</si>
  <si>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</si>
  <si>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</si>
  <si>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</si>
  <si>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</si>
  <si>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</si>
  <si>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</si>
  <si>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</si>
  <si>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</si>
  <si>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</si>
  <si>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</si>
  <si>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</si>
  <si>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</si>
  <si>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</si>
  <si>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</si>
  <si>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</si>
  <si>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</si>
  <si>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</si>
  <si>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</si>
  <si>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</si>
  <si>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</si>
  <si>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</si>
  <si>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</si>
  <si>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</si>
  <si>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</si>
  <si>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</si>
  <si>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</si>
  <si>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</si>
  <si>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</si>
  <si>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</si>
  <si>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</si>
  <si>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</si>
  <si>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</si>
  <si>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</si>
  <si>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</si>
  <si>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</si>
  <si>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</si>
  <si>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</si>
  <si>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</si>
  <si>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</si>
  <si>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</si>
  <si>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</si>
  <si>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</si>
  <si>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</si>
  <si>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</si>
  <si>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</si>
  <si>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</si>
  <si>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</si>
  <si>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</si>
  <si>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</si>
  <si>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</si>
  <si>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</si>
  <si>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</si>
  <si>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</si>
  <si>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</si>
  <si>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</si>
  <si>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</si>
  <si>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</si>
  <si>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</si>
  <si>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</si>
  <si>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</si>
  <si>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</si>
  <si>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</si>
  <si>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</si>
  <si>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</si>
  <si>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</si>
  <si>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</si>
  <si>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</si>
  <si>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</si>
  <si>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</si>
  <si>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</si>
  <si>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</si>
  <si>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</si>
  <si>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</si>
  <si>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</si>
  <si>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</si>
  <si>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</si>
  <si>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</si>
  <si>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</si>
  <si>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</si>
  <si>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</si>
  <si>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</si>
  <si>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</si>
  <si>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</si>
  <si>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</si>
  <si>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</si>
  <si>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</si>
  <si>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</si>
  <si>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</si>
  <si>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</si>
  <si>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</si>
  <si>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</si>
  <si>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</si>
  <si>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</si>
  <si>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</si>
  <si>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</si>
  <si>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</si>
  <si>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</si>
  <si>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</si>
  <si>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</si>
  <si>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</si>
  <si>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</si>
  <si>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</si>
  <si>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</si>
  <si>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</si>
  <si>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</si>
  <si>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</si>
  <si>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</si>
  <si>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</si>
  <si>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</si>
  <si>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</si>
  <si>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</si>
  <si>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</si>
  <si>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</si>
  <si>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</si>
  <si>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</si>
  <si>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</si>
  <si>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</si>
  <si>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</si>
  <si>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</si>
  <si>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</si>
  <si>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</si>
  <si>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</si>
  <si>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</si>
  <si>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</si>
  <si>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</si>
  <si>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</si>
  <si>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</si>
  <si>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</si>
  <si>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</si>
  <si>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</si>
  <si>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</si>
  <si>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</si>
  <si>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</si>
  <si>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</si>
  <si>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</si>
  <si>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</si>
  <si>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</si>
  <si>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</si>
  <si>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</si>
  <si>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</si>
  <si>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</si>
  <si>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</si>
  <si>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</si>
  <si>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</si>
  <si>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</si>
  <si>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</si>
  <si>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</si>
  <si>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</si>
  <si>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</si>
  <si>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</si>
  <si>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</si>
  <si>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</si>
  <si>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</si>
  <si>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</si>
  <si>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</si>
  <si>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</si>
  <si>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</si>
  <si>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</si>
  <si>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</si>
  <si>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</si>
  <si>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</si>
  <si>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</si>
  <si>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</si>
  <si>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</si>
  <si>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</si>
  <si>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</si>
  <si>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</si>
  <si>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</si>
  <si>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</si>
  <si>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</si>
  <si>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</si>
  <si>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</si>
  <si>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</si>
  <si>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</si>
  <si>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</si>
  <si>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</si>
  <si>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</si>
  <si>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</si>
  <si>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</si>
  <si>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</si>
  <si>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</si>
  <si>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</si>
  <si>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</si>
  <si>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</si>
  <si>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</si>
  <si>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</si>
  <si>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</si>
  <si>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</si>
  <si>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</si>
  <si>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</si>
  <si>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</si>
  <si>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</si>
  <si>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</si>
  <si>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</si>
  <si>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</si>
  <si>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</si>
  <si>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</si>
  <si>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</si>
  <si>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</si>
  <si>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</si>
  <si>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</si>
  <si>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</si>
  <si>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</si>
  <si>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</si>
  <si>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</si>
  <si>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</si>
  <si>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</si>
  <si>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</si>
  <si>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</si>
  <si>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</si>
  <si>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</si>
  <si>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</si>
  <si>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</si>
  <si>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</si>
  <si>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</si>
  <si>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</si>
  <si>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</si>
  <si>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</si>
  <si>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</si>
  <si>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</si>
  <si>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</si>
  <si>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</si>
  <si>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</si>
  <si>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</si>
  <si>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</si>
  <si>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</si>
  <si>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</si>
  <si>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</si>
  <si>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</si>
  <si>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</si>
  <si>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</si>
  <si>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</si>
  <si>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</si>
  <si>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</si>
  <si>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</si>
  <si>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</si>
  <si>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</si>
  <si>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</si>
  <si>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</si>
  <si>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</si>
  <si>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</si>
  <si>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</si>
  <si>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</si>
  <si>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</si>
  <si>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</si>
  <si>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</si>
  <si>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</si>
  <si>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</si>
  <si>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</si>
  <si>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</si>
  <si>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</si>
  <si>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</si>
  <si>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</si>
  <si>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</si>
  <si>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</si>
  <si>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</si>
  <si>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</si>
  <si>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</si>
  <si>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</si>
  <si>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</si>
  <si>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</si>
  <si>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</si>
  <si>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</si>
  <si>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</si>
  <si>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</si>
  <si>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</si>
  <si>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</si>
  <si>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</si>
  <si>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</si>
  <si>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</si>
  <si>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</si>
  <si>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</si>
  <si>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</si>
  <si>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</si>
  <si>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</si>
  <si>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</si>
  <si>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</si>
  <si>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</si>
  <si>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</si>
  <si>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</si>
  <si>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</si>
  <si>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</si>
  <si>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</si>
  <si>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</si>
  <si>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</si>
  <si>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</si>
  <si>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</si>
  <si>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</si>
  <si>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</si>
  <si>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</si>
  <si>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</si>
  <si>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</si>
  <si>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</si>
  <si>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</si>
  <si>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</si>
  <si>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</si>
  <si>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</si>
  <si>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</si>
  <si>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</si>
  <si>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</si>
  <si>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</si>
  <si>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</si>
  <si>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</si>
  <si>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</si>
  <si>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</si>
  <si>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</si>
  <si>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</si>
  <si>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</si>
  <si>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</si>
  <si>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</si>
  <si>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</si>
  <si>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</si>
  <si>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</si>
  <si>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</si>
  <si>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</si>
  <si>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</si>
  <si>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</si>
  <si>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</si>
  <si>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</si>
  <si>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</si>
  <si>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</si>
  <si>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</si>
  <si>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</si>
  <si>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</si>
  <si>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</si>
  <si>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</si>
  <si>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</si>
  <si>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</si>
  <si>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</si>
  <si>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</si>
  <si>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</si>
  <si>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</si>
  <si>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</si>
  <si>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</si>
  <si>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</si>
  <si>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</si>
  <si>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</si>
  <si>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</si>
  <si>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</si>
  <si>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</si>
  <si>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</si>
  <si>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</si>
  <si>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</si>
  <si>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</si>
  <si>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</si>
  <si>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</si>
  <si>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</si>
  <si>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</si>
  <si>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</si>
  <si>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</si>
  <si>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</si>
  <si>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</si>
  <si>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</si>
  <si>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</si>
  <si>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</si>
  <si>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</si>
  <si>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</si>
  <si>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</si>
  <si>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</si>
  <si>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</si>
  <si>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</si>
  <si>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</si>
  <si>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</si>
  <si>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</si>
  <si>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</si>
  <si>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</si>
  <si>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</si>
  <si>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</si>
  <si>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</si>
  <si>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</si>
  <si>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</si>
  <si>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</si>
  <si>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</si>
  <si>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</si>
  <si>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</si>
  <si>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</si>
  <si>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</si>
  <si>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</si>
  <si>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</si>
  <si>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</si>
  <si>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</si>
  <si>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</si>
  <si>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</si>
  <si>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</si>
  <si>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</si>
  <si>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</si>
  <si>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</si>
  <si>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</si>
  <si>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</si>
  <si>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</si>
  <si>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</si>
  <si>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</si>
  <si>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</si>
  <si>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</si>
  <si>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</si>
  <si>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</si>
  <si>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</si>
  <si>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</si>
  <si>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</si>
  <si>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</si>
  <si>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</si>
  <si>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</si>
  <si>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</si>
  <si>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</si>
  <si>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</si>
  <si>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</si>
  <si>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</si>
  <si>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</si>
  <si>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</si>
  <si>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</si>
  <si>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</si>
  <si>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</si>
  <si>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</si>
  <si>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</si>
  <si>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</si>
  <si>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</si>
  <si>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</si>
  <si>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</si>
  <si>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</si>
  <si>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</si>
  <si>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</si>
  <si>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</si>
  <si>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</si>
  <si>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</si>
  <si>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</si>
  <si>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</si>
  <si>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</si>
  <si>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</si>
  <si>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</si>
  <si>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</si>
  <si>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</si>
  <si>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</si>
  <si>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</si>
  <si>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</si>
  <si>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</si>
  <si>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</si>
  <si>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</si>
  <si>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</si>
  <si>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</si>
  <si>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</si>
  <si>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</si>
  <si>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</si>
  <si>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</si>
  <si>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</si>
  <si>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</si>
  <si>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</si>
  <si>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</si>
  <si>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</si>
  <si>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</si>
  <si>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</si>
  <si>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</si>
  <si>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</si>
  <si>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</si>
  <si>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</si>
  <si>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</si>
  <si>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</si>
  <si>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</si>
  <si>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</si>
  <si>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</si>
  <si>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</si>
  <si>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</si>
  <si>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</si>
  <si>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</si>
  <si>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</si>
  <si>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</si>
  <si>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</si>
  <si>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</si>
  <si>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</si>
  <si>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</si>
  <si>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</si>
  <si>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</si>
  <si>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</si>
  <si>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</si>
  <si>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</si>
  <si>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</si>
  <si>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</si>
  <si>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</si>
  <si>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</si>
  <si>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</si>
  <si>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</si>
  <si>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</si>
  <si>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</si>
  <si>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</si>
  <si>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</si>
  <si>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</si>
  <si>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</si>
  <si>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</si>
  <si>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</si>
  <si>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</si>
  <si>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</si>
  <si>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</si>
  <si>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</si>
  <si>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</si>
  <si>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</si>
  <si>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</si>
  <si>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</si>
  <si>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</si>
  <si>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</si>
  <si>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</si>
  <si>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</si>
  <si>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</si>
  <si>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</si>
  <si>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</si>
  <si>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</si>
  <si>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</si>
  <si>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</si>
  <si>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</si>
  <si>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</si>
  <si>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</si>
  <si>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</si>
  <si>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</si>
  <si>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</si>
  <si>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</si>
  <si>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</si>
  <si>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</si>
  <si>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</si>
  <si>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</si>
  <si>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</si>
  <si>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</si>
  <si>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</si>
  <si>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</si>
  <si>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</si>
  <si>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</si>
  <si>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</si>
  <si>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</si>
  <si>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</si>
  <si>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</si>
  <si>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</si>
  <si>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</si>
  <si>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</si>
  <si>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</si>
  <si>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</si>
  <si>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</si>
  <si>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</si>
  <si>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</si>
  <si>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</si>
  <si>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</si>
  <si>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</si>
  <si>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</si>
  <si>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</si>
  <si>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</si>
  <si>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</si>
  <si>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</si>
  <si>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</si>
  <si>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</si>
  <si>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</si>
  <si>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</si>
  <si>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</si>
  <si>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</si>
  <si>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</si>
  <si>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</si>
  <si>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</si>
  <si>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</si>
  <si>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</si>
  <si>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</si>
  <si>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</si>
  <si>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</si>
  <si>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</si>
  <si>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</si>
  <si>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</si>
  <si>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</si>
  <si>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</si>
  <si>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</si>
  <si>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</si>
  <si>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</si>
  <si>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</si>
  <si>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</si>
  <si>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</si>
  <si>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</si>
  <si>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</si>
  <si>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</si>
  <si>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</si>
  <si>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</si>
  <si>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</si>
  <si>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</si>
  <si>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</si>
  <si>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</si>
  <si>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</si>
  <si>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</si>
  <si>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</si>
  <si>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</si>
  <si>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</si>
  <si>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</si>
  <si>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</si>
  <si>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</si>
  <si>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</si>
  <si>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</si>
  <si>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</si>
  <si>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</si>
  <si>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</si>
  <si>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</si>
  <si>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</si>
  <si>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</si>
  <si>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</si>
  <si>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</si>
  <si>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</si>
  <si>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</si>
  <si>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</si>
  <si>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</si>
  <si>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</si>
  <si>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</si>
  <si>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</si>
  <si>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</si>
  <si>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</si>
  <si>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</si>
  <si>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</si>
  <si>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</si>
  <si>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</si>
  <si>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</si>
  <si>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</si>
  <si>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</si>
  <si>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</si>
  <si>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</si>
  <si>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</si>
  <si>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</si>
  <si>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</si>
  <si>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</si>
  <si>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</si>
  <si>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</si>
  <si>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</si>
  <si>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</si>
  <si>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</si>
  <si>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</si>
  <si>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</si>
  <si>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</si>
  <si>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</si>
  <si>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</si>
  <si>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</si>
  <si>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</si>
  <si>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</si>
  <si>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</si>
  <si>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</si>
  <si>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</si>
  <si>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</si>
  <si>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</si>
  <si>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</si>
  <si>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</si>
  <si>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</si>
  <si>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</si>
  <si>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</si>
  <si>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</si>
  <si>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</si>
  <si>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</si>
  <si>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</si>
  <si>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</si>
  <si>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</si>
  <si>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</si>
  <si>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</si>
  <si>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</si>
  <si>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</si>
  <si>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</si>
  <si>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</si>
  <si>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</si>
  <si>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</si>
  <si>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</si>
  <si>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</si>
  <si>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</si>
  <si>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</si>
  <si>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</si>
  <si>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</si>
  <si>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</si>
  <si>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</si>
  <si>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</si>
  <si>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</si>
  <si>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</si>
  <si>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</si>
  <si>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</si>
  <si>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</si>
  <si>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</si>
  <si>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</si>
  <si>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</si>
  <si>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</si>
  <si>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</si>
  <si>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</si>
  <si>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</si>
  <si>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</si>
  <si>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</si>
  <si>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</si>
  <si>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</si>
  <si>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</si>
  <si>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</si>
  <si>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</si>
  <si>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</si>
  <si>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</si>
  <si>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</si>
  <si>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</si>
  <si>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</si>
  <si>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</si>
  <si>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</si>
  <si>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</si>
  <si>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</si>
  <si>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</si>
  <si>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</si>
  <si>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</si>
  <si>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</si>
  <si>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</si>
  <si>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</si>
  <si>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</si>
  <si>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</si>
  <si>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</si>
  <si>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</si>
  <si>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</si>
  <si>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</si>
  <si>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</si>
  <si>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</si>
  <si>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</si>
  <si>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</si>
  <si>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</si>
  <si>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</si>
  <si>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</si>
  <si>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</si>
  <si>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</si>
  <si>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</si>
  <si>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</si>
  <si>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</si>
  <si>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</si>
  <si>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</si>
  <si>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</si>
  <si>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</si>
  <si>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</si>
  <si>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</si>
  <si>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</si>
  <si>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</si>
  <si>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</si>
  <si>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</si>
  <si>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</si>
  <si>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</si>
  <si>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</si>
  <si>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</si>
  <si>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</si>
  <si>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</si>
  <si>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</si>
  <si>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</si>
  <si>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</si>
  <si>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</si>
  <si>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</si>
  <si>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</si>
  <si>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</si>
  <si>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</si>
  <si>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</si>
  <si>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</si>
  <si>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</si>
  <si>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</si>
  <si>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</si>
  <si>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</si>
  <si>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</si>
  <si>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</si>
  <si>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</si>
  <si>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</si>
  <si>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</si>
  <si>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</si>
  <si>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</si>
  <si>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</si>
  <si>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</si>
  <si>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</si>
  <si>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</si>
  <si>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</si>
  <si>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</si>
  <si>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</si>
  <si>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</si>
  <si>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</si>
  <si>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</si>
  <si>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</si>
  <si>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</si>
  <si>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</si>
  <si>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</si>
  <si>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</si>
  <si>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</si>
  <si>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</si>
  <si>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</si>
  <si>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</si>
  <si>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</si>
  <si>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</si>
  <si>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</si>
  <si>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</si>
  <si>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</si>
  <si>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</si>
  <si>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</si>
  <si>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</si>
  <si>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</si>
  <si>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</si>
  <si>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</si>
  <si>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</si>
  <si>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</si>
  <si>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</si>
  <si>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</si>
  <si>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</si>
  <si>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</si>
  <si>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</si>
  <si>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MOSTLY SUNNY. LIGHT WINDS BECOMING S.E. 5 TO 10 MPH. OVERNIGHT…PARTLY </t>
  </si>
  <si>
    <t>CLOUDY. SOUTHEAST WINDS 5 TO 10 MPH.</t>
  </si>
  <si>
    <t>INCREASING CLOUDS, WITH A CHANCE OF SHOWERS AND T-STORMS THIS AFTER-</t>
  </si>
  <si>
    <t>NOON. CHANCE OF RAIN 60%.CLOUDY  WITH SHOWERS AT NIGHT.</t>
  </si>
  <si>
    <t xml:space="preserve">CLOUDY… A 50% CHANCE OF T-STORMS. HIGH IN THE UPPER 70S. CLOUDY AT </t>
  </si>
  <si>
    <t>NIGHT WITH A 50% CHANCE OF SHOWERS AND T-STORMS. LOW IN THE 50S.</t>
  </si>
  <si>
    <t>PARTLY CLOUDY. HIGH AROUND 70.</t>
  </si>
  <si>
    <t>FAIR.. HIGH AROUDN 75 WITH LOWS IN THE MIDDLE 50S.</t>
  </si>
  <si>
    <t>CLOUDY… HIGH IN THE MIDDLE 70S. LOWS IN THE MIDDLE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</si>
</sst>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quotePrefix="1" applyFont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826121C-D331-E56A-4E64-2F9FA3CB0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48B3BA2-806D-2B8C-9ECB-4F86EDF78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EDA4600-C6E8-93BA-D6B2-6E4EF3199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214CC7A-1CA9-9BCB-463B-3140ADDEA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B830564-3327-CB27-DD4E-C2AFE2535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F865EED-D02A-D31D-700C-A761615EF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43B3FA6-763A-F2DE-5794-CCD34CECD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2FD8AE0-7AF0-D490-5A5C-46EA021BB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411FDD8-5880-6993-7D65-F00F9C0F8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622F955-5355-8082-F5B2-BEA0E4E85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0D5D73F-E712-13BB-3C0A-509A13861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DD21248-E46D-AA77-E014-ABB14E28C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9470220-90E2-C57F-90F4-C4928316E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CD87314-1D82-FF08-1A39-9B83687CC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14AD72F-A6AB-6A02-1748-D140306CB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78DF5F1-DAFC-FE93-F2A9-946C522FD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FA7D951-F1FA-75CB-25E5-E795D37AA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D670DDAC-AF7D-F3F9-4671-84A06F276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E318448-F202-1E32-EA36-6455D4A72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86002A7-CBC0-6241-5392-183DF8438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2A9C8533-6883-E5AA-8890-340A320C7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A681D3F-6EC2-037B-4162-209953579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4CB8008-C53D-0373-3E01-33B3273D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9F0018A-A78A-B947-8206-817005687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7254ED6E-CCB6-EB13-0402-E6E5328C9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8602EFB7-37FB-DBB6-E28D-49C4D38D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85E2C280-9727-DF28-2286-98504436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88D97B4-7C0D-5E49-8810-80DF815EC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C5A33D3F-88A9-A033-9607-B209FDDB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07FCBC7-85F5-0047-DCD1-7F4DA4660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A679CC13-B8A3-A245-F61D-7C30A8DDC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20EA65D-1F76-C5A9-AD06-9488B262A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B8F4CD5-0968-38C9-9A29-5F3A9E1C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68F86D6-9DE6-B0EC-C677-CF2A900A3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F3F1D0F-18A5-3001-87AB-946753C0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D5CA042-7191-CF53-2201-8AE055FF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A17BDF81-CF8D-0B92-69EE-6802D98BB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D149AB28-F77C-7323-D578-C6074DCE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436C2EF-541A-6EA6-1AFB-D67D0F07B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239AD0AE-751A-3297-B665-FEA33E5D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727623D-2787-05C7-334B-AD8A8A6DD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E754A28-229A-86C4-CB6C-BB5334AD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3D099E8-051A-548E-E827-F6F754381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D10DE09-B8D9-09D2-E742-E1DE0EA45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995" name="Day_1">
          <a:extLst>
            <a:ext uri="{FF2B5EF4-FFF2-40B4-BE49-F238E27FC236}">
              <a16:creationId xmlns:a16="http://schemas.microsoft.com/office/drawing/2014/main" id="{E73D8250-66BF-32DC-F612-BF5673E8A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996" name="Day_2">
          <a:extLst>
            <a:ext uri="{FF2B5EF4-FFF2-40B4-BE49-F238E27FC236}">
              <a16:creationId xmlns:a16="http://schemas.microsoft.com/office/drawing/2014/main" id="{934E96A9-7FB7-AC37-BB56-A2DCA0D4D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997" name="Day_3">
          <a:extLst>
            <a:ext uri="{FF2B5EF4-FFF2-40B4-BE49-F238E27FC236}">
              <a16:creationId xmlns:a16="http://schemas.microsoft.com/office/drawing/2014/main" id="{7630F4B2-4DF4-FAF5-1A06-C6F7467BA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998" name="Day_4">
          <a:extLst>
            <a:ext uri="{FF2B5EF4-FFF2-40B4-BE49-F238E27FC236}">
              <a16:creationId xmlns:a16="http://schemas.microsoft.com/office/drawing/2014/main" id="{6B601398-7679-EB56-6291-40552B47B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999" name="Day_5">
          <a:extLst>
            <a:ext uri="{FF2B5EF4-FFF2-40B4-BE49-F238E27FC236}">
              <a16:creationId xmlns:a16="http://schemas.microsoft.com/office/drawing/2014/main" id="{7785DED9-E182-384B-0A93-B72718C8B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00" name="Day_6">
          <a:extLst>
            <a:ext uri="{FF2B5EF4-FFF2-40B4-BE49-F238E27FC236}">
              <a16:creationId xmlns:a16="http://schemas.microsoft.com/office/drawing/2014/main" id="{CE388B42-1444-F1D0-B808-450938E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73DC5CD2-7342-CD5E-54A0-AF368AA7CA59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7C88FB9A-CA02-6175-B8EB-8766445B25F4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D8971642-9396-62B4-08EC-530DFDE61B1C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31E978D-F4FC-CBA1-6796-E24B889DE1D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4290521F-5EA9-C94B-B829-568D668FE6C9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F239488-740F-4CAA-496C-ECF6CB447A4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CB496EBF-06B7-C38D-641A-593CA5D7A220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4C9EB92-0688-8D65-4EA7-80F6F64B9BB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9E2A78E-1ABC-B6DB-F5A1-BFE01018682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1B3FA53-738E-4287-C247-CDB6DEC9B3E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475F17D-A983-4F2C-C72B-40E6B940755E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18B706A-0C53-1CD8-B5DD-B6238C0CBF6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F4B84CA-6A64-4894-A3E4-8EB10DD5DD8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A20EC484-28A5-6F78-69A2-862A1171E961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DE169EC-A771-5790-ED59-1B1286E2AF33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F51F59A4-6362-FE72-9B6C-87E3DD104857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6DD2586D-7EA7-F760-8408-129D004E22C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622ABA94-6774-9EB5-3EAB-5882EA9EBF4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256B90B-9E32-C6B1-9934-6EADE73E0837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15CEBDA-004A-B49D-7E70-D7341DBCB1C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7C31F6D-3DEF-3158-1C34-47D29C5F5EA9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33D7D433-61F8-44A3-5E46-E2E38040BB40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23B15537-713D-E954-B1BB-89C90E38C53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E14F1A47-0E3A-06BF-8C72-F68E49696CD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BDAA655-B4B2-8774-F8D1-2AC7318A55FE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5466072-7BA5-0E39-2650-4F21E50F8C9B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27CAD44-5A18-5B85-096D-7209951676EF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10FB2E5-1BD1-DEF5-689C-54EA919CDFF6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7912AE8-448F-8400-C91B-D63BB3E919DF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57E19A1-20BE-40C7-205E-93FD3494C76C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C384DB16-D795-ECD8-EF2D-DC23022065C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5DF1369-6C69-5E87-1129-972DB2CFDF2E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30B440EA-DD6F-4DE8-BAE3-31C9CE0856CA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F2E7294B-061B-E247-B5D0-2F3A6F651F51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CF4D372-1142-FC66-DBE2-CB5EFA7BD11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210DD35D-D563-95C1-A7F7-F93A8C239D5A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BF7571F1-A5C5-E375-CB14-5A7347E65F15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F00A2C40-D0DD-70C1-35EA-DD6EFB499F1F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5339493D-ED65-1751-3A0C-61FA72F46C7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4D74FA4A-7279-D123-0D54-3FE42F725D4F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10CED08-32A3-B7FF-23F2-B25F795746B4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FD93A25-19B4-3A59-CE4C-CFC15F6DE62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D9EAEB85-CAB7-39DA-0241-F68D7001F24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37ACD79A-49C7-6CE8-A599-7270FE1C199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605EB46-FAE8-A09A-2CD4-7AA90CEDFF09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4846AA8E-099A-4752-2E87-3AC101CC6F3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8F0E5BE3-49D5-276C-66CC-D5AEAA9887B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104884F1-A64C-8A40-AD62-5A28CC07E2DE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1878BF38-5905-FCCF-12DC-683311CE63F5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945508A2-7771-8EB8-8D24-6141B9D23666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82E3B160-5062-D777-0B2E-27141723919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BF6431AF-0C19-E897-A71F-D091BD9B743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5632CA3-F8E5-70D1-5A46-9AC8ECA9753D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8FC7ACD-A157-A4C3-FC5C-1A05BF6DE3B4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7F46E55B-CA6C-1B59-C573-1688674065A0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BBB111D1-04A8-CE12-37AC-34ED7C37543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B2250759-8906-E9E4-F097-09508C8F3D5A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BB18A14-F0F0-7440-6105-C1BA9721FF07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DA4888A-059F-49E5-9998-8CD3886832A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5BCB59A6-D50E-D7FB-8372-E39818BCCC5F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6FE6BC1D-E443-B6BA-C1A6-9B79B1A3DEF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8BABCB8-F486-2A78-1DF1-2C381FB1723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67FB4150-8D32-69E3-6EB4-7FC6FCB9B73C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C5CB162-2D50-AF96-2F06-8BD7B3AAF32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A0755C5-6D2C-27F8-702F-E84FB6720A7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FBF841EE-A25B-AFC0-07AE-BEB30240C82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BB8465D-CD1B-19F9-C25E-14364962471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D1CC225C-D060-21BA-E5A0-05D80F980CD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BBEA87EE-01A5-58EC-130D-052FA72048D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DC7A762C-D294-E931-7C4D-F6115E6A449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35FE8132-E2F4-433B-32BC-39EEAF93F10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B656F0C8-8B63-7C4B-6FC7-74A8DB23C63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1278B666-EDA4-22B8-41BD-5F4C47A07EA9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A592144-AEF9-4F9D-F493-A0C4AA035CD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B4C5D7E-4F41-AEE7-8B62-322E6EEB0D1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C15DA060-C257-7332-D4BD-F8613FDFDED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3D80DB13-F004-F2D9-23A6-116FD58C31B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7400047B-946F-900B-9A07-2F4F8F220A2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29626158-981C-617E-8FB1-63F134BC431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D8700244-7457-BA05-D535-D88688FFBE0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A25EA5E9-0445-0CB6-D46B-DAB3C3C7D42C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8E7EE6B5-4FAD-E8B0-6C9D-2D2E70CA0B35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C37D065-BF1B-AAD6-FCAE-5BCD14A28A7C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14EF0B8-EC69-7C25-37A4-361EF6860354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7A15CD5C-87EA-3AA7-7938-AA3539F7E9E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C523020-C7C3-2173-F12A-E709D7623D0E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56C2BFF-1F27-F495-0E7D-C6E34DA2398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EE25358C-C2B8-7365-B683-447EA7E1D539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7C5D35F-4768-ECC0-B7A5-9818D4D9866E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7444E33-1143-210C-95F4-E62EC8DCD881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5ECCE1B-8367-99FA-205C-7D400D7EE454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2766021-9DA6-C68F-871B-F9000CC8BCF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80B0B77-DB78-79BF-A053-BF8FE90A78EF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69340321-AEA7-1D3B-6942-0EFE32E19876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44A6358-ADF2-BF79-A1EF-36A2A47350A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000FC1FB-B3B3-D0AF-1748-FD898249E16B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60A4134-13B0-BAE9-75FB-A6A11EF9D069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56AF83ED-AF66-E8AC-5058-50759E80C5D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E7C8DF1C-FA66-5899-A716-7DCDF6E84B0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B101BC5-6B77-26D3-9DFC-81C3FE2B3E50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DBAAF0BB-5D9F-02DB-5507-3BED2098BB31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D43B1865-4400-E597-5907-972CBCEADE8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622B7202-AFA6-407D-C14E-0963E17A363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B31AF30A-0DD2-47B3-7FDA-668470CE6F8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8BFB6D7-69A2-B1CA-05B7-25CD6DE7F464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027AD5D-1050-44A6-E7C7-010CFF523F93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0DD0C8B-A70A-BF80-BF09-4EF25818573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E4974D5-986C-366F-6CC0-7F320ED60C6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65AFA44-2403-32FE-A889-D4F81CF49C72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DDA94076-CE8A-0C28-D678-6A13A3C057A8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B6BBBDE3-F26F-DC06-4804-6C8AC55DF3BF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1A683E09-91F7-A3AF-3F0A-921F0192ABB9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D901FC98-D9C1-6FAC-4192-C0C0D380CB8B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B015988-5505-A0BA-227F-F0262CCDA74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FFA12706-3BF0-CED3-4973-3EDF9F807B2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598CFEDB-4637-5454-87C4-B5C216637C0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7193E62-3CF1-42E1-814E-FF200E45253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3E68A58-5A07-C8B7-6B73-A047BEBD39AE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A7DC5590-1C1C-C3DD-BAD9-3827232B98A4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1537C977-FE3F-4EE2-6167-FE73E2D1195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F2FBAE7D-D86A-5A56-6559-EAB3166AA55C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E83CDE93-ECC3-6DBB-19A4-8E2A56453A36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5CA08EE-55D0-9BB0-A1E7-6D656E4289C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5519E586-63FA-72FE-5526-45440139D55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332DF3A-A20F-B647-1314-A4DA1DD63105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FFB14558-BF6E-646B-3C90-5B12E04628A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ECFD647-4EA4-D75C-A08E-8C3181AA705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4F59084-EF69-9ACA-8D96-94A76CD2F068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D1A53C7-60D4-A3E5-1D36-FCC9A952BC6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B1399A8-9002-AD9A-D9EA-FCAEC776552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C24" sqref="C24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7" t="s">
        <v>630</v>
      </c>
      <c r="B1" s="810"/>
    </row>
    <row r="2" spans="1:88">
      <c r="A2" s="1107" t="s">
        <v>11</v>
      </c>
      <c r="B2" t="s">
        <v>11</v>
      </c>
    </row>
    <row r="3" spans="1:88" ht="15.75" thickBot="1">
      <c r="A3" s="1106" t="s">
        <v>697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SUN</v>
      </c>
      <c r="I1" s="878">
        <f>D4</f>
        <v>37024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37024</v>
      </c>
      <c r="E4" s="845">
        <f>Weather_Input!A6</f>
        <v>37025</v>
      </c>
      <c r="F4" s="845">
        <f>Weather_Input!A7</f>
        <v>37026</v>
      </c>
      <c r="G4" s="845">
        <f>Weather_Input!A8</f>
        <v>37027</v>
      </c>
      <c r="H4" s="845">
        <f>Weather_Input!A9</f>
        <v>37028</v>
      </c>
      <c r="I4" s="846">
        <f>Weather_Input!A10</f>
        <v>37029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68/44/56</v>
      </c>
      <c r="E5" s="879" t="str">
        <f>TEXT(Weather_Input!B6,"0")&amp;"/"&amp;TEXT(Weather_Input!C6,"0") &amp; "/" &amp; TEXT((Weather_Input!B6+Weather_Input!C6)/2,"0")</f>
        <v>73/58/66</v>
      </c>
      <c r="F5" s="879" t="str">
        <f>TEXT(Weather_Input!B7,"0")&amp;"/"&amp;TEXT(Weather_Input!C7,"0") &amp; "/" &amp; TEXT((Weather_Input!B7+Weather_Input!C7)/2,"0")</f>
        <v>77/55/66</v>
      </c>
      <c r="G5" s="879" t="str">
        <f>TEXT(Weather_Input!B8,"0")&amp;"/"&amp;TEXT(Weather_Input!C8,"0") &amp; "/" &amp; TEXT((Weather_Input!B8+Weather_Input!C8)/2,"0")</f>
        <v>72/55/64</v>
      </c>
      <c r="H5" s="879" t="str">
        <f>TEXT(Weather_Input!B9,"0")&amp;"/"&amp;TEXT(Weather_Input!C9,"0") &amp; "/" &amp; TEXT((Weather_Input!B9+Weather_Input!C9)/2,"0")</f>
        <v>78/58/68</v>
      </c>
      <c r="I5" s="880" t="str">
        <f>TEXT(Weather_Input!B10,"0")&amp;"/"&amp;TEXT(Weather_Input!C10,"0") &amp; "/" &amp; TEXT((Weather_Input!B10+Weather_Input!C10)/2,"0")</f>
        <v>74/53/64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52</v>
      </c>
      <c r="E6" s="848">
        <f ca="1">VLOOKUP(E4,NSG_Sendouts,CELL("Col",NSG_Deliveries!C6),FALSE)/1000</f>
        <v>44</v>
      </c>
      <c r="F6" s="848">
        <f ca="1">VLOOKUP(F4,NSG_Sendouts,CELL("Col",NSG_Deliveries!C7),FALSE)/1000</f>
        <v>39</v>
      </c>
      <c r="G6" s="848">
        <f ca="1">VLOOKUP(G4,NSG_Sendouts,CELL("Col",NSG_Deliveries!C8),FALSE)/1000</f>
        <v>39</v>
      </c>
      <c r="H6" s="848">
        <f ca="1">VLOOKUP(H4,NSG_Sendouts,CELL("Col",NSG_Deliveries!C9),FALSE)/1000</f>
        <v>38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12.036</v>
      </c>
      <c r="E12" s="848">
        <f>NSG_Requirements!J8/1000</f>
        <v>16.78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0</v>
      </c>
      <c r="G13" s="848">
        <f>NSG_Requirements!H10/1000</f>
        <v>0</v>
      </c>
      <c r="H13" s="848">
        <f>NSG_Requirements!H11/1000</f>
        <v>0</v>
      </c>
      <c r="I13" s="849">
        <f>NSG_Requirements!H12/1000</f>
        <v>0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64.036000000000001</v>
      </c>
      <c r="E19" s="857">
        <f t="shared" ca="1" si="1"/>
        <v>60.78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12.510999999999999</v>
      </c>
      <c r="E25" s="848">
        <f>NSG_Supplies!F8/1000</f>
        <v>9</v>
      </c>
      <c r="F25" s="848">
        <f>NSG_Supplies!F9/1000</f>
        <v>9</v>
      </c>
      <c r="G25" s="848">
        <f>NSG_Supplies!F10/1000</f>
        <v>9</v>
      </c>
      <c r="H25" s="848">
        <f>NSG_Supplies!F11/1000</f>
        <v>9</v>
      </c>
      <c r="I25" s="853">
        <f>NSG_Supplies!F12/1000</f>
        <v>9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5" t="s">
        <v>771</v>
      </c>
      <c r="D32" s="848">
        <f>NSG_Supplies!R7/1000</f>
        <v>31.776</v>
      </c>
      <c r="E32" s="848">
        <f>NSG_Supplies!R8/1000</f>
        <v>31.776</v>
      </c>
      <c r="F32" s="848">
        <f>NSG_Supplies!R9/1000</f>
        <v>31.776</v>
      </c>
      <c r="G32" s="848">
        <f>NSG_Supplies!R10/1000</f>
        <v>31.776</v>
      </c>
      <c r="H32" s="848">
        <f>NSG_Supplies!R11/1000</f>
        <v>31.776</v>
      </c>
      <c r="I32" s="849">
        <f>NSG_Supplies!R12/1000</f>
        <v>31.776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64.287000000000006</v>
      </c>
      <c r="E37" s="888">
        <f t="shared" si="2"/>
        <v>60.775999999999996</v>
      </c>
      <c r="F37" s="888">
        <f t="shared" si="2"/>
        <v>60.775999999999996</v>
      </c>
      <c r="G37" s="888">
        <f t="shared" si="2"/>
        <v>60.775999999999996</v>
      </c>
      <c r="H37" s="888">
        <f t="shared" si="2"/>
        <v>60.775999999999996</v>
      </c>
      <c r="I37" s="889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0.25100000000000477</v>
      </c>
      <c r="E38" s="892">
        <f t="shared" ca="1" si="3"/>
        <v>0</v>
      </c>
      <c r="F38" s="892">
        <f t="shared" ca="1" si="3"/>
        <v>1.7759999999999962</v>
      </c>
      <c r="G38" s="892">
        <f t="shared" ca="1" si="3"/>
        <v>1.7759999999999962</v>
      </c>
      <c r="H38" s="892">
        <f t="shared" ca="1" si="3"/>
        <v>2.7759999999999962</v>
      </c>
      <c r="I38" s="893">
        <f t="shared" ca="1" si="3"/>
        <v>3.7759999999999962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4.0000000000048885E-3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6" t="s">
        <v>772</v>
      </c>
      <c r="B40" s="1167"/>
      <c r="C40" s="1167"/>
      <c r="D40" s="1168">
        <f>NSG_Supplies!S7/1000</f>
        <v>20.831</v>
      </c>
      <c r="E40" s="1168">
        <f>NSG_Supplies!S8/1000</f>
        <v>20.831</v>
      </c>
      <c r="F40" s="1168">
        <f>NSG_Supplies!S9/1000</f>
        <v>20.831</v>
      </c>
      <c r="G40" s="1168">
        <f>NSG_Supplies!S10/1000</f>
        <v>20.831</v>
      </c>
      <c r="H40" s="1168">
        <f>NSG_Supplies!S11/1000</f>
        <v>20.831</v>
      </c>
      <c r="I40" s="1169">
        <f>NSG_Supplies!S12/1000</f>
        <v>20.831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5.2</v>
      </c>
      <c r="E42" s="899">
        <f>Weather_Input!D6</f>
        <v>12</v>
      </c>
      <c r="F42" s="899">
        <f>Weather_Input!D7</f>
        <v>12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37024</v>
      </c>
      <c r="G1" s="769" t="str">
        <f>CHOOSE(WEEKDAY(F1),"SUN","MON","TUE","WED","THU","FRI","SAT")</f>
        <v>SUN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68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0.161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8" t="s">
        <v>11</v>
      </c>
      <c r="C6" s="965">
        <f>PGL_Deliveries!C5/1000</f>
        <v>265</v>
      </c>
      <c r="D6" s="1158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9"/>
      <c r="C7" s="1131">
        <f>PGL_Requirements!I7/1000</f>
        <v>0</v>
      </c>
      <c r="D7" s="121"/>
      <c r="E7" s="121"/>
      <c r="F7" s="1159"/>
      <c r="G7" s="1160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24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1"/>
      <c r="C10" s="1127">
        <f>+B34</f>
        <v>133.29400000000001</v>
      </c>
      <c r="D10" s="1111"/>
      <c r="E10" s="433"/>
      <c r="F10" s="1111"/>
      <c r="G10" s="1114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7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-160.76300000000001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179.46899999999999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18.853999999999999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1">
        <f>PGL_Requirements!G7/1000</f>
        <v>13.843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188.011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76.989000000000004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2.4124499999999998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79.401450000000011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-20.98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5" thickBot="1">
      <c r="A30" s="325" t="s">
        <v>11</v>
      </c>
      <c r="B30" s="486" t="s">
        <v>11</v>
      </c>
      <c r="C30" s="1181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24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8" t="s">
        <v>4</v>
      </c>
      <c r="B33" s="323">
        <f>PGL_Supplies!Y7/1000</f>
        <v>157.29400000000001</v>
      </c>
      <c r="C33" s="1115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9">
        <f>+B33-B32-B31</f>
        <v>133.29400000000001</v>
      </c>
      <c r="C34" s="1120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6" t="s">
        <v>11</v>
      </c>
      <c r="C35" s="995" t="s">
        <v>68</v>
      </c>
      <c r="D35" s="1117"/>
      <c r="E35" s="1118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33.200000000000003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1"/>
      <c r="D38" s="1112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1"/>
      <c r="D39" s="1112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10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7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160.83000000000001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0.627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0.56000000000000005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2.4124499999999998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-160.76300000000001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9">
        <v>0</v>
      </c>
      <c r="C57" s="539"/>
      <c r="D57" s="539"/>
      <c r="E57" s="1190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75" thickBot="1">
      <c r="A58" s="424" t="s">
        <v>793</v>
      </c>
      <c r="B58" s="1191">
        <v>0</v>
      </c>
      <c r="C58" s="593"/>
      <c r="D58" s="1192"/>
      <c r="E58" s="393"/>
      <c r="F58" s="121" t="s">
        <v>623</v>
      </c>
      <c r="G58" s="121"/>
      <c r="H58" s="1003">
        <f>PGL_Supplies!T7/1000*0.5</f>
        <v>10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3"/>
      <c r="F59" s="121" t="s">
        <v>622</v>
      </c>
      <c r="G59" s="121"/>
      <c r="H59" s="1009"/>
      <c r="I59" s="1010">
        <f>PGL_Requirements!H7/1000</f>
        <v>0.161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179.46899999999999</v>
      </c>
    </row>
    <row r="63" spans="1:9" ht="15.75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1"/>
      <c r="I63" s="1177">
        <f>I59</f>
        <v>0.161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80" t="s">
        <v>785</v>
      </c>
      <c r="G64" s="433"/>
      <c r="H64" s="1112"/>
      <c r="I64" s="1177">
        <f>PGL_Requirements!H7/1000</f>
        <v>0.161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9" t="s">
        <v>3</v>
      </c>
      <c r="H65" s="1112"/>
      <c r="I65" s="1187">
        <f>+I61+I62+I63-I64-I66</f>
        <v>179.46899999999999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8" t="s">
        <v>11</v>
      </c>
      <c r="F66" s="1188" t="s">
        <v>791</v>
      </c>
      <c r="G66" s="1114"/>
      <c r="H66" s="239"/>
      <c r="I66" s="1177">
        <f>PGL_Requirements!K7/1000</f>
        <v>0</v>
      </c>
    </row>
    <row r="67" spans="1:9" ht="16.5" thickBot="1">
      <c r="A67" s="1183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4" t="s">
        <v>11</v>
      </c>
      <c r="F70" s="1195"/>
      <c r="I70" s="1193"/>
    </row>
    <row r="71" spans="1:9" ht="16.5" thickBot="1">
      <c r="A71" s="1182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SUN</v>
      </c>
      <c r="G1" s="1078">
        <f>Weather_Input!A5</f>
        <v>37024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68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52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44.036000000000001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9">
        <f>B46</f>
        <v>7.9640000000000004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44.036000000000001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-12.510999999999999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12.036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7.9640000000000004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68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265</v>
      </c>
      <c r="C8" s="273">
        <f>NSG_Deliveries!C5/1000</f>
        <v>52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7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18.853999999999999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-3.5360000000000014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0.627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13.843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-185.80600000000001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79.193999999999988</v>
      </c>
      <c r="C20" s="294">
        <f>C8+C18+C19</f>
        <v>52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2.4124499999999998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81.606449999999995</v>
      </c>
      <c r="C23" s="300">
        <f>C20</f>
        <v>52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0.56000000000000005</v>
      </c>
      <c r="C27" s="309">
        <f>NSG_Requirements!P7/1000</f>
        <v>0</v>
      </c>
      <c r="D27" s="309">
        <f>PGL_Requirements!R7/1000</f>
        <v>0.56000000000000005</v>
      </c>
      <c r="E27" s="309">
        <f>NSG_Requirements!P7/1000</f>
        <v>0</v>
      </c>
      <c r="F27" s="309">
        <f>PGL_Requirements!R7/1000</f>
        <v>0.56000000000000005</v>
      </c>
      <c r="G27" s="309">
        <f>NSG_Requirements!P7/1000</f>
        <v>0</v>
      </c>
      <c r="H27" s="310">
        <f>+B27</f>
        <v>0.56000000000000005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-20.98</v>
      </c>
      <c r="C36" s="314">
        <f>-NSG_Supplies!F7/1000</f>
        <v>-12.510999999999999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160.83000000000001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0.627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2.4124499999999998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2.4124499999999998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0.627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33.200000000000003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7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160.83000000000001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-3.5360000000000014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SUN</v>
      </c>
      <c r="H73" s="405">
        <f>Weather_Input!A5</f>
        <v>37024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7</v>
      </c>
      <c r="D97" s="601"/>
      <c r="E97" s="613">
        <f>+C97</f>
        <v>7</v>
      </c>
      <c r="F97" s="601"/>
      <c r="G97" s="613">
        <f>+C97</f>
        <v>7</v>
      </c>
      <c r="H97" s="601"/>
      <c r="I97" s="284">
        <f>+C97</f>
        <v>7</v>
      </c>
    </row>
    <row r="98" spans="1:9" ht="15">
      <c r="A98" s="492" t="s">
        <v>60</v>
      </c>
      <c r="B98" s="281" t="s">
        <v>11</v>
      </c>
      <c r="C98" s="622">
        <f>B149</f>
        <v>0.627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13.843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33.200000000000003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7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160.83000000000001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0.627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2.4124499999999998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0.627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37025.474022453702</v>
      </c>
      <c r="F22" s="163" t="s">
        <v>271</v>
      </c>
      <c r="G22" s="190">
        <f ca="1">NOW()</f>
        <v>37025.474022453702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37024</v>
      </c>
      <c r="C5" s="15"/>
      <c r="D5" s="22" t="s">
        <v>289</v>
      </c>
      <c r="E5" s="23">
        <f>Weather_Input!B5</f>
        <v>68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44</v>
      </c>
      <c r="F6" s="24" t="s">
        <v>292</v>
      </c>
      <c r="G6" s="25">
        <f>Weather_Input!F5</f>
        <v>65</v>
      </c>
      <c r="H6" s="26" t="s">
        <v>293</v>
      </c>
      <c r="I6" s="27">
        <f ca="1">G6-(VLOOKUP(B5,DD_Normal_Data,CELL("Col",C7),FALSE))</f>
        <v>-57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56.1</v>
      </c>
      <c r="F7" s="24" t="s">
        <v>295</v>
      </c>
      <c r="G7" s="25">
        <f>Weather_Input!G5</f>
        <v>6472</v>
      </c>
      <c r="H7" s="26" t="s">
        <v>295</v>
      </c>
      <c r="I7" s="122">
        <f ca="1">G7-(VLOOKUP(B5,DD_Normal_Data,CELL("Col",D4),FALSE))</f>
        <v>199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MOSTLY SUNNY. LIGHT WINDS BECOMING S.E. 5 TO 10 MPH. OVERNIGHT…PARTLY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CLOUDY. SOUTHEAST WINDS 5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37025</v>
      </c>
      <c r="C10" s="15"/>
      <c r="D10" s="152" t="s">
        <v>289</v>
      </c>
      <c r="E10" s="23">
        <f>Weather_Input!B6</f>
        <v>73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65</v>
      </c>
      <c r="H11" s="30" t="s">
        <v>293</v>
      </c>
      <c r="I11" s="27">
        <f ca="1">G11-(VLOOKUP(B10,DD_Normal_Data,CELL("Col",C12),FALSE))</f>
        <v>-64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65.5</v>
      </c>
      <c r="F12" s="24" t="s">
        <v>295</v>
      </c>
      <c r="G12" s="25">
        <f>IF(AND(DAY(B10)=1,MONTH(B10)=8),G10,G7+G10)</f>
        <v>6472</v>
      </c>
      <c r="H12" s="26" t="s">
        <v>295</v>
      </c>
      <c r="I12" s="27">
        <f ca="1">G12-(VLOOKUP(B10,DD_Normal_Data,CELL("Col",D9),FALSE))</f>
        <v>192</v>
      </c>
    </row>
    <row r="13" spans="1:109" ht="15">
      <c r="A13" s="18"/>
      <c r="B13" s="21"/>
      <c r="C13" s="15"/>
      <c r="D13" s="32" t="str">
        <f>IF(Weather_Input!I6=""," ",Weather_Input!I6)</f>
        <v>INCREASING CLOUDS, WITH A CHANCE OF SHOWERS AND T-STORMS THIS AFTER-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NOON. CHANCE OF RAIN 60%.CLOUDY  WITH SHOWERS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37026</v>
      </c>
      <c r="C15" s="15"/>
      <c r="D15" s="22" t="s">
        <v>289</v>
      </c>
      <c r="E15" s="23">
        <f>Weather_Input!B7</f>
        <v>77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65</v>
      </c>
      <c r="H16" s="30" t="s">
        <v>293</v>
      </c>
      <c r="I16" s="27">
        <f ca="1">G16-(VLOOKUP(B15,DD_Normal_Data,CELL("Col",C17),FALSE))</f>
        <v>-71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</v>
      </c>
      <c r="F17" s="24" t="s">
        <v>295</v>
      </c>
      <c r="G17" s="25">
        <f>IF(AND(DAY(B15)=1,MONTH(B15)=8),G15,G12+G15)</f>
        <v>6472</v>
      </c>
      <c r="H17" s="26" t="s">
        <v>295</v>
      </c>
      <c r="I17" s="27">
        <f ca="1">G17-(VLOOKUP(B15,DD_Normal_Data,CELL("Col",D14),FALSE))</f>
        <v>185</v>
      </c>
    </row>
    <row r="18" spans="1:109" ht="15">
      <c r="A18" s="18"/>
      <c r="B18" s="20"/>
      <c r="C18" s="15"/>
      <c r="D18" s="32" t="str">
        <f>IF(Weather_Input!I7=""," ",Weather_Input!I7)</f>
        <v xml:space="preserve">CLOUDY… A 50% CHANCE OF T-STORMS. HIGH IN THE UPPER 70S. CLOUDY AT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NIGHT WITH A 50% CHANCE OF SHOWERS AND T-STORMS. LOW IN THE 50S.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37027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292</v>
      </c>
      <c r="G21" s="25">
        <f>IF(DAY(B20)=1,G20,G16+G20)</f>
        <v>66.5</v>
      </c>
      <c r="H21" s="30" t="s">
        <v>293</v>
      </c>
      <c r="I21" s="27">
        <f ca="1">G21-(VLOOKUP(B20,DD_Normal_Data,CELL("Col",C22),FALSE))</f>
        <v>-76.5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6473.5</v>
      </c>
      <c r="H22" s="26" t="s">
        <v>295</v>
      </c>
      <c r="I22" s="27">
        <f ca="1">G22-(VLOOKUP(B20,DD_Normal_Data,CELL("Col",D19),FALSE))</f>
        <v>179.5</v>
      </c>
    </row>
    <row r="23" spans="1:109" ht="15">
      <c r="A23" s="18"/>
      <c r="B23" s="21"/>
      <c r="C23" s="15"/>
      <c r="D23" s="32" t="str">
        <f>IF(Weather_Input!I8=""," ",Weather_Input!I8)</f>
        <v>PARTLY CLOUDY. HIGH AROUND 70.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37028</v>
      </c>
      <c r="C25" s="15"/>
      <c r="D25" s="22" t="s">
        <v>289</v>
      </c>
      <c r="E25" s="23">
        <f>Weather_Input!B9</f>
        <v>78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66.5</v>
      </c>
      <c r="H26" s="30" t="s">
        <v>293</v>
      </c>
      <c r="I26" s="27">
        <f ca="1">G26-(VLOOKUP(B25,DD_Normal_Data,CELL("Col",C27),FALSE))</f>
        <v>-83.5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68</v>
      </c>
      <c r="F27" s="24" t="s">
        <v>295</v>
      </c>
      <c r="G27" s="25">
        <f>IF(AND(DAY(B25)=1,MONTH(B25)=8),G25,G22+G25)</f>
        <v>6473.5</v>
      </c>
      <c r="H27" s="26" t="s">
        <v>295</v>
      </c>
      <c r="I27" s="27">
        <f ca="1">G27-(VLOOKUP(B25,DD_Normal_Data,CELL("Col",D24),FALSE))</f>
        <v>172.5</v>
      </c>
    </row>
    <row r="28" spans="1:109" ht="15">
      <c r="A28" s="18"/>
      <c r="B28" s="20"/>
      <c r="C28" s="15"/>
      <c r="D28" s="32" t="str">
        <f>IF(Weather_Input!I9=""," ",Weather_Input!I9)</f>
        <v>FAIR.. HIGH AROUDN 75 WITH LOWS IN THE MIDDLE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37029</v>
      </c>
      <c r="C30" s="15"/>
      <c r="D30" s="22" t="s">
        <v>289</v>
      </c>
      <c r="E30" s="23">
        <f>Weather_Input!B10</f>
        <v>74</v>
      </c>
      <c r="F30" s="24" t="s">
        <v>290</v>
      </c>
      <c r="G30" s="25">
        <f>IF(E32&lt;65,65-(Weather_Input!B10+Weather_Input!C10)/2,0)</f>
        <v>1.5</v>
      </c>
      <c r="H30" s="26" t="s">
        <v>291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68</v>
      </c>
      <c r="H31" s="30" t="s">
        <v>293</v>
      </c>
      <c r="I31" s="27">
        <f ca="1">G31-(VLOOKUP(B30,DD_Normal_Data,CELL("Col",C32),FALSE))</f>
        <v>-89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63.5</v>
      </c>
      <c r="F32" s="24" t="s">
        <v>295</v>
      </c>
      <c r="G32" s="25">
        <f>IF(AND(DAY(B30)=1,MONTH(B30)=8),G30,G27+G30)</f>
        <v>6475</v>
      </c>
      <c r="H32" s="26" t="s">
        <v>295</v>
      </c>
      <c r="I32" s="27">
        <f ca="1">G32-(VLOOKUP(B30,DD_Normal_Data,CELL("Col",D29),FALSE))</f>
        <v>167</v>
      </c>
    </row>
    <row r="33" spans="1:9" ht="15">
      <c r="A33" s="15"/>
      <c r="B33" s="34"/>
      <c r="C33" s="15"/>
      <c r="D33" s="32" t="str">
        <f>IF(Weather_Input!I10=""," ",Weather_Input!I10)</f>
        <v>CLOUDY… HIGH IN THE MIDDLE 70S. LOWS IN THE MIDDLE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37024</v>
      </c>
      <c r="C36" s="91">
        <f>B10</f>
        <v>37025</v>
      </c>
      <c r="D36" s="91">
        <f>B15</f>
        <v>37026</v>
      </c>
      <c r="E36" s="91">
        <f xml:space="preserve">       B20</f>
        <v>37027</v>
      </c>
      <c r="F36" s="91">
        <f>B25</f>
        <v>37028</v>
      </c>
      <c r="G36" s="91">
        <f>B30</f>
        <v>37029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265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476.00644999999997</v>
      </c>
      <c r="C38" s="41">
        <f>PGL_6_Day_Report!E30</f>
        <v>451.5</v>
      </c>
      <c r="D38" s="41">
        <f>PGL_6_Day_Report!F30</f>
        <v>452.08</v>
      </c>
      <c r="E38" s="41">
        <f>PGL_6_Day_Report!G30</f>
        <v>433.08</v>
      </c>
      <c r="F38" s="41">
        <f>PGL_6_Day_Report!H30</f>
        <v>433.08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264.39999999999998</v>
      </c>
      <c r="D39" s="41">
        <f>SUM(PGL_Supplies!Z9:AE9)/1000</f>
        <v>264.39999999999998</v>
      </c>
      <c r="E39" s="41">
        <f>SUM(PGL_Supplies!Z10:AE10)/1000</f>
        <v>264.39999999999998</v>
      </c>
      <c r="F39" s="41">
        <f>SUM(PGL_Supplies!Z11:AE11)/1000</f>
        <v>264.39999999999998</v>
      </c>
      <c r="G39" s="41">
        <f>SUM(PGL_Supplies!Z12:AE12)/1000</f>
        <v>264.39999999999998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33.76</v>
      </c>
      <c r="C41" s="41">
        <f>SUM(PGL_Requirements!R7:U7)/1000</f>
        <v>33.76</v>
      </c>
      <c r="D41" s="41">
        <f>SUM(PGL_Requirements!R7:U7)/1000</f>
        <v>33.76</v>
      </c>
      <c r="E41" s="41">
        <f>SUM(PGL_Requirements!R7:U7)/1000</f>
        <v>33.76</v>
      </c>
      <c r="F41" s="41">
        <f>SUM(PGL_Requirements!R7:U7)/1000</f>
        <v>33.76</v>
      </c>
      <c r="G41" s="41">
        <f>SUM(PGL_Requirements!R7:U7)/1000</f>
        <v>33.76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176.70400000000001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37024</v>
      </c>
      <c r="C44" s="91">
        <f t="shared" si="0"/>
        <v>37025</v>
      </c>
      <c r="D44" s="91">
        <f t="shared" si="0"/>
        <v>37026</v>
      </c>
      <c r="E44" s="91">
        <f t="shared" si="0"/>
        <v>37027</v>
      </c>
      <c r="F44" s="91">
        <f t="shared" si="0"/>
        <v>37028</v>
      </c>
      <c r="G44" s="91">
        <f t="shared" si="0"/>
        <v>37029</v>
      </c>
      <c r="H44" s="14"/>
      <c r="I44" s="15"/>
    </row>
    <row r="45" spans="1:9" ht="15">
      <c r="A45" s="15" t="s">
        <v>56</v>
      </c>
      <c r="B45" s="41">
        <f ca="1">NSG_6_Day_Report!D6</f>
        <v>52</v>
      </c>
      <c r="C45" s="41">
        <f ca="1">NSG_6_Day_Report!E6</f>
        <v>44</v>
      </c>
      <c r="D45" s="41">
        <f ca="1">NSG_6_Day_Report!F6</f>
        <v>39</v>
      </c>
      <c r="E45" s="41">
        <f ca="1">NSG_6_Day_Report!G6</f>
        <v>39</v>
      </c>
      <c r="F45" s="41">
        <f ca="1">NSG_6_Day_Report!H6</f>
        <v>38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64.036000000000001</v>
      </c>
      <c r="C46" s="41">
        <f ca="1">NSG_6_Day_Report!E19</f>
        <v>60.78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20.831</v>
      </c>
      <c r="D50" s="41">
        <f>NSG_Supplies!S9/1000</f>
        <v>20.831</v>
      </c>
      <c r="E50" s="41">
        <f>NSG_Supplies!S10/1000</f>
        <v>20.831</v>
      </c>
      <c r="F50" s="41">
        <f>NSG_Supplies!S11/1000</f>
        <v>20.831</v>
      </c>
      <c r="G50" s="41">
        <f>NSG_Supplies!S12/1000</f>
        <v>20.831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37024</v>
      </c>
      <c r="C52" s="91">
        <f t="shared" si="1"/>
        <v>37025</v>
      </c>
      <c r="D52" s="91">
        <f t="shared" si="1"/>
        <v>37026</v>
      </c>
      <c r="E52" s="91">
        <f t="shared" si="1"/>
        <v>37027</v>
      </c>
      <c r="F52" s="91">
        <f t="shared" si="1"/>
        <v>37028</v>
      </c>
      <c r="G52" s="91">
        <f t="shared" si="1"/>
        <v>37029</v>
      </c>
      <c r="H52" s="14"/>
      <c r="I52" s="15"/>
    </row>
    <row r="53" spans="1:9" ht="15">
      <c r="A53" s="94" t="s">
        <v>304</v>
      </c>
      <c r="B53" s="41">
        <f>PGL_Requirements!P7/1000</f>
        <v>160.83000000000001</v>
      </c>
      <c r="C53" s="41">
        <f>PGL_Requirements!P8/1000</f>
        <v>132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5"/>
    </row>
    <row r="3" spans="1:8" ht="15.75" thickBot="1">
      <c r="A3" s="98" t="s">
        <v>310</v>
      </c>
    </row>
    <row r="4" spans="1:8">
      <c r="A4" s="99"/>
      <c r="B4" s="1136" t="str">
        <f>Six_Day_Summary!A10</f>
        <v>Monday</v>
      </c>
      <c r="C4" s="1137" t="str">
        <f>Six_Day_Summary!A15</f>
        <v>Tuesday</v>
      </c>
      <c r="D4" s="1137" t="str">
        <f>Six_Day_Summary!A20</f>
        <v>Wednesday</v>
      </c>
      <c r="E4" s="1137" t="str">
        <f>Six_Day_Summary!A25</f>
        <v>Thursday</v>
      </c>
      <c r="F4" s="1138" t="str">
        <f>Six_Day_Summary!A30</f>
        <v>Friday</v>
      </c>
      <c r="G4" s="100"/>
    </row>
    <row r="5" spans="1:8">
      <c r="A5" s="103" t="s">
        <v>311</v>
      </c>
      <c r="B5" s="1139">
        <f>Weather_Input!A6</f>
        <v>37025</v>
      </c>
      <c r="C5" s="1140">
        <f>Weather_Input!A7</f>
        <v>37026</v>
      </c>
      <c r="D5" s="1140">
        <f>Weather_Input!A8</f>
        <v>37027</v>
      </c>
      <c r="E5" s="1140">
        <f>Weather_Input!A9</f>
        <v>37028</v>
      </c>
      <c r="F5" s="1141">
        <f>Weather_Input!A10</f>
        <v>37029</v>
      </c>
      <c r="G5" s="100"/>
    </row>
    <row r="6" spans="1:8">
      <c r="A6" s="100" t="s">
        <v>312</v>
      </c>
      <c r="B6" s="1142">
        <f>PGL_Supplies!AC8/1000+PGL_Supplies!L8/1000-PGL_Requirements!O8/1000-PGL_Requirements!T8/1000+B8</f>
        <v>68.38</v>
      </c>
      <c r="C6" s="1142">
        <f>PGL_Supplies!AC9/1000+PGL_Supplies!L9/1000-PGL_Requirements!O9/1000+C15-PGL_Requirements!T9/1000</f>
        <v>54.57</v>
      </c>
      <c r="D6" s="1142">
        <f>PGL_Supplies!AC10/1000+PGL_Supplies!L10/1000-PGL_Requirements!O10/1000+D15-PGL_Requirements!T10/1000</f>
        <v>54.57</v>
      </c>
      <c r="E6" s="1142">
        <f>PGL_Supplies!AC11/1000+PGL_Supplies!L11/1000-PGL_Requirements!O11/1000+E15-PGL_Requirements!T11/1000</f>
        <v>54.57</v>
      </c>
      <c r="F6" s="1143">
        <f>PGL_Supplies!AC12/1000+PGL_Supplies!L12/1000-PGL_Requirements!O12/1000+F15-PGL_Requirements!T12/1000</f>
        <v>54.57</v>
      </c>
      <c r="G6" s="100"/>
      <c r="H6" t="s">
        <v>11</v>
      </c>
    </row>
    <row r="7" spans="1:8">
      <c r="A7" s="100" t="s">
        <v>313</v>
      </c>
      <c r="B7" s="1142">
        <f>PGL_Supplies!N8/1000</f>
        <v>0</v>
      </c>
      <c r="C7" s="1142">
        <f>PGL_Supplies!N9/1000</f>
        <v>0</v>
      </c>
      <c r="D7" s="1142">
        <f>PGL_Supplies!N10/1000</f>
        <v>0</v>
      </c>
      <c r="E7" s="1142">
        <f>PGL_Supplies!N11/1000</f>
        <v>0</v>
      </c>
      <c r="F7" s="1144">
        <f>PGL_Supplies!N12/1000</f>
        <v>0</v>
      </c>
      <c r="G7" s="100"/>
    </row>
    <row r="8" spans="1:8">
      <c r="A8" s="100" t="s">
        <v>314</v>
      </c>
      <c r="B8" s="1142">
        <f>PGL_Supplies!O8/1000</f>
        <v>0</v>
      </c>
      <c r="C8" s="1142">
        <f>PGL_Supplies!O9/1000</f>
        <v>0</v>
      </c>
      <c r="D8" s="1142">
        <f>PGL_Supplies!O10/1000</f>
        <v>0</v>
      </c>
      <c r="E8" s="1142">
        <f>PGL_Supplies!O11/1000</f>
        <v>0</v>
      </c>
      <c r="F8" s="1144">
        <f>PGL_Supplies!O12/1000</f>
        <v>0</v>
      </c>
      <c r="G8" s="100"/>
    </row>
    <row r="9" spans="1:8">
      <c r="A9" s="100" t="s">
        <v>315</v>
      </c>
      <c r="B9" s="1142">
        <v>0</v>
      </c>
      <c r="C9" s="1142">
        <v>0</v>
      </c>
      <c r="D9" s="1142">
        <v>0</v>
      </c>
      <c r="E9" s="1142">
        <v>0</v>
      </c>
      <c r="F9" s="1144">
        <v>0</v>
      </c>
      <c r="G9" s="100"/>
    </row>
    <row r="10" spans="1:8">
      <c r="A10" s="101"/>
      <c r="B10" s="1145"/>
      <c r="C10" s="1145"/>
      <c r="D10" s="1145"/>
      <c r="E10" s="1145"/>
      <c r="F10" s="1146"/>
      <c r="G10" s="100"/>
    </row>
    <row r="11" spans="1:8">
      <c r="A11" s="100" t="s">
        <v>316</v>
      </c>
      <c r="B11" s="1142">
        <v>0</v>
      </c>
      <c r="C11" s="1142">
        <v>0</v>
      </c>
      <c r="D11" s="1142">
        <v>0</v>
      </c>
      <c r="E11" s="1142">
        <v>0</v>
      </c>
      <c r="F11" s="1144">
        <v>0</v>
      </c>
      <c r="G11" s="100"/>
      <c r="H11" s="121" t="s">
        <v>11</v>
      </c>
    </row>
    <row r="12" spans="1:8">
      <c r="A12" s="100" t="s">
        <v>317</v>
      </c>
      <c r="B12" s="1142">
        <f>PGL_Requirements!S8/1000</f>
        <v>0</v>
      </c>
      <c r="C12" s="1142">
        <f>PGL_Requirements!S9/1000</f>
        <v>0</v>
      </c>
      <c r="D12" s="1142">
        <f>PGL_Requirements!S10/1000</f>
        <v>0</v>
      </c>
      <c r="E12" s="1142">
        <f>PGL_Requirements!S11/1000</f>
        <v>0</v>
      </c>
      <c r="F12" s="1144">
        <f>PGL_Requirements!S12/1000</f>
        <v>0</v>
      </c>
      <c r="G12" s="100"/>
    </row>
    <row r="13" spans="1:8">
      <c r="A13" s="100" t="s">
        <v>318</v>
      </c>
      <c r="B13" s="1142">
        <v>0</v>
      </c>
      <c r="C13" s="1142">
        <v>0</v>
      </c>
      <c r="D13" s="1142">
        <v>0</v>
      </c>
      <c r="E13" s="1142">
        <v>0</v>
      </c>
      <c r="F13" s="1144">
        <v>0</v>
      </c>
      <c r="G13" s="100"/>
    </row>
    <row r="14" spans="1:8">
      <c r="A14" s="100" t="s">
        <v>189</v>
      </c>
      <c r="B14" s="1142">
        <v>0</v>
      </c>
      <c r="C14" s="1148"/>
      <c r="D14" s="1148"/>
      <c r="E14" s="1148"/>
      <c r="F14" s="1144"/>
      <c r="G14" s="100"/>
    </row>
    <row r="15" spans="1:8">
      <c r="A15" s="100" t="s">
        <v>716</v>
      </c>
      <c r="B15" s="1147">
        <v>0</v>
      </c>
      <c r="C15" s="1147">
        <v>0</v>
      </c>
      <c r="D15" s="1147">
        <v>0</v>
      </c>
      <c r="E15" s="1147">
        <v>0</v>
      </c>
      <c r="F15" s="1184">
        <v>0</v>
      </c>
      <c r="G15" s="121"/>
    </row>
    <row r="16" spans="1:8">
      <c r="A16" s="100" t="s">
        <v>319</v>
      </c>
      <c r="B16" s="1147">
        <v>0</v>
      </c>
      <c r="C16" s="1148"/>
      <c r="D16" s="1148"/>
      <c r="E16" s="1148"/>
      <c r="F16" s="1144"/>
      <c r="G16" s="100"/>
    </row>
    <row r="17" spans="1:7" ht="15.75" thickBot="1">
      <c r="A17" s="102" t="s">
        <v>781</v>
      </c>
      <c r="B17" s="1149">
        <v>0</v>
      </c>
      <c r="C17" s="1150"/>
      <c r="D17" s="1150"/>
      <c r="E17" s="1150"/>
      <c r="F17" s="1151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2" t="str">
        <f t="shared" ref="B21:F22" si="0">B4</f>
        <v>Monday</v>
      </c>
      <c r="C21" s="1152" t="str">
        <f t="shared" si="0"/>
        <v>Tuesday</v>
      </c>
      <c r="D21" s="1152" t="str">
        <f t="shared" si="0"/>
        <v>Wednesday</v>
      </c>
      <c r="E21" s="1152" t="str">
        <f t="shared" si="0"/>
        <v>Thursday</v>
      </c>
      <c r="F21" s="1153" t="str">
        <f t="shared" si="0"/>
        <v>Friday</v>
      </c>
      <c r="G21" s="100"/>
    </row>
    <row r="22" spans="1:7">
      <c r="A22" s="107" t="s">
        <v>311</v>
      </c>
      <c r="B22" s="1154">
        <f t="shared" si="0"/>
        <v>37025</v>
      </c>
      <c r="C22" s="1154">
        <f t="shared" si="0"/>
        <v>37026</v>
      </c>
      <c r="D22" s="1154">
        <f t="shared" si="0"/>
        <v>37027</v>
      </c>
      <c r="E22" s="1154">
        <f t="shared" si="0"/>
        <v>37028</v>
      </c>
      <c r="F22" s="1155">
        <f t="shared" si="0"/>
        <v>37029</v>
      </c>
      <c r="G22" s="100"/>
    </row>
    <row r="23" spans="1:7">
      <c r="A23" s="100" t="s">
        <v>312</v>
      </c>
      <c r="B23" s="1148">
        <f>NSG_Supplies!R8/1000+NSG_Supplies!F8/1000-NSG_Requirements!H8/1000</f>
        <v>40.775999999999996</v>
      </c>
      <c r="C23" s="1148">
        <f>NSG_Supplies!R9/1000+NSG_Supplies!F9/1000-NSG_Requirements!H9/1000</f>
        <v>40.775999999999996</v>
      </c>
      <c r="D23" s="1148">
        <f>NSG_Supplies!R10/1000+NSG_Supplies!F10/1000-NSG_Requirements!H10/1000</f>
        <v>40.775999999999996</v>
      </c>
      <c r="E23" s="1148">
        <f>NSG_Supplies!R12/1000+NSG_Supplies!F11/1000-NSG_Requirements!H11/1000</f>
        <v>40.775999999999996</v>
      </c>
      <c r="F23" s="1143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48">
        <f>NSG_Supplies!H8/1000</f>
        <v>0</v>
      </c>
      <c r="C24" s="1148">
        <f>NSG_Supplies!H9/1000</f>
        <v>0</v>
      </c>
      <c r="D24" s="1148">
        <f>NSG_Supplies!H10/1000</f>
        <v>0</v>
      </c>
      <c r="E24" s="1148">
        <f>NSG_Supplies!H11/1000</f>
        <v>0</v>
      </c>
      <c r="F24" s="1144">
        <f>NSG_Supplies!H12/1000</f>
        <v>0</v>
      </c>
      <c r="G24" s="100"/>
    </row>
    <row r="25" spans="1:7">
      <c r="A25" s="100" t="s">
        <v>313</v>
      </c>
      <c r="B25" s="1148">
        <f>NSG_Supplies!I8/1000</f>
        <v>0</v>
      </c>
      <c r="C25" s="1148">
        <f>NSG_Supplies!I9/1000</f>
        <v>0</v>
      </c>
      <c r="D25" s="1148">
        <f>NSG_Supplies!I10/1000</f>
        <v>0</v>
      </c>
      <c r="E25" s="1148">
        <f>NSG_Supplies!I11/1000</f>
        <v>0</v>
      </c>
      <c r="F25" s="1144">
        <f>NSG_Supplies!I12/1000</f>
        <v>0</v>
      </c>
      <c r="G25" s="100"/>
    </row>
    <row r="26" spans="1:7">
      <c r="A26" s="104" t="s">
        <v>314</v>
      </c>
      <c r="B26" s="1148">
        <f>NSG_Supplies!J8/1000</f>
        <v>0</v>
      </c>
      <c r="C26" s="1148">
        <f>NSG_Supplies!J9/1000</f>
        <v>0</v>
      </c>
      <c r="D26" s="1148">
        <f>NSG_Supplies!J10/1000</f>
        <v>0</v>
      </c>
      <c r="E26" s="1148">
        <f>NSG_Supplies!J11/1000</f>
        <v>0</v>
      </c>
      <c r="F26" s="1144">
        <f>NSG_Supplies!J12/1000</f>
        <v>0</v>
      </c>
      <c r="G26" s="100"/>
    </row>
    <row r="27" spans="1:7">
      <c r="A27" s="100" t="s">
        <v>315</v>
      </c>
      <c r="B27" s="1148">
        <f>NSG_Supplies!K8/1000</f>
        <v>0</v>
      </c>
      <c r="C27" s="1148">
        <f>NSG_Supplies!K9/1000</f>
        <v>0</v>
      </c>
      <c r="D27" s="1148">
        <f>NSG_Supplies!K10/1000</f>
        <v>0</v>
      </c>
      <c r="E27" s="1148">
        <f>NSG_Supplies!K11/1000</f>
        <v>0</v>
      </c>
      <c r="F27" s="1144">
        <f>NSG_Supplies!K12/1000</f>
        <v>0</v>
      </c>
      <c r="G27" s="100"/>
    </row>
    <row r="28" spans="1:7">
      <c r="A28" s="100" t="s">
        <v>322</v>
      </c>
      <c r="B28" s="1148" t="s">
        <v>11</v>
      </c>
      <c r="C28" s="1148"/>
      <c r="D28" s="1148"/>
      <c r="E28" s="1148"/>
      <c r="F28" s="1144"/>
      <c r="G28" s="100"/>
    </row>
    <row r="29" spans="1:7">
      <c r="A29" s="101"/>
      <c r="B29" s="1145"/>
      <c r="C29" s="1145"/>
      <c r="D29" s="1145"/>
      <c r="E29" s="1145"/>
      <c r="F29" s="1146"/>
      <c r="G29" s="100"/>
    </row>
    <row r="30" spans="1:7">
      <c r="A30" s="100" t="s">
        <v>316</v>
      </c>
      <c r="B30" s="1148">
        <f>NSG_Requirements!P8/1000</f>
        <v>0</v>
      </c>
      <c r="C30" s="1148">
        <f>NSG_Requirements!P9/1000</f>
        <v>0</v>
      </c>
      <c r="D30" s="1148">
        <f>NSG_Requirements!P10/1000</f>
        <v>0</v>
      </c>
      <c r="E30" s="1148">
        <f>NSG_Requirements!P11/1000</f>
        <v>0</v>
      </c>
      <c r="F30" s="1144">
        <f>NSG_Supplies!K12/1000</f>
        <v>0</v>
      </c>
      <c r="G30" s="100"/>
    </row>
    <row r="31" spans="1:7">
      <c r="A31" s="100" t="s">
        <v>317</v>
      </c>
      <c r="B31" s="1148">
        <f>NSG_Requirements!R8/1000</f>
        <v>0</v>
      </c>
      <c r="C31" s="1148">
        <f>NSG_Requirements!R9/1000</f>
        <v>0</v>
      </c>
      <c r="D31" s="1148">
        <f>NSG_Requirements!R10/1000</f>
        <v>0</v>
      </c>
      <c r="E31" s="1148">
        <f>NSG_Requirements!R11/1000</f>
        <v>0</v>
      </c>
      <c r="F31" s="1144">
        <f>NSG_Supplies!M12/1000</f>
        <v>0</v>
      </c>
      <c r="G31" s="100"/>
    </row>
    <row r="32" spans="1:7">
      <c r="A32" s="100" t="s">
        <v>318</v>
      </c>
      <c r="B32" s="1148">
        <f>NSG_Requirements!Q8/1000</f>
        <v>0</v>
      </c>
      <c r="C32" s="1148">
        <f>NSG_Requirements!Q9/1000</f>
        <v>0</v>
      </c>
      <c r="D32" s="1148">
        <f>NSG_Requirements!Q10/1000</f>
        <v>0</v>
      </c>
      <c r="E32" s="1148">
        <f>NSG_Requirements!Q11/1000</f>
        <v>0</v>
      </c>
      <c r="F32" s="1144">
        <f>NSG_Requirements!Q12/1000</f>
        <v>0</v>
      </c>
      <c r="G32" s="100"/>
    </row>
    <row r="33" spans="1:7" ht="15.75" thickBot="1">
      <c r="A33" s="102" t="s">
        <v>323</v>
      </c>
      <c r="B33" s="1150">
        <f>NSG_Requirements!L8/1000</f>
        <v>0</v>
      </c>
      <c r="C33" s="1150">
        <f>NSG_Requirements!L9/1000</f>
        <v>0</v>
      </c>
      <c r="D33" s="1150">
        <f>NSG_Requirements!L10/1000</f>
        <v>0</v>
      </c>
      <c r="E33" s="1150">
        <f>NSG_Requirements!L11/1000</f>
        <v>0</v>
      </c>
      <c r="F33" s="1151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37025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2">
        <f>NSG_Supplies!E8/1000</f>
        <v>0</v>
      </c>
      <c r="D4" s="134">
        <f>NSG_Requirements!J8/1000</f>
        <v>16.78</v>
      </c>
      <c r="E4" s="801"/>
      <c r="F4" s="171" t="s">
        <v>546</v>
      </c>
      <c r="G4" s="60"/>
      <c r="H4" s="153">
        <f>PGL_Requirements!P8/1000</f>
        <v>132</v>
      </c>
      <c r="I4" s="175">
        <f>AVERAGE(H4/1.025)</f>
        <v>128.78048780487805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3.2199999999999989</v>
      </c>
      <c r="D5" s="437"/>
      <c r="E5" s="439">
        <f>AVERAGE(C5/24)</f>
        <v>0.13416666666666663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0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169.63</v>
      </c>
      <c r="H10" s="153" t="s">
        <v>11</v>
      </c>
      <c r="I10" s="160"/>
    </row>
    <row r="11" spans="1:11" ht="15.75" customHeight="1" thickTop="1">
      <c r="A11" t="s">
        <v>11</v>
      </c>
      <c r="B11" s="1124" t="s">
        <v>748</v>
      </c>
      <c r="C11" s="153">
        <f>PGL_Supplies!Y8/1000</f>
        <v>157.29400000000001</v>
      </c>
      <c r="D11" s="788"/>
      <c r="E11" s="1125"/>
      <c r="F11" s="434" t="s">
        <v>378</v>
      </c>
      <c r="G11" s="446">
        <f>G8+G10</f>
        <v>169.63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6" t="s">
        <v>756</v>
      </c>
      <c r="C14" s="447">
        <f>C11-C12</f>
        <v>132.29400000000001</v>
      </c>
      <c r="D14" s="437"/>
      <c r="E14" s="439">
        <f>AVERAGE(C14/24)</f>
        <v>5.5122500000000008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140.94</v>
      </c>
      <c r="H15" s="437" t="s">
        <v>11</v>
      </c>
      <c r="I15" s="439">
        <f>AVERAGE(G15/24)</f>
        <v>5.8724999999999996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28.69</v>
      </c>
      <c r="H16" s="447" t="s">
        <v>11</v>
      </c>
      <c r="I16" s="439">
        <f>AVERAGE(G16/24)</f>
        <v>1.1954166666666668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5">
        <v>0</v>
      </c>
      <c r="H17" s="1085"/>
      <c r="I17" s="1176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37025</v>
      </c>
      <c r="I1" s="930"/>
      <c r="J1" s="932"/>
      <c r="K1" s="932"/>
    </row>
    <row r="2" spans="1:22" ht="16.5" customHeight="1">
      <c r="A2" s="950" t="s">
        <v>680</v>
      </c>
      <c r="C2" s="1042">
        <v>365</v>
      </c>
      <c r="F2" s="1043">
        <v>369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3.2199999999999989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-4.0000000000048885E-3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157.29400000000001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403</v>
      </c>
      <c r="D18" s="1050"/>
      <c r="E18" s="1050"/>
      <c r="F18" s="1043">
        <v>783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40.775999999999996</v>
      </c>
      <c r="N19" s="1053"/>
    </row>
    <row r="20" spans="1:17" ht="17.25" customHeight="1">
      <c r="A20" s="952">
        <f>Billy_Sheet!G15</f>
        <v>140.94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153.54400000000004</v>
      </c>
      <c r="L28" s="933" t="s">
        <v>735</v>
      </c>
      <c r="M28" s="958">
        <f>SUM(J2+K17+K19+H11+H9-M26)</f>
        <v>16.775999999999996</v>
      </c>
      <c r="N28" s="958"/>
    </row>
    <row r="29" spans="1:17">
      <c r="A29" s="952">
        <f>PGL_Supplies!M8/1000</f>
        <v>0</v>
      </c>
      <c r="B29" s="952"/>
      <c r="C29" s="933"/>
      <c r="D29" s="1056"/>
      <c r="F29" s="1108">
        <f>PGL_Requirements!A7</f>
        <v>37024</v>
      </c>
      <c r="G29" s="952">
        <f>PGL_Requirements!H7/1000</f>
        <v>0.161</v>
      </c>
      <c r="H29" s="931"/>
      <c r="J29" s="933" t="s">
        <v>688</v>
      </c>
      <c r="K29" s="952">
        <f>PGL_Supplies!AC8/1000+PGL_Supplies!L8/1000-PGL_Requirements!O8/1000</f>
        <v>68.38</v>
      </c>
    </row>
    <row r="30" spans="1:17" ht="10.5" customHeight="1">
      <c r="A30" s="935"/>
      <c r="B30" s="952"/>
      <c r="C30" s="933"/>
      <c r="D30" s="952"/>
      <c r="F30" s="1108">
        <f>PGL_Requirements!A8</f>
        <v>37025</v>
      </c>
      <c r="G30" s="952">
        <f>PGL_Requirements!H8/1000</f>
        <v>28.69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-18.075999999999965</v>
      </c>
    </row>
    <row r="32" spans="1:17">
      <c r="A32" s="952">
        <f>PGL_Supplies!H8/1000</f>
        <v>1</v>
      </c>
      <c r="G32" s="952">
        <f>PGL_Requirements!P8/1000</f>
        <v>132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404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314.23400000000004</v>
      </c>
      <c r="B40" s="946"/>
      <c r="C40" s="945"/>
      <c r="D40" s="946"/>
      <c r="E40" s="946"/>
      <c r="F40" s="1058"/>
      <c r="G40" s="1058">
        <f>SUM(G30:G35)</f>
        <v>160.69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153.54400000000004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369.5</v>
      </c>
      <c r="E45" s="1063"/>
      <c r="F45" s="1064">
        <v>6.7000000000000004E-2</v>
      </c>
      <c r="G45" s="1065">
        <f>(C45-D45)*F45</f>
        <v>2.7135000000000002</v>
      </c>
      <c r="H45" s="1065">
        <f>(D45-B45)*F45</f>
        <v>8.0065000000000008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367.5</v>
      </c>
      <c r="E47" s="1063"/>
      <c r="F47" s="1064">
        <v>0.14099999999999999</v>
      </c>
      <c r="G47" s="1065">
        <f>(C47-D47)*F47</f>
        <v>5.9924999999999997</v>
      </c>
      <c r="H47" s="1065">
        <f>(D47-B47)*F47</f>
        <v>16.567499999999999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403.5</v>
      </c>
      <c r="E48" s="1063"/>
      <c r="F48" s="1064">
        <v>0.161</v>
      </c>
      <c r="G48" s="1065">
        <f>(C48-D48)*F48</f>
        <v>55.786500000000004</v>
      </c>
      <c r="H48" s="1065">
        <f>(D48-B48)*F48</f>
        <v>19.078500000000002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64.492500000000007</v>
      </c>
      <c r="H49" s="1065">
        <f>SUM(H45:H48)</f>
        <v>43.652500000000003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37024</v>
      </c>
      <c r="B5" s="11">
        <v>68</v>
      </c>
      <c r="C5" s="49">
        <v>44</v>
      </c>
      <c r="D5" s="49">
        <v>5.2</v>
      </c>
      <c r="E5" s="11">
        <v>56.1</v>
      </c>
      <c r="F5" s="11">
        <v>65</v>
      </c>
      <c r="G5" s="11">
        <v>6472</v>
      </c>
      <c r="H5" s="11">
        <v>12</v>
      </c>
      <c r="I5" s="909" t="s">
        <v>797</v>
      </c>
      <c r="J5" s="909" t="s">
        <v>798</v>
      </c>
      <c r="K5" s="11">
        <v>1</v>
      </c>
      <c r="L5" s="11">
        <v>1</v>
      </c>
      <c r="N5" s="15" t="str">
        <f>I5&amp;" "&amp;I5</f>
        <v xml:space="preserve">MOSTLY SUNNY. LIGHT WINDS BECOMING S.E. 5 TO 10 MPH. OVERNIGHT…PARTLY  MOSTLY SUNNY. LIGHT WINDS BECOMING S.E. 5 TO 10 MPH. OVERNIGHT…PARTLY </v>
      </c>
      <c r="AE5" s="15">
        <v>1</v>
      </c>
      <c r="AH5" s="15" t="s">
        <v>34</v>
      </c>
    </row>
    <row r="6" spans="1:34" ht="16.5" customHeight="1">
      <c r="A6" s="88">
        <f>A5+1</f>
        <v>37025</v>
      </c>
      <c r="B6" s="11">
        <v>73</v>
      </c>
      <c r="C6" s="49">
        <v>58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6</v>
      </c>
      <c r="L6" s="11" t="s">
        <v>626</v>
      </c>
      <c r="N6" s="15" t="str">
        <f>I6&amp;" "&amp;J6</f>
        <v>INCREASING CLOUDS, WITH A CHANCE OF SHOWERS AND T-STORMS THIS AFTER- NOON. CHANCE OF RAIN 60%.CLOUDY  WITH SHOWERS AT NIGHT.</v>
      </c>
      <c r="AE6" s="15">
        <v>1</v>
      </c>
      <c r="AH6" s="15" t="s">
        <v>35</v>
      </c>
    </row>
    <row r="7" spans="1:34" ht="16.5" customHeight="1">
      <c r="A7" s="88">
        <f>A6+1</f>
        <v>37026</v>
      </c>
      <c r="B7" s="11">
        <v>77</v>
      </c>
      <c r="C7" s="49">
        <v>55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6</v>
      </c>
      <c r="L7" s="11" t="s">
        <v>22</v>
      </c>
      <c r="N7" s="15" t="str">
        <f>I7&amp;" "&amp;J7</f>
        <v>CLOUDY… A 50% CHANCE OF T-STORMS. HIGH IN THE UPPER 70S. CLOUDY AT  NIGHT WITH A 50% CHANCE OF SHOWERS AND T-STORMS. LOW IN THE 50S.</v>
      </c>
    </row>
    <row r="8" spans="1:34" ht="16.5" customHeight="1">
      <c r="A8" s="88">
        <f>A7+1</f>
        <v>37027</v>
      </c>
      <c r="B8" s="11">
        <v>72</v>
      </c>
      <c r="C8" s="49">
        <v>55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3</v>
      </c>
      <c r="L8" s="11"/>
      <c r="N8" s="15" t="str">
        <f>I8&amp;" "&amp;J8</f>
        <v xml:space="preserve">PARTLY CLOUDY. HIGH AROUND 70.  </v>
      </c>
    </row>
    <row r="9" spans="1:34" ht="16.5" customHeight="1">
      <c r="A9" s="88">
        <f>A8+1</f>
        <v>37028</v>
      </c>
      <c r="B9" s="11">
        <v>78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11</v>
      </c>
      <c r="K9" s="11">
        <v>1</v>
      </c>
      <c r="L9" s="11">
        <v>0</v>
      </c>
      <c r="M9" s="89"/>
      <c r="N9" s="15" t="str">
        <f>I10&amp;" "&amp;J9</f>
        <v xml:space="preserve">CLOUDY… HIGH IN THE MIDDLE 70S. LOWS IN THE MIDDLE 50S.  </v>
      </c>
    </row>
    <row r="10" spans="1:34" ht="16.5" customHeight="1">
      <c r="A10" s="88">
        <f>A9+1</f>
        <v>37029</v>
      </c>
      <c r="B10" s="11">
        <v>74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805</v>
      </c>
      <c r="J10" s="909" t="s">
        <v>11</v>
      </c>
      <c r="K10" s="11">
        <v>2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activeCell="A2"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 t="s">
        <v>11</v>
      </c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265.50599999999997</v>
      </c>
      <c r="C2" s="60"/>
      <c r="D2" s="120" t="s">
        <v>324</v>
      </c>
      <c r="E2" s="425">
        <f>Weather_Input!A5</f>
        <v>37024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3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192.36799999999999</v>
      </c>
      <c r="C6" s="168"/>
      <c r="D6" s="59" t="s">
        <v>576</v>
      </c>
      <c r="E6" s="153">
        <f>PGL_Deliveries!P5/1000</f>
        <v>0.82699999999999996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192.36799999999999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159.31399999999999</v>
      </c>
      <c r="C8" s="630"/>
      <c r="D8" s="117" t="s">
        <v>578</v>
      </c>
      <c r="E8" s="153">
        <f>PGL_Deliveries!N5/1000</f>
        <v>0.72799999999999998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7.1040000000000001</v>
      </c>
      <c r="C9" s="64"/>
      <c r="D9" s="117" t="s">
        <v>211</v>
      </c>
      <c r="E9" s="153">
        <f>PGL_Deliveries!Q5/1000</f>
        <v>0.20300000000000001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4.657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18.853999999999999</v>
      </c>
      <c r="C11" s="64"/>
      <c r="D11" s="117" t="s">
        <v>580</v>
      </c>
      <c r="E11" s="153">
        <f>PGL_Deliveries!R5/1000</f>
        <v>1.621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0.108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181.702</v>
      </c>
      <c r="C13" s="64"/>
      <c r="D13" s="117" t="s">
        <v>219</v>
      </c>
      <c r="E13" s="153">
        <f>PGL_Deliveries!F5/1000</f>
        <v>59.46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2.7269999999999999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-160.76300000000001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13.843</v>
      </c>
      <c r="D16" s="117" t="s">
        <v>223</v>
      </c>
      <c r="E16" s="153">
        <f>PGL_Deliveries!L5/1000</f>
        <v>0.73099999999999998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0</v>
      </c>
      <c r="C17" s="168" t="s">
        <v>11</v>
      </c>
      <c r="D17" s="1157" t="s">
        <v>222</v>
      </c>
      <c r="E17" s="209">
        <f>PGL_Deliveries!M5/1000</f>
        <v>2.0699999999999998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192.36799999999999</v>
      </c>
      <c r="C18" s="168"/>
      <c r="D18" s="178" t="s">
        <v>585</v>
      </c>
      <c r="E18" s="177">
        <f>SUM(E5:E17)</f>
        <v>73.137999999999991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2.4124499999999998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75.550449999999984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9">
        <f>+B19+B20-C21</f>
        <v>157.29400000000001</v>
      </c>
      <c r="C22" s="1122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33.200000000000003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20.98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160.83000000000001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75.55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0.627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2.4124499999999998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0.56000000000000005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68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44</v>
      </c>
      <c r="C46" s="161"/>
      <c r="D46" s="74" t="s">
        <v>622</v>
      </c>
      <c r="E46" s="60"/>
      <c r="F46" s="175">
        <f>PGL_Deliveries!BE5/1000</f>
        <v>0.161</v>
      </c>
    </row>
    <row r="47" spans="1:13" ht="15">
      <c r="A47" s="172" t="s">
        <v>615</v>
      </c>
      <c r="B47" s="60">
        <f>Weather_Input!E5</f>
        <v>56.1</v>
      </c>
      <c r="C47" s="161"/>
      <c r="D47" s="778" t="s">
        <v>789</v>
      </c>
      <c r="E47" s="68"/>
      <c r="F47" s="175">
        <f>PGL_Deliveries!BF5/1000</f>
        <v>3.5999999999999997E-2</v>
      </c>
    </row>
    <row r="48" spans="1:13" ht="15">
      <c r="A48" s="171" t="s">
        <v>616</v>
      </c>
      <c r="B48" s="226">
        <f>Weather_Input!D5</f>
        <v>5.2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</v>
      </c>
      <c r="C49" s="161"/>
      <c r="D49" s="60" t="s">
        <v>778</v>
      </c>
      <c r="E49" s="153">
        <f>PGL_Deliveries!AJ5/1000</f>
        <v>16.300999999999998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2.5529999999999999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2" sqref="A1:F54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30" t="s">
        <v>5</v>
      </c>
      <c r="B3" s="243">
        <f>NSG_Deliveries!H5/1000</f>
        <v>52.250999999999998</v>
      </c>
      <c r="C3" s="119"/>
      <c r="D3" s="229" t="s">
        <v>324</v>
      </c>
      <c r="E3" s="428">
        <f>Weather_Input!A5</f>
        <v>37024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44.286999999999999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44.286999999999999</v>
      </c>
      <c r="C8" s="160"/>
      <c r="D8" s="818" t="s">
        <v>641</v>
      </c>
      <c r="E8" s="812">
        <f>NSG_Deliveries!F5/1000</f>
        <v>7.9640000000000004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12.036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12.510999999999999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44.286999999999999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37024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47113434</v>
      </c>
      <c r="Q6" s="203">
        <v>15045098</v>
      </c>
      <c r="R6" s="203">
        <v>32068336</v>
      </c>
      <c r="S6" s="203">
        <v>0</v>
      </c>
    </row>
    <row r="7" spans="1:19">
      <c r="A7" s="4">
        <f>B1</f>
        <v>37024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47270728</v>
      </c>
      <c r="Q7">
        <f>IF(O7&gt;0,Q6+O7,Q6)</f>
        <v>15045098</v>
      </c>
      <c r="R7">
        <f>IF(P7&gt;Q7,P7-Q7,0)</f>
        <v>32225630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D1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37024</v>
      </c>
      <c r="B5" s="1">
        <f>(Weather_Input!B5+Weather_Input!C5)/2</f>
        <v>56</v>
      </c>
      <c r="C5" s="910">
        <v>265000</v>
      </c>
      <c r="D5" s="911">
        <v>0</v>
      </c>
      <c r="E5" s="911">
        <v>0</v>
      </c>
      <c r="F5" s="911">
        <v>59460</v>
      </c>
      <c r="G5" s="911">
        <v>108</v>
      </c>
      <c r="H5" s="911">
        <v>2727</v>
      </c>
      <c r="I5" s="911">
        <v>192368</v>
      </c>
      <c r="J5" s="911">
        <v>0</v>
      </c>
      <c r="K5" s="911">
        <v>6</v>
      </c>
      <c r="L5" s="911">
        <v>731</v>
      </c>
      <c r="M5" s="911">
        <v>2070</v>
      </c>
      <c r="N5" s="911">
        <v>728</v>
      </c>
      <c r="O5" s="911">
        <v>0</v>
      </c>
      <c r="P5" s="911">
        <v>827</v>
      </c>
      <c r="Q5" s="911">
        <v>203</v>
      </c>
      <c r="R5" s="911">
        <v>1621</v>
      </c>
      <c r="S5" s="916">
        <v>4657</v>
      </c>
      <c r="T5" s="1156">
        <v>0</v>
      </c>
      <c r="U5" s="910">
        <f>SUM(D5:S5)-T5</f>
        <v>265506</v>
      </c>
      <c r="V5" s="910">
        <v>159314</v>
      </c>
      <c r="W5" s="11">
        <v>7104</v>
      </c>
      <c r="X5" s="11">
        <v>0</v>
      </c>
      <c r="Y5" s="11">
        <v>0</v>
      </c>
      <c r="Z5" s="11">
        <v>181702</v>
      </c>
      <c r="AA5" s="11">
        <v>161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16301</v>
      </c>
      <c r="AK5" s="11">
        <v>2553</v>
      </c>
      <c r="AL5" s="11">
        <v>0</v>
      </c>
      <c r="AM5" s="1">
        <v>1016</v>
      </c>
      <c r="AN5" s="1"/>
      <c r="AO5" s="1">
        <v>13843</v>
      </c>
      <c r="AP5" s="1">
        <v>0</v>
      </c>
      <c r="AQ5" s="1">
        <v>0</v>
      </c>
      <c r="AR5" s="1">
        <v>20980</v>
      </c>
      <c r="AS5" s="1">
        <v>0</v>
      </c>
      <c r="AT5" s="1">
        <v>627</v>
      </c>
      <c r="AU5" s="1">
        <v>160830</v>
      </c>
      <c r="AV5" s="1">
        <v>560</v>
      </c>
      <c r="AW5" s="626">
        <f>AU5*0.015</f>
        <v>2412.4499999999998</v>
      </c>
      <c r="AX5" s="1">
        <v>0</v>
      </c>
      <c r="AY5" s="1"/>
      <c r="AZ5" s="1">
        <v>108</v>
      </c>
      <c r="BA5" s="1">
        <v>13</v>
      </c>
      <c r="BB5" s="1">
        <v>4</v>
      </c>
      <c r="BC5" s="1">
        <v>0</v>
      </c>
      <c r="BD5" s="1"/>
      <c r="BE5" s="1">
        <v>161</v>
      </c>
      <c r="BF5" s="1">
        <v>36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37025</v>
      </c>
      <c r="B6" s="929">
        <f>(Weather_Input!B6+Weather_Input!C6)/2</f>
        <v>65.5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37026</v>
      </c>
      <c r="B7" s="929">
        <f>(Weather_Input!B7+Weather_Input!C7)/2</f>
        <v>66</v>
      </c>
      <c r="C7" s="910">
        <v>240000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37027</v>
      </c>
      <c r="B8" s="929">
        <f>(Weather_Input!B8+Weather_Input!C8)/2</f>
        <v>63.5</v>
      </c>
      <c r="C8" s="910">
        <v>240000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37028</v>
      </c>
      <c r="B9" s="929">
        <f>(Weather_Input!B9+Weather_Input!C9)/2</f>
        <v>68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37029</v>
      </c>
      <c r="B10" s="929">
        <f>(Weather_Input!B10+Weather_Input!C10)/2</f>
        <v>63.5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37024</v>
      </c>
      <c r="B5" s="1">
        <f>(Weather_Input!B5+Weather_Input!C5)/2</f>
        <v>56</v>
      </c>
      <c r="C5" s="910">
        <v>52000</v>
      </c>
      <c r="D5" s="910">
        <v>0</v>
      </c>
      <c r="E5" s="910">
        <v>44287</v>
      </c>
      <c r="F5" s="910">
        <v>7964</v>
      </c>
      <c r="G5" s="910">
        <v>0</v>
      </c>
      <c r="H5" s="918">
        <f>SUM(D5:G5)</f>
        <v>52251</v>
      </c>
      <c r="I5" s="1">
        <v>1008</v>
      </c>
      <c r="J5" s="1" t="s">
        <v>11</v>
      </c>
      <c r="K5" s="1">
        <v>0</v>
      </c>
      <c r="L5" s="1">
        <v>12511</v>
      </c>
      <c r="M5" s="1">
        <v>12036</v>
      </c>
      <c r="N5" s="1">
        <v>0</v>
      </c>
    </row>
    <row r="6" spans="1:14">
      <c r="A6" s="12">
        <f>A5+1</f>
        <v>37025</v>
      </c>
      <c r="B6" s="929">
        <f>(Weather_Input!B6+Weather_Input!C6)/2</f>
        <v>65.5</v>
      </c>
      <c r="C6" s="910">
        <v>44000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37026</v>
      </c>
      <c r="B7" s="929">
        <f>(Weather_Input!B7+Weather_Input!C7)/2</f>
        <v>66</v>
      </c>
      <c r="C7" s="910">
        <v>39000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37027</v>
      </c>
      <c r="B8" s="929">
        <f>(Weather_Input!B8+Weather_Input!C8)/2</f>
        <v>63.5</v>
      </c>
      <c r="C8" s="910">
        <v>39000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37028</v>
      </c>
      <c r="B9" s="929">
        <f>(Weather_Input!B9+Weather_Input!C9)/2</f>
        <v>68</v>
      </c>
      <c r="C9" s="910">
        <v>38000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37029</v>
      </c>
      <c r="B10" s="929">
        <f>(Weather_Input!B10+Weather_Input!C10)/2</f>
        <v>63.5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6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5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4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37024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13843</v>
      </c>
      <c r="H7" s="921">
        <v>161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160830</v>
      </c>
      <c r="Q7" s="626">
        <f t="shared" ref="Q7:Q12" si="0">P7*0.015</f>
        <v>2412.4499999999998</v>
      </c>
      <c r="R7" s="624">
        <v>560</v>
      </c>
      <c r="S7" s="624">
        <v>0</v>
      </c>
      <c r="T7" s="624">
        <v>0</v>
      </c>
      <c r="U7" s="623">
        <v>33200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37024</v>
      </c>
    </row>
    <row r="8" spans="1:89" s="1" customFormat="1" ht="12.75">
      <c r="A8" s="831">
        <f>A7+1</f>
        <v>37025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28690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132000</v>
      </c>
      <c r="Q8" s="626">
        <f t="shared" si="0"/>
        <v>1980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37026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19000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37026</v>
      </c>
      <c r="AN9" s="623"/>
    </row>
    <row r="10" spans="1:89" s="1" customFormat="1" ht="12.75">
      <c r="A10" s="831">
        <f>A9+1</f>
        <v>37027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37027</v>
      </c>
    </row>
    <row r="11" spans="1:89" s="1" customFormat="1" ht="12.75">
      <c r="A11" s="831">
        <f>A10+1</f>
        <v>37028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37028</v>
      </c>
    </row>
    <row r="12" spans="1:89" s="1" customFormat="1" ht="12.75">
      <c r="A12" s="831">
        <f>A11+1</f>
        <v>37029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37029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T1" zoomScale="75" workbookViewId="0">
      <selection activeCell="AE7" sqref="AE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3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1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627</v>
      </c>
      <c r="I7" s="624">
        <v>18854</v>
      </c>
      <c r="J7" s="624">
        <v>0</v>
      </c>
      <c r="K7" s="922">
        <v>0</v>
      </c>
      <c r="L7" s="625">
        <v>20980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37024</v>
      </c>
      <c r="AI7" s="623"/>
      <c r="AJ7" s="623"/>
      <c r="AK7" s="623"/>
    </row>
    <row r="8" spans="1:37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13810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0</v>
      </c>
      <c r="U8" s="624">
        <v>0</v>
      </c>
      <c r="V8" s="625">
        <v>176704</v>
      </c>
      <c r="W8" s="625">
        <v>0</v>
      </c>
      <c r="X8" s="623">
        <v>0</v>
      </c>
      <c r="Y8" s="922">
        <v>157294</v>
      </c>
      <c r="Z8" s="625">
        <v>40200</v>
      </c>
      <c r="AA8" s="1">
        <v>0</v>
      </c>
      <c r="AB8" s="623">
        <v>169630</v>
      </c>
      <c r="AC8" s="623">
        <v>54570</v>
      </c>
      <c r="AD8" s="623">
        <v>0</v>
      </c>
      <c r="AE8" s="922">
        <v>0</v>
      </c>
      <c r="AF8" s="831">
        <f>AF7+1</f>
        <v>37025</v>
      </c>
      <c r="AI8" s="623"/>
      <c r="AJ8" s="623"/>
      <c r="AK8" s="623"/>
    </row>
    <row r="9" spans="1:37" s="623" customFormat="1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176704</v>
      </c>
      <c r="W9" s="625">
        <v>0</v>
      </c>
      <c r="X9" s="623">
        <v>0</v>
      </c>
      <c r="Y9" s="922">
        <v>157294</v>
      </c>
      <c r="Z9" s="625">
        <v>40200</v>
      </c>
      <c r="AA9" s="1">
        <v>0</v>
      </c>
      <c r="AB9" s="623">
        <v>169630</v>
      </c>
      <c r="AC9" s="623">
        <v>54570</v>
      </c>
      <c r="AD9" s="623">
        <v>0</v>
      </c>
      <c r="AE9" s="922">
        <v>0</v>
      </c>
      <c r="AF9" s="831">
        <f>AF8+1</f>
        <v>37026</v>
      </c>
    </row>
    <row r="10" spans="1:37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157294</v>
      </c>
      <c r="Z10" s="625">
        <v>40200</v>
      </c>
      <c r="AA10" s="1">
        <v>0</v>
      </c>
      <c r="AB10" s="623">
        <v>169630</v>
      </c>
      <c r="AC10" s="623">
        <v>54570</v>
      </c>
      <c r="AD10" s="623">
        <v>0</v>
      </c>
      <c r="AE10" s="922">
        <v>0</v>
      </c>
      <c r="AF10" s="831">
        <f>AF9+1</f>
        <v>37027</v>
      </c>
      <c r="AI10" s="623"/>
      <c r="AJ10" s="623"/>
      <c r="AK10" s="623"/>
    </row>
    <row r="11" spans="1:37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157294</v>
      </c>
      <c r="Z11" s="625">
        <v>40200</v>
      </c>
      <c r="AA11" s="1">
        <v>0</v>
      </c>
      <c r="AB11" s="623">
        <v>169630</v>
      </c>
      <c r="AC11" s="623">
        <v>54570</v>
      </c>
      <c r="AD11" s="623">
        <v>0</v>
      </c>
      <c r="AE11" s="922">
        <v>0</v>
      </c>
      <c r="AF11" s="831">
        <f>AF10+1</f>
        <v>37028</v>
      </c>
    </row>
    <row r="12" spans="1:37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157294</v>
      </c>
      <c r="Z12" s="625">
        <v>40200</v>
      </c>
      <c r="AA12" s="1">
        <v>0</v>
      </c>
      <c r="AB12" s="623">
        <v>169630</v>
      </c>
      <c r="AC12" s="623">
        <v>54570</v>
      </c>
      <c r="AD12" s="623">
        <v>0</v>
      </c>
      <c r="AE12" s="922">
        <v>0</v>
      </c>
      <c r="AF12" s="831">
        <f>AF11+1</f>
        <v>37029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37024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12036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37024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37025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16780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37025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37026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37026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37027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37027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37028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37028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37029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37029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J7" sqref="J7"/>
    </sheetView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12511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37024</v>
      </c>
      <c r="W7" s="623"/>
      <c r="X7" s="623"/>
    </row>
    <row r="8" spans="1:24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9000</v>
      </c>
      <c r="G8" s="626">
        <f>(R8+S8+C8+PGL_Requirements!Y8+PGL_Requirements!Z8-NSG_Requirements!C8)*0.05</f>
        <v>2630.3500000000004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31776</v>
      </c>
      <c r="S8" s="626">
        <v>20831</v>
      </c>
      <c r="T8" s="626">
        <v>0</v>
      </c>
      <c r="U8" s="626">
        <v>0</v>
      </c>
      <c r="V8" s="831">
        <f>V7+1</f>
        <v>37025</v>
      </c>
      <c r="W8" s="623"/>
      <c r="X8" s="623"/>
    </row>
    <row r="9" spans="1:24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9000</v>
      </c>
      <c r="G9" s="626">
        <f>(R9+S9+C9+PGL_Requirements!Y9+PGL_Requirements!Z9-NSG_Requirements!C9)*0.05</f>
        <v>2630.3500000000004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31776</v>
      </c>
      <c r="S9" s="626">
        <v>20831</v>
      </c>
      <c r="T9" s="626">
        <v>0</v>
      </c>
      <c r="U9" s="626">
        <v>0</v>
      </c>
      <c r="V9" s="831">
        <f>V8+1</f>
        <v>37026</v>
      </c>
      <c r="W9" s="623"/>
      <c r="X9" s="623"/>
    </row>
    <row r="10" spans="1:24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9000</v>
      </c>
      <c r="G10" s="626">
        <f>(R10+S10+C10+PGL_Requirements!Y10+PGL_Requirements!Z10-NSG_Requirements!C10)*0.05</f>
        <v>2630.3500000000004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31776</v>
      </c>
      <c r="S10" s="626">
        <v>20831</v>
      </c>
      <c r="T10" s="626">
        <v>0</v>
      </c>
      <c r="U10" s="626">
        <v>0</v>
      </c>
      <c r="V10" s="831">
        <f>V9+1</f>
        <v>37027</v>
      </c>
      <c r="W10" s="623"/>
      <c r="X10" s="623"/>
    </row>
    <row r="11" spans="1:24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9000</v>
      </c>
      <c r="G11" s="626">
        <f>(R11+S11+C11+PGL_Requirements!Y11+PGL_Requirements!Z11-NSG_Requirements!C11)*0.05</f>
        <v>2630.3500000000004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31776</v>
      </c>
      <c r="S11" s="626">
        <v>20831</v>
      </c>
      <c r="T11" s="626">
        <v>0</v>
      </c>
      <c r="U11" s="626">
        <v>0</v>
      </c>
      <c r="V11" s="831">
        <f>V10+1</f>
        <v>37028</v>
      </c>
      <c r="W11" s="623"/>
      <c r="X11" s="623"/>
    </row>
    <row r="12" spans="1:24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9000</v>
      </c>
      <c r="G12" s="626">
        <f>(R12+S12+C12+PGL_Requirements!Y12+PGL_Requirements!Z12-NSG_Requirements!C12)*0.05</f>
        <v>2630.3500000000004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31776</v>
      </c>
      <c r="S12" s="626">
        <v>20831</v>
      </c>
      <c r="T12" s="626">
        <v>0</v>
      </c>
      <c r="U12" s="626">
        <v>0</v>
      </c>
      <c r="V12" s="831">
        <f>V11+1</f>
        <v>37029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SUN</v>
      </c>
      <c r="I1" s="836">
        <f>D4</f>
        <v>37024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</row>
    <row r="4" spans="1:256" ht="15.75" thickBot="1">
      <c r="A4" s="843"/>
      <c r="B4" s="844"/>
      <c r="C4" s="844"/>
      <c r="D4" s="465">
        <f>Weather_Input!A5</f>
        <v>37024</v>
      </c>
      <c r="E4" s="465">
        <f>Weather_Input!A6</f>
        <v>37025</v>
      </c>
      <c r="F4" s="465">
        <f>Weather_Input!A7</f>
        <v>37026</v>
      </c>
      <c r="G4" s="465">
        <f>Weather_Input!A8</f>
        <v>37027</v>
      </c>
      <c r="H4" s="465">
        <f>Weather_Input!A9</f>
        <v>37028</v>
      </c>
      <c r="I4" s="466">
        <f>Weather_Input!A10</f>
        <v>37029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68/44/56</v>
      </c>
      <c r="E5" s="467" t="str">
        <f>TEXT(Weather_Input!B6,"0")&amp;"/"&amp;TEXT(Weather_Input!C6,"0") &amp; "/" &amp; TEXT((Weather_Input!B6+Weather_Input!C6)/2,"0")</f>
        <v>73/58/66</v>
      </c>
      <c r="F5" s="467" t="str">
        <f>TEXT(Weather_Input!B7,"0")&amp;"/"&amp;TEXT(Weather_Input!C7,"0") &amp; "/" &amp; TEXT((Weather_Input!B7+Weather_Input!C7)/2,"0")</f>
        <v>77/55/66</v>
      </c>
      <c r="G5" s="467" t="str">
        <f>TEXT(Weather_Input!B8,"0")&amp;"/"&amp;TEXT(Weather_Input!C8,"0") &amp; "/" &amp; TEXT((Weather_Input!B8+Weather_Input!C8)/2,"0")</f>
        <v>72/55/64</v>
      </c>
      <c r="H5" s="467" t="str">
        <f>TEXT(Weather_Input!B9,"0")&amp;"/"&amp;TEXT(Weather_Input!C9,"0") &amp; "/" &amp; TEXT((Weather_Input!B9+Weather_Input!C9)/2,"0")</f>
        <v>78/58/68</v>
      </c>
      <c r="I5" s="468" t="str">
        <f>TEXT(Weather_Input!B10,"0")&amp;"/"&amp;TEXT(Weather_Input!C10,"0") &amp; "/" &amp; TEXT((Weather_Input!B10+Weather_Input!C10)/2,"0")</f>
        <v>74/53/64</v>
      </c>
    </row>
    <row r="6" spans="1:256" ht="15.75">
      <c r="A6" s="850" t="s">
        <v>139</v>
      </c>
      <c r="B6" s="838"/>
      <c r="C6" s="838"/>
      <c r="D6" s="467">
        <f>PGL_Deliveries!C5/1000</f>
        <v>265</v>
      </c>
      <c r="E6" s="467">
        <f>PGL_Deliveries!C6/1000</f>
        <v>240</v>
      </c>
      <c r="F6" s="467">
        <f>PGL_Deliveries!C7/1000</f>
        <v>240</v>
      </c>
      <c r="G6" s="467">
        <f>PGL_Deliveries!C8/1000</f>
        <v>240</v>
      </c>
      <c r="H6" s="467">
        <f>PGL_Deliveries!C9/1000</f>
        <v>240</v>
      </c>
      <c r="I6" s="468">
        <f>PGL_Deliveries!C10/1000</f>
        <v>230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0.161</v>
      </c>
      <c r="E7" s="467">
        <f>PGL_Requirements!H8/1000</f>
        <v>28.69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8</v>
      </c>
      <c r="F8" s="467">
        <f>PGL_Requirements!I9/1000+PGL_Requirements!K9/1000</f>
        <v>19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160.83000000000001</v>
      </c>
      <c r="E13" s="467">
        <f>PGL_Requirements!P8/1000</f>
        <v>132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2.4124499999999998</v>
      </c>
      <c r="E14" s="467">
        <f>PGL_Requirements!Q8/1000</f>
        <v>1.98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0.56000000000000005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33.200000000000003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13.843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476.00644999999997</v>
      </c>
      <c r="E30" s="471">
        <f t="shared" si="1"/>
        <v>451.5</v>
      </c>
      <c r="F30" s="471">
        <f t="shared" si="1"/>
        <v>452.08</v>
      </c>
      <c r="G30" s="471">
        <f t="shared" si="1"/>
        <v>433.08</v>
      </c>
      <c r="H30" s="471">
        <f t="shared" si="1"/>
        <v>433.08</v>
      </c>
      <c r="I30" s="1170">
        <f t="shared" si="1"/>
        <v>423.08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1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0.627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20.98</v>
      </c>
      <c r="E37" s="467">
        <f>PGL_Supplies!L8/1000</f>
        <v>13.81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0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157.29400000000001</v>
      </c>
      <c r="F47" s="467">
        <f>PGL_Supplies!Y9/1000</f>
        <v>157.29400000000001</v>
      </c>
      <c r="G47" s="467">
        <f>PGL_Supplies!Y10/1000</f>
        <v>157.29400000000001</v>
      </c>
      <c r="H47" s="467">
        <f>PGL_Supplies!Y11/1000</f>
        <v>157.29400000000001</v>
      </c>
      <c r="I47" s="468">
        <f>PGL_Supplies!Y12/1000</f>
        <v>157.29400000000001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169.63</v>
      </c>
      <c r="F50" s="467">
        <f>PGL_Supplies!AB9/1000</f>
        <v>169.63</v>
      </c>
      <c r="G50" s="467">
        <f>PGL_Supplies!AB10/1000</f>
        <v>169.63</v>
      </c>
      <c r="H50" s="467">
        <f>PGL_Supplies!AB11/1000</f>
        <v>169.63</v>
      </c>
      <c r="I50" s="468">
        <f>PGL_Supplies!AB12/1000</f>
        <v>169.63</v>
      </c>
    </row>
    <row r="51" spans="1:10" ht="15.75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54.57</v>
      </c>
      <c r="F51" s="467">
        <f>PGL_Supplies!AC9/1000</f>
        <v>54.57</v>
      </c>
      <c r="G51" s="467">
        <f>PGL_Supplies!AC10/1000</f>
        <v>54.57</v>
      </c>
      <c r="H51" s="467">
        <f>PGL_Supplies!AC11/1000</f>
        <v>54.57</v>
      </c>
      <c r="I51" s="468">
        <f>PGL_Supplies!AC12/1000</f>
        <v>54.57</v>
      </c>
    </row>
    <row r="52" spans="1:10" ht="15.75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 ht="15.75">
      <c r="A53" s="864"/>
      <c r="B53" s="838" t="s">
        <v>158</v>
      </c>
      <c r="C53" s="838"/>
      <c r="D53" s="467">
        <f>PGL_Supplies!I7/1000</f>
        <v>18.853999999999999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482.15499999999997</v>
      </c>
      <c r="E61" s="477">
        <f t="shared" si="2"/>
        <v>451.50400000000002</v>
      </c>
      <c r="F61" s="477">
        <f t="shared" si="2"/>
        <v>437.69400000000002</v>
      </c>
      <c r="G61" s="477">
        <f t="shared" si="2"/>
        <v>437.69400000000002</v>
      </c>
      <c r="H61" s="477">
        <f t="shared" si="2"/>
        <v>437.69400000000002</v>
      </c>
      <c r="I61" s="1172">
        <f t="shared" si="2"/>
        <v>437.69400000000002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6.1485500000000002</v>
      </c>
      <c r="E62" s="478">
        <f t="shared" si="3"/>
        <v>4.0000000000190994E-3</v>
      </c>
      <c r="F62" s="478">
        <f t="shared" si="3"/>
        <v>0</v>
      </c>
      <c r="G62" s="478">
        <f t="shared" si="3"/>
        <v>4.6140000000000327</v>
      </c>
      <c r="H62" s="478">
        <f t="shared" si="3"/>
        <v>4.6140000000000327</v>
      </c>
      <c r="I62" s="1173">
        <f t="shared" si="3"/>
        <v>14.614000000000033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14.385999999999967</v>
      </c>
      <c r="G63" s="479">
        <f t="shared" si="4"/>
        <v>0</v>
      </c>
      <c r="H63" s="479">
        <f t="shared" si="4"/>
        <v>0</v>
      </c>
      <c r="I63" s="1174">
        <f t="shared" si="4"/>
        <v>0</v>
      </c>
    </row>
    <row r="64" spans="1:10" ht="16.5" thickTop="1" thickBot="1">
      <c r="A64" s="1161" t="s">
        <v>767</v>
      </c>
      <c r="B64" s="1162"/>
      <c r="C64" s="1162"/>
      <c r="D64" s="1163">
        <f>PGL_Supplies!V7/1000</f>
        <v>176.70400000000001</v>
      </c>
      <c r="E64" s="1163">
        <f>PGL_Supplies!V8/1000</f>
        <v>176.70400000000001</v>
      </c>
      <c r="F64" s="1163">
        <f>PGL_Supplies!V9/1000</f>
        <v>176.70400000000001</v>
      </c>
      <c r="G64" s="1163">
        <f>PGL_Supplies!V10/1000</f>
        <v>176.70400000000001</v>
      </c>
      <c r="H64" s="1163">
        <f>PGL_Supplies!V11/1000</f>
        <v>176.70400000000001</v>
      </c>
      <c r="I64" s="1164">
        <f>PGL_Supplies!V12/1000</f>
        <v>176.70400000000001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2001-05-14T16:22:31Z</cp:lastPrinted>
  <dcterms:created xsi:type="dcterms:W3CDTF">1997-07-16T16:14:22Z</dcterms:created>
  <dcterms:modified xsi:type="dcterms:W3CDTF">2023-09-10T17:13:27Z</dcterms:modified>
</cp:coreProperties>
</file>