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9FFE513-1876-4ED3-84B3-0B9917DDC4BD}" xr6:coauthVersionLast="47" xr6:coauthVersionMax="47" xr10:uidLastSave="{00000000-0000-0000-0000-000000000000}"/>
  <bookViews>
    <workbookView xWindow="-120" yWindow="-120" windowWidth="38640" windowHeight="157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C12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H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D46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B40" i="20"/>
  <c r="E40" i="20"/>
  <c r="B41" i="20"/>
  <c r="F41" i="20"/>
  <c r="B42" i="20"/>
  <c r="E42" i="20"/>
  <c r="B43" i="20"/>
  <c r="E43" i="20"/>
  <c r="C44" i="20"/>
  <c r="F44" i="20"/>
  <c r="B45" i="20"/>
  <c r="E45" i="20"/>
  <c r="B46" i="20"/>
  <c r="E46" i="20"/>
  <c r="B47" i="20"/>
  <c r="F47" i="20"/>
  <c r="B48" i="20"/>
  <c r="E48" i="20"/>
  <c r="B49" i="20"/>
  <c r="E49" i="20"/>
  <c r="E50" i="20"/>
  <c r="D22" i="14"/>
  <c r="G22" i="14"/>
  <c r="E38" i="14"/>
  <c r="E39" i="14"/>
  <c r="E40" i="14"/>
  <c r="E41" i="14"/>
  <c r="E42" i="14"/>
  <c r="F1" i="11"/>
  <c r="G1" i="11"/>
  <c r="B4" i="11"/>
  <c r="C4" i="11"/>
  <c r="C5" i="11"/>
  <c r="C6" i="11"/>
  <c r="C7" i="11"/>
  <c r="C9" i="11"/>
  <c r="C10" i="11"/>
  <c r="C11" i="11"/>
  <c r="C12" i="11"/>
  <c r="C13" i="11"/>
  <c r="C14" i="11"/>
  <c r="C15" i="11"/>
  <c r="C16" i="11"/>
  <c r="C17" i="11"/>
  <c r="C18" i="11"/>
  <c r="C19" i="11"/>
  <c r="C21" i="11"/>
  <c r="C22" i="11"/>
  <c r="C24" i="11"/>
  <c r="C25" i="11"/>
  <c r="D25" i="11"/>
  <c r="C26" i="11"/>
  <c r="C27" i="11"/>
  <c r="C28" i="11"/>
  <c r="C29" i="11"/>
  <c r="E29" i="11"/>
  <c r="G29" i="11"/>
  <c r="I29" i="11"/>
  <c r="B31" i="11"/>
  <c r="B32" i="11"/>
  <c r="B33" i="11"/>
  <c r="B34" i="11"/>
  <c r="B36" i="11"/>
  <c r="B37" i="11"/>
  <c r="B38" i="11"/>
  <c r="B39" i="11"/>
  <c r="B40" i="11"/>
  <c r="B41" i="11"/>
  <c r="B43" i="11"/>
  <c r="B45" i="11"/>
  <c r="B46" i="11"/>
  <c r="B47" i="11"/>
  <c r="B49" i="11"/>
  <c r="B50" i="11"/>
  <c r="B51" i="11"/>
  <c r="B52" i="11"/>
  <c r="B53" i="11"/>
  <c r="I53" i="11"/>
  <c r="B54" i="11"/>
  <c r="B55" i="11"/>
  <c r="I55" i="11"/>
  <c r="H56" i="11"/>
  <c r="H57" i="11"/>
  <c r="H58" i="11"/>
  <c r="B59" i="11"/>
  <c r="I59" i="11"/>
  <c r="B60" i="11"/>
  <c r="I60" i="11"/>
  <c r="B61" i="11"/>
  <c r="B62" i="11"/>
  <c r="I62" i="11"/>
  <c r="B63" i="11"/>
  <c r="I63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<sst xmlns="http://schemas.openxmlformats.org/spreadsheetml/2006/main" count="2148" uniqueCount="803">
  <si>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</si>
  <si>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</si>
  <si>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</si>
  <si>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</si>
  <si>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</si>
  <si>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</si>
  <si>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</si>
  <si>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</si>
  <si>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</si>
  <si>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</si>
  <si>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</si>
  <si>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</si>
  <si>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</si>
  <si>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</si>
  <si>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</si>
  <si>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</si>
  <si>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</si>
  <si>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</si>
  <si>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</si>
  <si>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</si>
  <si>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</si>
  <si>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</si>
  <si>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</si>
  <si>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</si>
  <si>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</si>
  <si>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</si>
  <si>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</si>
  <si>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</si>
  <si>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</si>
  <si>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</si>
  <si>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</si>
  <si>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</si>
  <si>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</si>
  <si>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</si>
  <si>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</si>
  <si>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</si>
  <si>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</si>
  <si>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</si>
  <si>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</si>
  <si>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</si>
  <si>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</si>
  <si>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</si>
  <si>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</si>
  <si>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</si>
  <si>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</si>
  <si>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</si>
  <si>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</si>
  <si>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</si>
  <si>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</si>
  <si>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</si>
  <si>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</si>
  <si>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</si>
  <si>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</si>
  <si>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</si>
  <si>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</si>
  <si>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</si>
  <si>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</si>
  <si>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</si>
  <si>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</si>
  <si>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</si>
  <si>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</si>
  <si>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</si>
  <si>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</si>
  <si>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</si>
  <si>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</si>
  <si>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</si>
  <si>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</si>
  <si>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</si>
  <si>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</si>
  <si>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</si>
  <si>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</si>
  <si>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</si>
  <si>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</si>
  <si>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</si>
  <si>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</si>
  <si>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</si>
  <si>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</si>
  <si>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</si>
  <si>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</si>
  <si>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</si>
  <si>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</si>
  <si>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</si>
  <si>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</si>
  <si>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</si>
  <si>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</si>
  <si>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</si>
  <si>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</si>
  <si>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</si>
  <si>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</si>
  <si>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</si>
  <si>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</si>
  <si>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PGL Displacements to NSG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</si>
  <si>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</si>
  <si>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</si>
  <si>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</si>
  <si>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</si>
  <si>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</si>
  <si>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</si>
  <si>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</si>
  <si>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</si>
  <si>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</si>
  <si>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</si>
  <si>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</si>
  <si>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</si>
  <si>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</si>
  <si>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</si>
  <si>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</si>
  <si>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</si>
  <si>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</si>
  <si>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</si>
  <si>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</si>
  <si>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</si>
  <si>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</si>
  <si>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</si>
  <si>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</si>
  <si>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</si>
  <si>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</si>
  <si>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</si>
  <si>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</si>
  <si>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</si>
  <si>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</si>
  <si>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</si>
  <si>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</si>
  <si>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</si>
  <si>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</si>
  <si>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</si>
  <si>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</si>
  <si>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</si>
  <si>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</si>
  <si>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</si>
  <si>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</si>
  <si>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</si>
  <si>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</si>
  <si>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</si>
  <si>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</si>
  <si>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</si>
  <si>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</si>
  <si>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</si>
  <si>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</si>
  <si>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</si>
  <si>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</si>
  <si>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</si>
  <si>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</si>
  <si>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</si>
  <si>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</si>
  <si>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</si>
  <si>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</si>
  <si>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</si>
  <si>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</si>
  <si>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</si>
  <si>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</si>
  <si>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</si>
  <si>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</si>
  <si>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</si>
  <si>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</si>
  <si>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</si>
  <si>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</si>
  <si>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</si>
  <si>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</si>
  <si>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</si>
  <si>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</si>
  <si>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</si>
  <si>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</si>
  <si>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</si>
  <si>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</si>
  <si>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</si>
  <si>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</si>
  <si>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</si>
  <si>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</si>
  <si>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</si>
  <si>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</si>
  <si>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</si>
  <si>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</si>
  <si>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</si>
  <si>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</si>
  <si>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</si>
  <si>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</si>
  <si>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</si>
  <si>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</si>
  <si>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</si>
  <si>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</si>
  <si>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</si>
  <si>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</si>
  <si>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</si>
  <si>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</si>
  <si>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</si>
  <si>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</si>
  <si>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</si>
  <si>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</si>
  <si>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</si>
  <si>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</si>
  <si>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</si>
  <si>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</si>
  <si>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</si>
  <si>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</si>
  <si>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</si>
  <si>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</si>
  <si>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</si>
  <si>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</si>
  <si>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</si>
  <si>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</si>
  <si>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</si>
  <si>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</si>
  <si>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</si>
  <si>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</si>
  <si>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</si>
  <si>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</si>
  <si>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</si>
  <si>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</si>
  <si>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</si>
  <si>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</si>
  <si>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</si>
  <si>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</si>
  <si>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</si>
  <si>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</si>
  <si>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</si>
  <si>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</si>
  <si>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</si>
  <si>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</si>
  <si>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</si>
  <si>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</si>
  <si>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</si>
  <si>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</si>
  <si>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</si>
  <si>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</si>
  <si>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</si>
  <si>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</si>
  <si>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</si>
  <si>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</si>
  <si>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</si>
  <si>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</si>
  <si>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</si>
  <si>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</si>
  <si>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</si>
  <si>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</si>
  <si>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</si>
  <si>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</si>
  <si>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</si>
  <si>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</si>
  <si>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</si>
  <si>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</si>
  <si>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</si>
  <si>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</si>
  <si>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</si>
  <si>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</si>
  <si>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</si>
  <si>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</si>
  <si>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</si>
  <si>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</si>
  <si>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</si>
  <si>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</si>
  <si>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</si>
  <si>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</si>
  <si>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</si>
  <si>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</si>
  <si>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</si>
  <si>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</si>
  <si>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</si>
  <si>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</si>
  <si>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</si>
  <si>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</si>
  <si>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</si>
  <si>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</si>
  <si>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</si>
  <si>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</si>
  <si>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</si>
  <si>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</si>
  <si>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</si>
  <si>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</si>
  <si>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</si>
  <si>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Nominations for:  THE PEOPLES GAS LIGHT AND COKE COMPANY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</si>
  <si>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</si>
  <si>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</si>
  <si>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</si>
  <si>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</si>
  <si>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</si>
  <si>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</si>
  <si>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</si>
  <si>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</si>
  <si>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</si>
  <si>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</si>
  <si>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</si>
  <si>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</si>
  <si>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</si>
  <si>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</si>
  <si>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</si>
  <si>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</si>
  <si>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</si>
  <si>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</si>
  <si>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</si>
  <si>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</si>
  <si>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</si>
  <si>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</si>
  <si>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</si>
  <si>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</si>
  <si>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</si>
  <si>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</si>
  <si>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</si>
  <si>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</si>
  <si>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</si>
  <si>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</si>
  <si>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</si>
  <si>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</si>
  <si>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</si>
  <si>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</si>
  <si>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</si>
  <si>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</si>
  <si>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</si>
  <si>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</si>
  <si>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</si>
  <si>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</si>
  <si>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</si>
  <si>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</si>
  <si>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</si>
  <si>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</si>
  <si>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</si>
  <si>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</si>
  <si>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</si>
  <si>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</si>
  <si>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</si>
  <si>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</si>
  <si>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</si>
  <si>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</si>
  <si>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</si>
  <si>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</si>
  <si>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</si>
  <si>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</si>
  <si>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</si>
  <si>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</si>
  <si>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</si>
  <si>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</si>
  <si>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</si>
  <si>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</si>
  <si>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</si>
  <si>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</si>
  <si>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</si>
  <si>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</si>
  <si>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</si>
  <si>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</si>
  <si>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</si>
  <si>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</si>
  <si>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</si>
  <si>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</si>
  <si>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</si>
  <si>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</si>
  <si>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</si>
  <si>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</si>
  <si>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</si>
  <si>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</si>
  <si>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</si>
  <si>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</si>
  <si>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</si>
  <si>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</si>
  <si>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</si>
  <si>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</si>
  <si>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</si>
  <si>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</si>
  <si>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</si>
  <si>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</si>
  <si>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</si>
  <si>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</si>
  <si>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</si>
  <si>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</si>
  <si>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</si>
  <si>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</si>
  <si>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</si>
  <si>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</si>
  <si>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</si>
  <si>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</si>
  <si>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</si>
  <si>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</si>
  <si>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</si>
  <si>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</si>
  <si>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</si>
  <si>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</si>
  <si>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</si>
  <si>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</si>
  <si>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</si>
  <si>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</si>
  <si>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</si>
  <si>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</si>
  <si>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</si>
  <si>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</si>
  <si>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</si>
  <si>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</si>
  <si>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</si>
  <si>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</si>
  <si>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</si>
  <si>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</si>
  <si>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</si>
  <si>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</si>
  <si>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</si>
  <si>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</si>
  <si>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</si>
  <si>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</si>
  <si>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</si>
  <si>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</si>
  <si>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</si>
  <si>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</si>
  <si>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</si>
  <si>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2) Please fax all nominations forms to the attention of the above listed indivduals.</t>
  </si>
  <si>
    <t>3) All Terms and Conditions are per the above refernced Agreement.</t>
  </si>
  <si>
    <t>73 RD &amp; CM / BUSSE</t>
  </si>
  <si>
    <t>DOES NOT INCLUDE A 35,000 BASELOAD NOMINATION TO PGL</t>
  </si>
  <si>
    <t>AT NSG THAT MIDCON IS DELIVERING ON A SECONDARY FIRM BASIS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</si>
  <si>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</si>
  <si>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</si>
  <si>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</si>
  <si>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</si>
  <si>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</si>
  <si>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</si>
  <si>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</si>
  <si>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</si>
  <si>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</si>
  <si>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</si>
  <si>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</si>
  <si>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</si>
  <si>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</si>
  <si>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</si>
  <si>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</si>
  <si>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</si>
  <si>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</si>
  <si>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</si>
  <si>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</si>
  <si>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</si>
  <si>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</si>
  <si>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</si>
  <si>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</si>
  <si>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</si>
  <si>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</si>
  <si>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</si>
  <si>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</si>
  <si>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</si>
  <si>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</si>
  <si>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</si>
  <si>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</si>
  <si>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</si>
  <si>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</si>
  <si>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</si>
  <si>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</si>
  <si>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</si>
  <si>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</si>
  <si>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</si>
  <si>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</si>
  <si>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</si>
  <si>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</si>
  <si>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</si>
  <si>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</si>
  <si>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</si>
  <si>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</si>
  <si>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</si>
  <si>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</si>
  <si>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</si>
  <si>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</si>
  <si>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</si>
  <si>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</si>
  <si>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</si>
  <si>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</si>
  <si>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</si>
  <si>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</si>
  <si>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</si>
  <si>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</si>
  <si>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</si>
  <si>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</si>
  <si>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</si>
  <si>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</si>
  <si>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</si>
  <si>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</si>
  <si>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</si>
  <si>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</si>
  <si>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</si>
  <si>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</si>
  <si>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</si>
  <si>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</si>
  <si>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</si>
  <si>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</si>
  <si>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</si>
  <si>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</si>
  <si>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</si>
  <si>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</si>
  <si>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</si>
  <si>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</si>
  <si>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</si>
  <si>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</si>
  <si>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</si>
  <si>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</si>
  <si>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</si>
  <si>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</si>
  <si>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</si>
  <si>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</si>
  <si>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</si>
  <si>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</si>
  <si>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</si>
  <si>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</si>
  <si>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</si>
  <si>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</si>
  <si>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</si>
  <si>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</si>
  <si>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</si>
  <si>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</si>
  <si>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</si>
  <si>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</si>
  <si>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</si>
  <si>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</si>
  <si>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</si>
  <si>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</si>
  <si>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</si>
  <si>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</si>
  <si>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</si>
  <si>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</si>
  <si>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</si>
  <si>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</si>
  <si>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</si>
  <si>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</si>
  <si>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</si>
  <si>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</si>
  <si>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</si>
  <si>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</si>
  <si>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</si>
  <si>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</si>
  <si>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</si>
  <si>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</si>
  <si>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</si>
  <si>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</si>
  <si>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</si>
  <si>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</si>
  <si>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</si>
  <si>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</si>
  <si>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</si>
  <si>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</si>
  <si>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</si>
  <si>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</si>
  <si>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</si>
  <si>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</si>
  <si>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</si>
  <si>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</si>
  <si>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</si>
  <si>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</si>
  <si>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</si>
  <si>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</si>
  <si>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</si>
  <si>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</si>
  <si>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 xml:space="preserve">OAKTON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</si>
  <si>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</si>
  <si>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</si>
  <si>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</si>
  <si>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</si>
  <si>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</si>
  <si>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</si>
  <si>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</si>
  <si>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</si>
  <si>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</si>
  <si>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</si>
  <si>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</si>
  <si>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</si>
  <si>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</si>
  <si>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</si>
  <si>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</si>
  <si>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</si>
  <si>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</si>
  <si>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</si>
  <si>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</si>
  <si>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</si>
  <si>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</si>
  <si>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</si>
  <si>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</si>
  <si>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131st &amp; Bell Rd.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</si>
  <si>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</si>
  <si>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</si>
  <si>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</si>
  <si>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</si>
  <si>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</si>
  <si>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</si>
  <si>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</si>
  <si>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</si>
  <si>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</si>
  <si>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</si>
  <si>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</si>
  <si>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</si>
  <si>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</si>
  <si>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</si>
  <si>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</si>
  <si>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</si>
  <si>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</si>
  <si>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</si>
  <si>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</si>
  <si>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</si>
  <si>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</si>
  <si>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</si>
  <si>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</si>
  <si>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</si>
  <si>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</si>
  <si>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</si>
  <si>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</si>
  <si>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</si>
  <si>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</si>
  <si>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</si>
  <si>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</si>
  <si>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</si>
  <si>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</si>
  <si>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</si>
  <si>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</si>
  <si>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</si>
  <si>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</si>
  <si>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</si>
  <si>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</si>
  <si>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</si>
  <si>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</si>
  <si>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</si>
  <si>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</si>
  <si>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</si>
  <si>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</si>
  <si>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</si>
  <si>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</si>
  <si>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</si>
  <si>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</si>
  <si>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</si>
  <si>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</si>
  <si>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</si>
  <si>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</si>
  <si>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</si>
  <si>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</si>
  <si>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</si>
  <si>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</si>
  <si>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</si>
  <si>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UNION RFG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</si>
  <si>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</si>
  <si>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</si>
  <si>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</si>
  <si>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</si>
  <si>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</si>
  <si>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</si>
  <si>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</si>
  <si>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</si>
  <si>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</si>
  <si>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</si>
  <si>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</si>
  <si>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</si>
  <si>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</si>
  <si>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</si>
  <si>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</si>
  <si>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</si>
  <si>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</si>
  <si>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</si>
  <si>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</si>
  <si>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</si>
  <si>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</si>
  <si>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</si>
  <si>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</si>
  <si>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</si>
  <si>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</si>
  <si>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</si>
  <si>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</si>
  <si>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</si>
  <si>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</si>
  <si>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</si>
  <si>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</si>
  <si>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</si>
  <si>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</si>
  <si>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</si>
  <si>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</si>
  <si>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</si>
  <si>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</si>
  <si>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</si>
  <si>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</si>
  <si>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</si>
  <si>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</si>
  <si>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</si>
  <si>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</si>
  <si>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</si>
  <si>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</si>
  <si>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</si>
  <si>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</si>
  <si>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</si>
  <si>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</si>
  <si>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</si>
  <si>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</si>
  <si>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</si>
  <si>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</si>
  <si>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</si>
  <si>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</si>
  <si>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</si>
  <si>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</si>
  <si>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</si>
  <si>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</si>
  <si>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</si>
  <si>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</si>
  <si>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</si>
  <si>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</si>
  <si>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</si>
  <si>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</si>
  <si>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</si>
  <si>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</si>
  <si>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</si>
  <si>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</si>
  <si>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</si>
  <si>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</si>
  <si>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</si>
  <si>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</si>
  <si>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</si>
  <si>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>Deliveries to Manhattan North</t>
  </si>
  <si>
    <t>Deliveries to Manhattan South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</si>
  <si>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</si>
  <si>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</si>
  <si>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</si>
  <si>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</si>
  <si>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</si>
  <si>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</si>
  <si>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</si>
  <si>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</si>
  <si>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</si>
  <si>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</si>
  <si>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</si>
  <si>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</si>
  <si>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</si>
  <si>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</si>
  <si>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</si>
  <si>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</si>
  <si>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</si>
  <si>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</si>
  <si>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</si>
  <si>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</si>
  <si>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</si>
  <si>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</si>
  <si>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</si>
  <si>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 xml:space="preserve">    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</si>
  <si>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</si>
  <si>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</si>
  <si>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</si>
  <si>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</si>
  <si>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</si>
  <si>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</si>
  <si>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</si>
  <si>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</si>
  <si>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</si>
  <si>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</si>
  <si>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</si>
  <si>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</si>
  <si>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</si>
  <si>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</si>
  <si>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</si>
  <si>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</si>
  <si>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</si>
  <si>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</si>
  <si>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</si>
  <si>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</si>
  <si>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</si>
  <si>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</si>
  <si>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</si>
  <si>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</si>
  <si>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</si>
  <si>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</si>
  <si>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</si>
  <si>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</si>
  <si>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</si>
  <si>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</si>
  <si>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PGL to Alliance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</si>
  <si>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</si>
  <si>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</si>
  <si>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</si>
  <si>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</si>
  <si>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</si>
  <si>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</si>
  <si>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</si>
  <si>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</si>
  <si>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</si>
  <si>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</si>
  <si>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</si>
  <si>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</si>
  <si>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</si>
  <si>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</si>
  <si>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</si>
  <si>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</si>
  <si>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</si>
  <si>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</si>
  <si>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</si>
  <si>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</si>
  <si>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</si>
  <si>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</si>
  <si>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</si>
  <si>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</si>
  <si>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</si>
  <si>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</si>
  <si>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</si>
  <si>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</si>
  <si>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</si>
  <si>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Deliveries to Sharp Rd.</t>
  </si>
  <si>
    <t>Manlove Hourly Rate</t>
  </si>
  <si>
    <t>Del to Elwood NICOR 100%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</si>
  <si>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</si>
  <si>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</si>
  <si>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</si>
  <si>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Line Pack Out</t>
  </si>
  <si>
    <t xml:space="preserve">   PARTLY   SUNNY</t>
  </si>
  <si>
    <t xml:space="preserve">   BECOMING CLOUDY.    WINDS NW 10 TO 15 MPH</t>
  </si>
  <si>
    <t xml:space="preserve">MOSTLY CLOUDY… WITH A CHANCE OF SNOW FLURRIES IN THE MORNING. HIGH IN </t>
  </si>
  <si>
    <t>THE 30S.CLOUDY AND COLD AT NIGHT. LOWS IN THE MIDDLE 20S. NW WINDS 8 12 MPH.</t>
  </si>
  <si>
    <t xml:space="preserve">CLOUDY AND COLD . HIGHS IN THE MIDDLE 30S. AND COLDER AT NIGHT .. LOWS IN </t>
  </si>
  <si>
    <t>THE MIDDLE 20S.</t>
  </si>
  <si>
    <t>CLOUDY WITH HIGHS IN THE LOW 40S.</t>
  </si>
  <si>
    <t xml:space="preserve">CLOUDY WITH A CHANE OF RAIN EARLY. LOW IN THE MIDDLE 30S. HIGH IN THE </t>
  </si>
  <si>
    <t>LOW 40S.</t>
  </si>
  <si>
    <t xml:space="preserve">  A  CHANCE  OF   RAIN  HIGH IN THE MIDDLE 40S. LOW IN THE MIDDLE 30S AT NIGHT.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</si>
</sst>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5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17" fillId="0" borderId="0" xfId="0" applyFont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8" fillId="0" borderId="0" xfId="0" quotePrefix="1" applyNumberFormat="1" applyFont="1" applyAlignment="1">
      <alignment horizontal="left"/>
    </xf>
    <xf numFmtId="0" fontId="19" fillId="0" borderId="0" xfId="0" applyFont="1"/>
    <xf numFmtId="0" fontId="20" fillId="0" borderId="0" xfId="0" applyFont="1"/>
    <xf numFmtId="0" fontId="18" fillId="0" borderId="0" xfId="0" applyFont="1" applyProtection="1"/>
    <xf numFmtId="164" fontId="18" fillId="0" borderId="0" xfId="0" applyNumberFormat="1" applyFont="1"/>
    <xf numFmtId="164" fontId="20" fillId="0" borderId="0" xfId="0" applyNumberFormat="1" applyFont="1"/>
    <xf numFmtId="14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20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3" fontId="23" fillId="0" borderId="0" xfId="0" applyNumberFormat="1" applyFont="1"/>
    <xf numFmtId="178" fontId="0" fillId="0" borderId="0" xfId="0" applyNumberFormat="1" applyProtection="1"/>
    <xf numFmtId="0" fontId="24" fillId="0" borderId="29" xfId="0" applyFont="1" applyBorder="1" applyAlignment="1">
      <alignment horizontal="centerContinuous"/>
    </xf>
    <xf numFmtId="0" fontId="24" fillId="0" borderId="30" xfId="0" applyFont="1" applyBorder="1" applyAlignment="1">
      <alignment horizontal="centerContinuous"/>
    </xf>
    <xf numFmtId="0" fontId="25" fillId="0" borderId="31" xfId="0" applyFont="1" applyBorder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centerContinuous"/>
    </xf>
    <xf numFmtId="0" fontId="2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0" fontId="12" fillId="0" borderId="0" xfId="0" applyFont="1" applyAlignment="1">
      <alignment horizontal="left"/>
    </xf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30" fillId="0" borderId="42" xfId="0" applyFont="1" applyFill="1" applyBorder="1" applyAlignment="1"/>
    <xf numFmtId="0" fontId="29" fillId="0" borderId="42" xfId="0" applyFont="1" applyFill="1" applyBorder="1" applyAlignment="1"/>
    <xf numFmtId="164" fontId="29" fillId="0" borderId="42" xfId="0" applyNumberFormat="1" applyFont="1" applyFill="1" applyBorder="1" applyAlignment="1"/>
    <xf numFmtId="0" fontId="30" fillId="0" borderId="43" xfId="0" applyFont="1" applyFill="1" applyBorder="1" applyAlignment="1"/>
    <xf numFmtId="0" fontId="29" fillId="0" borderId="11" xfId="0" applyFont="1" applyFill="1" applyBorder="1" applyAlignment="1">
      <alignment horizontal="left"/>
    </xf>
    <xf numFmtId="0" fontId="30" fillId="0" borderId="0" xfId="0" applyFont="1" applyFill="1" applyBorder="1" applyAlignment="1"/>
    <xf numFmtId="0" fontId="30" fillId="0" borderId="13" xfId="0" applyFont="1" applyFill="1" applyBorder="1" applyAlignment="1"/>
    <xf numFmtId="0" fontId="30" fillId="0" borderId="0" xfId="0" quotePrefix="1" applyFont="1" applyFill="1" applyBorder="1" applyAlignment="1"/>
    <xf numFmtId="0" fontId="29" fillId="0" borderId="44" xfId="0" applyFont="1" applyFill="1" applyBorder="1" applyAlignment="1">
      <alignment horizontal="left"/>
    </xf>
    <xf numFmtId="0" fontId="30" fillId="0" borderId="2" xfId="0" quotePrefix="1" applyFont="1" applyFill="1" applyBorder="1" applyAlignment="1"/>
    <xf numFmtId="0" fontId="30" fillId="0" borderId="12" xfId="0" quotePrefix="1" applyFont="1" applyFill="1" applyBorder="1" applyAlignment="1"/>
    <xf numFmtId="0" fontId="29" fillId="0" borderId="44" xfId="0" quotePrefix="1" applyFont="1" applyFill="1" applyBorder="1" applyAlignment="1">
      <alignment horizontal="left"/>
    </xf>
    <xf numFmtId="0" fontId="30" fillId="0" borderId="2" xfId="0" applyFont="1" applyFill="1" applyBorder="1" applyAlignment="1"/>
    <xf numFmtId="0" fontId="30" fillId="0" borderId="12" xfId="0" applyFont="1" applyFill="1" applyBorder="1" applyAlignment="1"/>
    <xf numFmtId="0" fontId="30" fillId="0" borderId="39" xfId="0" applyFont="1" applyFill="1" applyBorder="1" applyAlignment="1"/>
    <xf numFmtId="0" fontId="30" fillId="0" borderId="6" xfId="0" applyFont="1" applyFill="1" applyBorder="1" applyAlignment="1"/>
    <xf numFmtId="0" fontId="30" fillId="0" borderId="40" xfId="0" applyFont="1" applyFill="1" applyBorder="1" applyAlignment="1"/>
    <xf numFmtId="0" fontId="30" fillId="0" borderId="5" xfId="0" applyFont="1" applyFill="1" applyBorder="1" applyAlignment="1"/>
    <xf numFmtId="0" fontId="29" fillId="0" borderId="45" xfId="0" quotePrefix="1" applyFont="1" applyFill="1" applyBorder="1" applyAlignment="1">
      <alignment horizontal="left"/>
    </xf>
    <xf numFmtId="166" fontId="30" fillId="0" borderId="42" xfId="0" applyNumberFormat="1" applyFont="1" applyFill="1" applyBorder="1" applyAlignment="1" applyProtection="1"/>
    <xf numFmtId="171" fontId="30" fillId="0" borderId="46" xfId="0" applyNumberFormat="1" applyFont="1" applyFill="1" applyBorder="1" applyAlignment="1"/>
    <xf numFmtId="0" fontId="30" fillId="0" borderId="46" xfId="0" applyFont="1" applyFill="1" applyBorder="1" applyAlignment="1"/>
    <xf numFmtId="0" fontId="30" fillId="0" borderId="47" xfId="0" applyFont="1" applyFill="1" applyBorder="1" applyAlignment="1"/>
    <xf numFmtId="0" fontId="29" fillId="5" borderId="48" xfId="0" quotePrefix="1" applyFont="1" applyFill="1" applyBorder="1" applyAlignment="1">
      <alignment horizontal="left"/>
    </xf>
    <xf numFmtId="0" fontId="29" fillId="5" borderId="49" xfId="0" quotePrefix="1" applyFont="1" applyFill="1" applyBorder="1" applyAlignment="1">
      <alignment horizontal="center"/>
    </xf>
    <xf numFmtId="0" fontId="29" fillId="5" borderId="49" xfId="0" quotePrefix="1" applyFont="1" applyFill="1" applyBorder="1" applyAlignment="1">
      <alignment horizontal="left"/>
    </xf>
    <xf numFmtId="0" fontId="29" fillId="5" borderId="50" xfId="0" quotePrefix="1" applyFont="1" applyFill="1" applyBorder="1" applyAlignment="1">
      <alignment horizontal="left"/>
    </xf>
    <xf numFmtId="0" fontId="29" fillId="0" borderId="51" xfId="0" quotePrefix="1" applyFont="1" applyFill="1" applyBorder="1" applyAlignment="1">
      <alignment horizontal="left"/>
    </xf>
    <xf numFmtId="166" fontId="30" fillId="0" borderId="4" xfId="0" applyNumberFormat="1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30" fillId="0" borderId="39" xfId="0" applyNumberFormat="1" applyFont="1" applyFill="1" applyBorder="1" applyAlignment="1"/>
    <xf numFmtId="167" fontId="30" fillId="0" borderId="12" xfId="0" applyNumberFormat="1" applyFont="1" applyFill="1" applyBorder="1" applyAlignment="1"/>
    <xf numFmtId="174" fontId="30" fillId="0" borderId="4" xfId="0" applyNumberFormat="1" applyFont="1" applyFill="1" applyBorder="1" applyAlignment="1"/>
    <xf numFmtId="0" fontId="30" fillId="0" borderId="52" xfId="0" applyFont="1" applyFill="1" applyBorder="1" applyAlignment="1"/>
    <xf numFmtId="0" fontId="29" fillId="0" borderId="53" xfId="0" quotePrefix="1" applyFont="1" applyFill="1" applyBorder="1" applyAlignment="1">
      <alignment horizontal="left"/>
    </xf>
    <xf numFmtId="166" fontId="30" fillId="0" borderId="54" xfId="0" applyNumberFormat="1" applyFont="1" applyFill="1" applyBorder="1" applyAlignment="1"/>
    <xf numFmtId="166" fontId="30" fillId="0" borderId="55" xfId="0" applyNumberFormat="1" applyFont="1" applyFill="1" applyBorder="1" applyAlignment="1"/>
    <xf numFmtId="0" fontId="30" fillId="0" borderId="56" xfId="0" applyFont="1" applyFill="1" applyBorder="1" applyAlignment="1"/>
    <xf numFmtId="0" fontId="30" fillId="0" borderId="11" xfId="0" quotePrefix="1" applyFont="1" applyFill="1" applyBorder="1" applyAlignment="1">
      <alignment horizontal="left"/>
    </xf>
    <xf numFmtId="166" fontId="30" fillId="0" borderId="57" xfId="0" applyNumberFormat="1" applyFont="1" applyFill="1" applyBorder="1" applyAlignment="1"/>
    <xf numFmtId="166" fontId="30" fillId="0" borderId="46" xfId="0" applyNumberFormat="1" applyFont="1" applyFill="1" applyBorder="1" applyAlignment="1"/>
    <xf numFmtId="171" fontId="30" fillId="0" borderId="39" xfId="0" applyNumberFormat="1" applyFont="1" applyFill="1" applyBorder="1" applyAlignment="1"/>
    <xf numFmtId="0" fontId="30" fillId="0" borderId="58" xfId="0" applyFont="1" applyFill="1" applyBorder="1" applyAlignment="1"/>
    <xf numFmtId="166" fontId="30" fillId="0" borderId="0" xfId="0" applyNumberFormat="1" applyFont="1" applyFill="1" applyBorder="1" applyAlignment="1"/>
    <xf numFmtId="166" fontId="30" fillId="0" borderId="5" xfId="0" applyNumberFormat="1" applyFont="1" applyFill="1" applyBorder="1" applyAlignment="1"/>
    <xf numFmtId="0" fontId="29" fillId="0" borderId="59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61" xfId="0" applyNumberFormat="1" applyFont="1" applyFill="1" applyBorder="1" applyAlignment="1"/>
    <xf numFmtId="0" fontId="30" fillId="0" borderId="62" xfId="0" applyFont="1" applyFill="1" applyBorder="1" applyAlignment="1"/>
    <xf numFmtId="167" fontId="30" fillId="0" borderId="63" xfId="0" applyNumberFormat="1" applyFont="1" applyFill="1" applyBorder="1" applyAlignment="1"/>
    <xf numFmtId="167" fontId="30" fillId="0" borderId="58" xfId="0" applyNumberFormat="1" applyFont="1" applyFill="1" applyBorder="1" applyAlignment="1"/>
    <xf numFmtId="0" fontId="29" fillId="0" borderId="64" xfId="0" quotePrefix="1" applyFont="1" applyFill="1" applyBorder="1" applyAlignment="1">
      <alignment horizontal="left"/>
    </xf>
    <xf numFmtId="166" fontId="30" fillId="0" borderId="61" xfId="0" applyNumberFormat="1" applyFont="1" applyFill="1" applyBorder="1" applyAlignment="1"/>
    <xf numFmtId="166" fontId="30" fillId="0" borderId="60" xfId="0" applyNumberFormat="1" applyFont="1" applyFill="1" applyBorder="1" applyAlignment="1"/>
    <xf numFmtId="167" fontId="30" fillId="0" borderId="65" xfId="0" applyNumberFormat="1" applyFont="1" applyFill="1" applyBorder="1" applyAlignment="1"/>
    <xf numFmtId="0" fontId="31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167" fontId="29" fillId="0" borderId="2" xfId="0" applyNumberFormat="1" applyFont="1" applyBorder="1"/>
    <xf numFmtId="167" fontId="29" fillId="0" borderId="52" xfId="0" applyNumberFormat="1" applyFont="1" applyBorder="1"/>
    <xf numFmtId="0" fontId="32" fillId="0" borderId="61" xfId="0" applyFont="1" applyBorder="1"/>
    <xf numFmtId="0" fontId="33" fillId="0" borderId="11" xfId="0" quotePrefix="1" applyFont="1" applyBorder="1" applyAlignment="1">
      <alignment horizontal="left"/>
    </xf>
    <xf numFmtId="166" fontId="30" fillId="0" borderId="61" xfId="0" applyNumberFormat="1" applyFont="1" applyBorder="1"/>
    <xf numFmtId="0" fontId="33" fillId="0" borderId="11" xfId="0" quotePrefix="1" applyFont="1" applyBorder="1" applyAlignment="1">
      <alignment horizontal="center"/>
    </xf>
    <xf numFmtId="0" fontId="32" fillId="0" borderId="2" xfId="0" applyFont="1" applyBorder="1"/>
    <xf numFmtId="0" fontId="32" fillId="0" borderId="52" xfId="0" applyFont="1" applyBorder="1"/>
    <xf numFmtId="0" fontId="29" fillId="0" borderId="11" xfId="0" applyFont="1" applyBorder="1" applyAlignment="1">
      <alignment horizontal="left"/>
    </xf>
    <xf numFmtId="167" fontId="30" fillId="0" borderId="2" xfId="0" applyNumberFormat="1" applyFont="1" applyBorder="1"/>
    <xf numFmtId="167" fontId="30" fillId="0" borderId="52" xfId="0" applyNumberFormat="1" applyFont="1" applyBorder="1"/>
    <xf numFmtId="0" fontId="29" fillId="0" borderId="11" xfId="0" quotePrefix="1" applyFont="1" applyBorder="1" applyAlignment="1">
      <alignment horizontal="left"/>
    </xf>
    <xf numFmtId="166" fontId="34" fillId="0" borderId="61" xfId="0" applyNumberFormat="1" applyFont="1" applyBorder="1"/>
    <xf numFmtId="167" fontId="30" fillId="0" borderId="61" xfId="0" applyNumberFormat="1" applyFont="1" applyBorder="1"/>
    <xf numFmtId="0" fontId="29" fillId="0" borderId="66" xfId="0" quotePrefix="1" applyFont="1" applyBorder="1" applyAlignment="1">
      <alignment horizontal="left"/>
    </xf>
    <xf numFmtId="0" fontId="35" fillId="6" borderId="64" xfId="0" applyFont="1" applyFill="1" applyBorder="1" applyAlignment="1">
      <alignment horizontal="left"/>
    </xf>
    <xf numFmtId="0" fontId="31" fillId="6" borderId="67" xfId="0" applyFont="1" applyFill="1" applyBorder="1" applyAlignment="1">
      <alignment horizontal="centerContinuous"/>
    </xf>
    <xf numFmtId="0" fontId="36" fillId="6" borderId="67" xfId="0" applyFont="1" applyFill="1" applyBorder="1" applyAlignment="1">
      <alignment horizontal="centerContinuous"/>
    </xf>
    <xf numFmtId="0" fontId="29" fillId="6" borderId="67" xfId="0" applyFont="1" applyFill="1" applyBorder="1" applyAlignment="1">
      <alignment horizontal="centerContinuous"/>
    </xf>
    <xf numFmtId="0" fontId="36" fillId="6" borderId="62" xfId="0" applyFont="1" applyFill="1" applyBorder="1" applyAlignment="1">
      <alignment horizontal="centerContinuous"/>
    </xf>
    <xf numFmtId="0" fontId="36" fillId="6" borderId="68" xfId="0" applyFont="1" applyFill="1" applyBorder="1" applyAlignment="1">
      <alignment horizontal="centerContinuous"/>
    </xf>
    <xf numFmtId="0" fontId="30" fillId="0" borderId="11" xfId="0" quotePrefix="1" applyFont="1" applyBorder="1" applyAlignment="1">
      <alignment horizontal="left"/>
    </xf>
    <xf numFmtId="0" fontId="32" fillId="0" borderId="65" xfId="0" applyFont="1" applyBorder="1"/>
    <xf numFmtId="0" fontId="29" fillId="0" borderId="0" xfId="0" quotePrefix="1" applyFont="1" applyAlignment="1">
      <alignment horizontal="left"/>
    </xf>
    <xf numFmtId="0" fontId="32" fillId="0" borderId="42" xfId="0" applyFont="1" applyBorder="1"/>
    <xf numFmtId="0" fontId="32" fillId="5" borderId="13" xfId="0" applyFont="1" applyFill="1" applyBorder="1"/>
    <xf numFmtId="0" fontId="29" fillId="0" borderId="61" xfId="0" applyFont="1" applyBorder="1" applyAlignment="1">
      <alignment horizontal="left"/>
    </xf>
    <xf numFmtId="0" fontId="29" fillId="0" borderId="61" xfId="0" quotePrefix="1" applyFont="1" applyBorder="1" applyAlignment="1">
      <alignment horizontal="left"/>
    </xf>
    <xf numFmtId="174" fontId="30" fillId="0" borderId="39" xfId="0" applyNumberFormat="1" applyFont="1" applyBorder="1"/>
    <xf numFmtId="0" fontId="30" fillId="0" borderId="0" xfId="0" applyFont="1"/>
    <xf numFmtId="174" fontId="30" fillId="0" borderId="4" xfId="0" applyNumberFormat="1" applyFont="1" applyBorder="1"/>
    <xf numFmtId="0" fontId="29" fillId="0" borderId="61" xfId="0" applyFont="1" applyBorder="1"/>
    <xf numFmtId="174" fontId="30" fillId="0" borderId="69" xfId="0" applyNumberFormat="1" applyFont="1" applyBorder="1"/>
    <xf numFmtId="0" fontId="32" fillId="0" borderId="70" xfId="0" applyFont="1" applyBorder="1"/>
    <xf numFmtId="0" fontId="32" fillId="0" borderId="71" xfId="0" applyFont="1" applyBorder="1"/>
    <xf numFmtId="0" fontId="37" fillId="6" borderId="64" xfId="0" applyFont="1" applyFill="1" applyBorder="1" applyAlignment="1">
      <alignment horizontal="left"/>
    </xf>
    <xf numFmtId="0" fontId="37" fillId="6" borderId="67" xfId="0" applyFont="1" applyFill="1" applyBorder="1" applyAlignment="1">
      <alignment horizontal="centerContinuous"/>
    </xf>
    <xf numFmtId="0" fontId="29" fillId="0" borderId="72" xfId="0" applyFont="1" applyBorder="1"/>
    <xf numFmtId="0" fontId="32" fillId="0" borderId="73" xfId="0" applyFont="1" applyBorder="1"/>
    <xf numFmtId="0" fontId="32" fillId="0" borderId="0" xfId="0" applyFont="1" applyBorder="1"/>
    <xf numFmtId="0" fontId="32" fillId="0" borderId="63" xfId="0" applyFont="1" applyBorder="1"/>
    <xf numFmtId="0" fontId="32" fillId="0" borderId="62" xfId="0" applyFont="1" applyBorder="1"/>
    <xf numFmtId="0" fontId="29" fillId="0" borderId="59" xfId="0" applyFont="1" applyBorder="1" applyAlignment="1">
      <alignment horizontal="left"/>
    </xf>
    <xf numFmtId="0" fontId="29" fillId="0" borderId="64" xfId="0" applyFont="1" applyBorder="1" applyAlignment="1">
      <alignment horizontal="left"/>
    </xf>
    <xf numFmtId="0" fontId="32" fillId="0" borderId="74" xfId="0" applyFont="1" applyBorder="1"/>
    <xf numFmtId="0" fontId="32" fillId="0" borderId="1" xfId="0" applyFont="1" applyBorder="1"/>
    <xf numFmtId="0" fontId="38" fillId="0" borderId="61" xfId="0" applyFont="1" applyBorder="1"/>
    <xf numFmtId="0" fontId="29" fillId="6" borderId="64" xfId="0" applyFont="1" applyFill="1" applyBorder="1" applyAlignment="1">
      <alignment horizontal="centerContinuous"/>
    </xf>
    <xf numFmtId="0" fontId="32" fillId="6" borderId="67" xfId="0" applyFont="1" applyFill="1" applyBorder="1" applyAlignment="1">
      <alignment horizontal="centerContinuous"/>
    </xf>
    <xf numFmtId="0" fontId="32" fillId="6" borderId="68" xfId="0" applyFont="1" applyFill="1" applyBorder="1" applyAlignment="1">
      <alignment horizontal="centerContinuous"/>
    </xf>
    <xf numFmtId="0" fontId="30" fillId="0" borderId="72" xfId="0" applyFont="1" applyBorder="1"/>
    <xf numFmtId="0" fontId="30" fillId="5" borderId="2" xfId="0" applyFont="1" applyFill="1" applyBorder="1"/>
    <xf numFmtId="172" fontId="30" fillId="0" borderId="6" xfId="0" applyNumberFormat="1" applyFont="1" applyBorder="1"/>
    <xf numFmtId="0" fontId="30" fillId="0" borderId="12" xfId="0" applyFont="1" applyBorder="1"/>
    <xf numFmtId="0" fontId="30" fillId="5" borderId="0" xfId="0" applyFont="1" applyFill="1"/>
    <xf numFmtId="167" fontId="30" fillId="0" borderId="12" xfId="0" applyNumberFormat="1" applyFont="1" applyBorder="1"/>
    <xf numFmtId="0" fontId="39" fillId="0" borderId="72" xfId="0" applyFont="1" applyBorder="1"/>
    <xf numFmtId="167" fontId="30" fillId="2" borderId="6" xfId="0" applyNumberFormat="1" applyFont="1" applyFill="1" applyBorder="1"/>
    <xf numFmtId="167" fontId="30" fillId="5" borderId="13" xfId="0" applyNumberFormat="1" applyFont="1" applyFill="1" applyBorder="1"/>
    <xf numFmtId="0" fontId="30" fillId="0" borderId="11" xfId="0" applyFont="1" applyBorder="1"/>
    <xf numFmtId="0" fontId="30" fillId="0" borderId="51" xfId="0" quotePrefix="1" applyFont="1" applyBorder="1" applyAlignment="1">
      <alignment horizontal="left"/>
    </xf>
    <xf numFmtId="167" fontId="30" fillId="2" borderId="75" xfId="0" applyNumberFormat="1" applyFont="1" applyFill="1" applyBorder="1" applyProtection="1"/>
    <xf numFmtId="0" fontId="30" fillId="0" borderId="76" xfId="0" quotePrefix="1" applyFont="1" applyBorder="1" applyAlignment="1">
      <alignment horizontal="left"/>
    </xf>
    <xf numFmtId="0" fontId="30" fillId="5" borderId="14" xfId="0" applyFont="1" applyFill="1" applyBorder="1"/>
    <xf numFmtId="167" fontId="30" fillId="0" borderId="77" xfId="0" applyNumberFormat="1" applyFont="1" applyBorder="1"/>
    <xf numFmtId="167" fontId="29" fillId="0" borderId="3" xfId="0" applyNumberFormat="1" applyFont="1" applyBorder="1"/>
    <xf numFmtId="0" fontId="30" fillId="0" borderId="3" xfId="0" applyFont="1" applyBorder="1"/>
    <xf numFmtId="0" fontId="29" fillId="0" borderId="72" xfId="0" quotePrefix="1" applyFont="1" applyBorder="1" applyAlignment="1">
      <alignment horizontal="left"/>
    </xf>
    <xf numFmtId="172" fontId="29" fillId="0" borderId="52" xfId="0" applyNumberFormat="1" applyFont="1" applyBorder="1"/>
    <xf numFmtId="0" fontId="34" fillId="0" borderId="12" xfId="0" applyFont="1" applyBorder="1"/>
    <xf numFmtId="167" fontId="34" fillId="0" borderId="61" xfId="0" applyNumberFormat="1" applyFont="1" applyBorder="1"/>
    <xf numFmtId="0" fontId="32" fillId="0" borderId="12" xfId="0" applyFont="1" applyBorder="1"/>
    <xf numFmtId="0" fontId="30" fillId="0" borderId="72" xfId="0" quotePrefix="1" applyFont="1" applyBorder="1" applyAlignment="1">
      <alignment horizontal="left"/>
    </xf>
    <xf numFmtId="0" fontId="30" fillId="0" borderId="2" xfId="0" applyFont="1" applyBorder="1"/>
    <xf numFmtId="0" fontId="30" fillId="0" borderId="39" xfId="0" applyFont="1" applyBorder="1"/>
    <xf numFmtId="167" fontId="30" fillId="2" borderId="12" xfId="0" applyNumberFormat="1" applyFont="1" applyFill="1" applyBorder="1" applyProtection="1"/>
    <xf numFmtId="167" fontId="30" fillId="2" borderId="39" xfId="0" applyNumberFormat="1" applyFont="1" applyFill="1" applyBorder="1"/>
    <xf numFmtId="172" fontId="30" fillId="0" borderId="4" xfId="0" applyNumberFormat="1" applyFont="1" applyBorder="1"/>
    <xf numFmtId="172" fontId="34" fillId="0" borderId="4" xfId="0" applyNumberFormat="1" applyFont="1" applyBorder="1"/>
    <xf numFmtId="167" fontId="30" fillId="2" borderId="39" xfId="0" applyNumberFormat="1" applyFont="1" applyFill="1" applyBorder="1" applyProtection="1"/>
    <xf numFmtId="167" fontId="30" fillId="2" borderId="78" xfId="0" applyNumberFormat="1" applyFont="1" applyFill="1" applyBorder="1" applyProtection="1"/>
    <xf numFmtId="0" fontId="30" fillId="0" borderId="1" xfId="0" applyFont="1" applyBorder="1"/>
    <xf numFmtId="0" fontId="30" fillId="0" borderId="79" xfId="0" applyFont="1" applyBorder="1"/>
    <xf numFmtId="0" fontId="30" fillId="0" borderId="80" xfId="0" applyFont="1" applyBorder="1"/>
    <xf numFmtId="0" fontId="30" fillId="0" borderId="2" xfId="0" quotePrefix="1" applyFont="1" applyBorder="1" applyAlignment="1">
      <alignment horizontal="left"/>
    </xf>
    <xf numFmtId="0" fontId="32" fillId="0" borderId="39" xfId="0" applyFont="1" applyBorder="1"/>
    <xf numFmtId="0" fontId="32" fillId="0" borderId="39" xfId="0" quotePrefix="1" applyFont="1" applyBorder="1" applyAlignment="1">
      <alignment horizontal="left"/>
    </xf>
    <xf numFmtId="0" fontId="32" fillId="0" borderId="39" xfId="0" applyFont="1" applyBorder="1" applyAlignment="1">
      <alignment horizontal="center"/>
    </xf>
    <xf numFmtId="0" fontId="29" fillId="0" borderId="66" xfId="0" applyFont="1" applyBorder="1"/>
    <xf numFmtId="167" fontId="29" fillId="0" borderId="81" xfId="0" applyNumberFormat="1" applyFont="1" applyBorder="1"/>
    <xf numFmtId="0" fontId="32" fillId="0" borderId="81" xfId="0" applyFont="1" applyBorder="1"/>
    <xf numFmtId="0" fontId="32" fillId="0" borderId="82" xfId="0" applyFont="1" applyBorder="1"/>
    <xf numFmtId="0" fontId="32" fillId="0" borderId="83" xfId="0" applyFont="1" applyBorder="1"/>
    <xf numFmtId="0" fontId="32" fillId="0" borderId="22" xfId="0" applyFont="1" applyBorder="1"/>
    <xf numFmtId="0" fontId="29" fillId="0" borderId="2" xfId="0" applyFont="1" applyBorder="1" applyAlignment="1">
      <alignment horizontal="right"/>
    </xf>
    <xf numFmtId="164" fontId="29" fillId="0" borderId="2" xfId="0" applyNumberFormat="1" applyFont="1" applyBorder="1" applyAlignment="1">
      <alignment horizontal="centerContinuous"/>
    </xf>
    <xf numFmtId="0" fontId="30" fillId="0" borderId="13" xfId="0" applyFont="1" applyBorder="1"/>
    <xf numFmtId="0" fontId="32" fillId="0" borderId="3" xfId="0" applyFont="1" applyBorder="1"/>
    <xf numFmtId="0" fontId="32" fillId="0" borderId="4" xfId="0" applyFont="1" applyBorder="1"/>
    <xf numFmtId="0" fontId="29" fillId="0" borderId="76" xfId="0" quotePrefix="1" applyFont="1" applyBorder="1" applyAlignment="1">
      <alignment horizontal="left"/>
    </xf>
    <xf numFmtId="0" fontId="29" fillId="0" borderId="14" xfId="0" quotePrefix="1" applyFont="1" applyBorder="1" applyAlignment="1">
      <alignment horizontal="left"/>
    </xf>
    <xf numFmtId="0" fontId="34" fillId="0" borderId="69" xfId="0" applyFont="1" applyBorder="1"/>
    <xf numFmtId="0" fontId="29" fillId="0" borderId="14" xfId="0" applyFont="1" applyBorder="1"/>
    <xf numFmtId="0" fontId="34" fillId="0" borderId="14" xfId="0" applyFont="1" applyBorder="1" applyAlignment="1">
      <alignment horizontal="left"/>
    </xf>
    <xf numFmtId="0" fontId="29" fillId="0" borderId="70" xfId="0" quotePrefix="1" applyFont="1" applyBorder="1" applyAlignment="1">
      <alignment horizontal="left"/>
    </xf>
    <xf numFmtId="0" fontId="29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30" fillId="0" borderId="75" xfId="0" applyNumberFormat="1" applyFont="1" applyBorder="1"/>
    <xf numFmtId="166" fontId="30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9" fillId="0" borderId="0" xfId="0" applyFont="1" applyBorder="1" applyAlignment="1">
      <alignment horizontal="right"/>
    </xf>
    <xf numFmtId="0" fontId="30" fillId="0" borderId="12" xfId="0" applyFont="1" applyBorder="1" applyAlignment="1">
      <alignment horizontal="left"/>
    </xf>
    <xf numFmtId="0" fontId="30" fillId="0" borderId="39" xfId="0" quotePrefix="1" applyFont="1" applyBorder="1" applyAlignment="1">
      <alignment horizontal="left"/>
    </xf>
    <xf numFmtId="0" fontId="30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1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2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1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30" fillId="0" borderId="60" xfId="0" applyNumberFormat="1" applyFont="1" applyFill="1" applyBorder="1" applyAlignment="1"/>
    <xf numFmtId="0" fontId="30" fillId="0" borderId="1" xfId="0" applyFont="1" applyFill="1" applyBorder="1" applyAlignment="1"/>
    <xf numFmtId="0" fontId="0" fillId="0" borderId="0" xfId="0" applyNumberFormat="1"/>
    <xf numFmtId="0" fontId="45" fillId="0" borderId="0" xfId="0" applyFont="1"/>
    <xf numFmtId="0" fontId="29" fillId="5" borderId="49" xfId="0" applyFont="1" applyFill="1" applyBorder="1" applyAlignment="1">
      <alignment horizontal="center"/>
    </xf>
    <xf numFmtId="0" fontId="30" fillId="0" borderId="1" xfId="0" quotePrefix="1" applyFont="1" applyFill="1" applyBorder="1" applyAlignment="1">
      <alignment horizontal="left"/>
    </xf>
    <xf numFmtId="166" fontId="30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30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7" fillId="8" borderId="92" xfId="0" applyNumberFormat="1" applyFont="1" applyFill="1" applyBorder="1" applyAlignment="1">
      <alignment horizontal="left"/>
    </xf>
    <xf numFmtId="0" fontId="48" fillId="0" borderId="0" xfId="0" applyFont="1" applyProtection="1">
      <protection locked="0"/>
    </xf>
    <xf numFmtId="0" fontId="47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7" fillId="0" borderId="0" xfId="0" applyFont="1" applyAlignment="1" applyProtection="1">
      <alignment horizontal="left"/>
      <protection locked="0"/>
    </xf>
    <xf numFmtId="0" fontId="37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9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1" fillId="6" borderId="67" xfId="0" applyFont="1" applyFill="1" applyBorder="1" applyAlignment="1">
      <alignment horizontal="left"/>
    </xf>
    <xf numFmtId="0" fontId="29" fillId="5" borderId="49" xfId="0" applyFont="1" applyFill="1" applyBorder="1" applyAlignment="1">
      <alignment horizontal="left"/>
    </xf>
    <xf numFmtId="0" fontId="44" fillId="0" borderId="0" xfId="0" applyFont="1"/>
    <xf numFmtId="0" fontId="29" fillId="0" borderId="100" xfId="0" applyFont="1" applyFill="1" applyBorder="1" applyAlignment="1">
      <alignment horizontal="left"/>
    </xf>
    <xf numFmtId="0" fontId="0" fillId="0" borderId="0" xfId="0" applyFill="1"/>
    <xf numFmtId="0" fontId="32" fillId="0" borderId="12" xfId="0" applyFont="1" applyFill="1" applyBorder="1"/>
    <xf numFmtId="0" fontId="32" fillId="9" borderId="83" xfId="0" applyFont="1" applyFill="1" applyBorder="1"/>
    <xf numFmtId="0" fontId="30" fillId="0" borderId="11" xfId="0" applyFont="1" applyFill="1" applyBorder="1" applyAlignment="1">
      <alignment horizontal="left"/>
    </xf>
    <xf numFmtId="0" fontId="30" fillId="0" borderId="13" xfId="0" quotePrefix="1" applyFont="1" applyFill="1" applyBorder="1" applyAlignment="1"/>
    <xf numFmtId="166" fontId="30" fillId="0" borderId="0" xfId="0" applyNumberFormat="1" applyFont="1" applyFill="1" applyBorder="1" applyAlignment="1" applyProtection="1"/>
    <xf numFmtId="0" fontId="29" fillId="5" borderId="101" xfId="0" quotePrefix="1" applyFont="1" applyFill="1" applyBorder="1" applyAlignment="1">
      <alignment horizontal="left"/>
    </xf>
    <xf numFmtId="0" fontId="29" fillId="5" borderId="30" xfId="0" applyFont="1" applyFill="1" applyBorder="1" applyAlignment="1">
      <alignment horizontal="center"/>
    </xf>
    <xf numFmtId="0" fontId="29" fillId="5" borderId="30" xfId="0" quotePrefix="1" applyFont="1" applyFill="1" applyBorder="1" applyAlignment="1">
      <alignment horizontal="left"/>
    </xf>
    <xf numFmtId="0" fontId="29" fillId="5" borderId="85" xfId="0" quotePrefix="1" applyFont="1" applyFill="1" applyBorder="1" applyAlignment="1">
      <alignment horizontal="left"/>
    </xf>
    <xf numFmtId="171" fontId="30" fillId="0" borderId="5" xfId="0" applyNumberFormat="1" applyFont="1" applyFill="1" applyBorder="1" applyAlignment="1"/>
    <xf numFmtId="166" fontId="30" fillId="0" borderId="102" xfId="0" applyNumberFormat="1" applyFont="1" applyFill="1" applyBorder="1" applyAlignment="1" applyProtection="1"/>
    <xf numFmtId="0" fontId="30" fillId="0" borderId="74" xfId="0" applyFont="1" applyFill="1" applyBorder="1" applyAlignment="1"/>
    <xf numFmtId="0" fontId="30" fillId="0" borderId="102" xfId="0" applyFont="1" applyFill="1" applyBorder="1" applyAlignment="1"/>
    <xf numFmtId="0" fontId="29" fillId="5" borderId="101" xfId="0" applyFont="1" applyFill="1" applyBorder="1" applyAlignment="1">
      <alignment horizontal="center"/>
    </xf>
    <xf numFmtId="166" fontId="30" fillId="5" borderId="103" xfId="0" applyNumberFormat="1" applyFont="1" applyFill="1" applyBorder="1" applyAlignment="1"/>
    <xf numFmtId="166" fontId="30" fillId="5" borderId="104" xfId="0" applyNumberFormat="1" applyFont="1" applyFill="1" applyBorder="1" applyAlignment="1"/>
    <xf numFmtId="0" fontId="30" fillId="5" borderId="30" xfId="0" applyFont="1" applyFill="1" applyBorder="1" applyAlignment="1"/>
    <xf numFmtId="0" fontId="30" fillId="5" borderId="104" xfId="0" applyFont="1" applyFill="1" applyBorder="1" applyAlignment="1"/>
    <xf numFmtId="0" fontId="30" fillId="5" borderId="105" xfId="0" applyFont="1" applyFill="1" applyBorder="1" applyAlignment="1"/>
    <xf numFmtId="0" fontId="30" fillId="5" borderId="85" xfId="0" applyFont="1" applyFill="1" applyBorder="1" applyAlignment="1"/>
    <xf numFmtId="166" fontId="30" fillId="0" borderId="30" xfId="0" applyNumberFormat="1" applyFont="1" applyFill="1" applyBorder="1" applyAlignment="1"/>
    <xf numFmtId="0" fontId="30" fillId="0" borderId="59" xfId="0" applyFont="1" applyFill="1" applyBorder="1" applyAlignment="1">
      <alignment horizontal="left"/>
    </xf>
    <xf numFmtId="0" fontId="29" fillId="0" borderId="64" xfId="0" applyFont="1" applyFill="1" applyBorder="1" applyAlignment="1">
      <alignment horizontal="center"/>
    </xf>
    <xf numFmtId="167" fontId="30" fillId="0" borderId="2" xfId="0" applyNumberFormat="1" applyFont="1" applyFill="1" applyBorder="1" applyAlignment="1"/>
    <xf numFmtId="167" fontId="30" fillId="0" borderId="52" xfId="0" applyNumberFormat="1" applyFont="1" applyFill="1" applyBorder="1" applyAlignment="1"/>
    <xf numFmtId="0" fontId="29" fillId="6" borderId="67" xfId="0" applyFont="1" applyFill="1" applyBorder="1" applyAlignment="1">
      <alignment horizontal="center"/>
    </xf>
    <xf numFmtId="0" fontId="38" fillId="6" borderId="67" xfId="0" applyFont="1" applyFill="1" applyBorder="1" applyAlignment="1">
      <alignment horizontal="center"/>
    </xf>
    <xf numFmtId="0" fontId="29" fillId="0" borderId="101" xfId="0" quotePrefix="1" applyFont="1" applyBorder="1" applyAlignment="1">
      <alignment horizontal="left"/>
    </xf>
    <xf numFmtId="167" fontId="30" fillId="2" borderId="30" xfId="0" applyNumberFormat="1" applyFont="1" applyFill="1" applyBorder="1" applyProtection="1"/>
    <xf numFmtId="0" fontId="32" fillId="0" borderId="103" xfId="0" applyFont="1" applyBorder="1"/>
    <xf numFmtId="0" fontId="32" fillId="0" borderId="56" xfId="0" applyFont="1" applyBorder="1"/>
    <xf numFmtId="167" fontId="30" fillId="2" borderId="57" xfId="0" applyNumberFormat="1" applyFont="1" applyFill="1" applyBorder="1" applyProtection="1"/>
    <xf numFmtId="0" fontId="32" fillId="0" borderId="57" xfId="0" applyFont="1" applyBorder="1"/>
    <xf numFmtId="0" fontId="32" fillId="0" borderId="106" xfId="0" applyFont="1" applyBorder="1"/>
    <xf numFmtId="0" fontId="32" fillId="0" borderId="13" xfId="0" applyFont="1" applyBorder="1"/>
    <xf numFmtId="172" fontId="30" fillId="0" borderId="3" xfId="0" applyNumberFormat="1" applyFont="1" applyBorder="1"/>
    <xf numFmtId="167" fontId="34" fillId="0" borderId="73" xfId="0" applyNumberFormat="1" applyFont="1" applyBorder="1"/>
    <xf numFmtId="0" fontId="29" fillId="6" borderId="66" xfId="0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Continuous"/>
    </xf>
    <xf numFmtId="0" fontId="32" fillId="6" borderId="80" xfId="0" applyFont="1" applyFill="1" applyBorder="1" applyAlignment="1">
      <alignment horizontal="centerContinuous"/>
    </xf>
    <xf numFmtId="0" fontId="32" fillId="0" borderId="104" xfId="0" applyFont="1" applyBorder="1"/>
    <xf numFmtId="0" fontId="32" fillId="0" borderId="107" xfId="0" applyFont="1" applyBorder="1"/>
    <xf numFmtId="167" fontId="29" fillId="0" borderId="55" xfId="0" applyNumberFormat="1" applyFont="1" applyBorder="1"/>
    <xf numFmtId="0" fontId="32" fillId="0" borderId="55" xfId="0" applyFont="1" applyBorder="1"/>
    <xf numFmtId="0" fontId="32" fillId="0" borderId="108" xfId="0" applyFont="1" applyBorder="1"/>
    <xf numFmtId="0" fontId="32" fillId="0" borderId="109" xfId="0" applyFont="1" applyBorder="1"/>
    <xf numFmtId="0" fontId="30" fillId="0" borderId="51" xfId="0" applyFont="1" applyBorder="1"/>
    <xf numFmtId="0" fontId="30" fillId="0" borderId="18" xfId="0" applyFont="1" applyBorder="1"/>
    <xf numFmtId="0" fontId="30" fillId="0" borderId="62" xfId="0" applyFont="1" applyBorder="1"/>
    <xf numFmtId="0" fontId="30" fillId="0" borderId="60" xfId="0" applyFont="1" applyBorder="1"/>
    <xf numFmtId="0" fontId="32" fillId="0" borderId="47" xfId="0" applyFont="1" applyBorder="1"/>
    <xf numFmtId="0" fontId="30" fillId="0" borderId="110" xfId="0" applyFont="1" applyBorder="1" applyAlignment="1">
      <alignment horizontal="left"/>
    </xf>
    <xf numFmtId="0" fontId="32" fillId="0" borderId="28" xfId="0" applyFont="1" applyBorder="1"/>
    <xf numFmtId="0" fontId="32" fillId="0" borderId="5" xfId="0" applyFont="1" applyBorder="1"/>
    <xf numFmtId="0" fontId="32" fillId="0" borderId="40" xfId="0" applyFont="1" applyBorder="1"/>
    <xf numFmtId="0" fontId="30" fillId="0" borderId="40" xfId="0" applyFont="1" applyBorder="1" applyAlignment="1">
      <alignment horizontal="left"/>
    </xf>
    <xf numFmtId="0" fontId="30" fillId="0" borderId="16" xfId="0" applyFont="1" applyBorder="1"/>
    <xf numFmtId="0" fontId="38" fillId="0" borderId="5" xfId="0" applyFont="1" applyBorder="1"/>
    <xf numFmtId="0" fontId="32" fillId="0" borderId="60" xfId="0" applyFont="1" applyBorder="1"/>
    <xf numFmtId="0" fontId="30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2" fillId="0" borderId="112" xfId="0" applyFont="1" applyBorder="1"/>
    <xf numFmtId="0" fontId="37" fillId="6" borderId="66" xfId="0" applyFont="1" applyFill="1" applyBorder="1" applyAlignment="1">
      <alignment horizontal="left"/>
    </xf>
    <xf numFmtId="0" fontId="31" fillId="6" borderId="1" xfId="0" applyFont="1" applyFill="1" applyBorder="1" applyAlignment="1">
      <alignment horizontal="centerContinuous"/>
    </xf>
    <xf numFmtId="0" fontId="38" fillId="6" borderId="1" xfId="0" applyFont="1" applyFill="1" applyBorder="1" applyAlignment="1">
      <alignment horizontal="center"/>
    </xf>
    <xf numFmtId="0" fontId="37" fillId="6" borderId="1" xfId="0" applyFont="1" applyFill="1" applyBorder="1" applyAlignment="1">
      <alignment horizontal="centerContinuous"/>
    </xf>
    <xf numFmtId="0" fontId="29" fillId="0" borderId="101" xfId="0" applyFont="1" applyBorder="1" applyAlignment="1">
      <alignment horizontal="left"/>
    </xf>
    <xf numFmtId="0" fontId="29" fillId="6" borderId="1" xfId="0" applyFont="1" applyFill="1" applyBorder="1" applyAlignment="1">
      <alignment horizontal="centerContinuous"/>
    </xf>
    <xf numFmtId="167" fontId="29" fillId="0" borderId="103" xfId="0" applyNumberFormat="1" applyFont="1" applyBorder="1"/>
    <xf numFmtId="167" fontId="30" fillId="0" borderId="104" xfId="0" applyNumberFormat="1" applyFont="1" applyBorder="1"/>
    <xf numFmtId="167" fontId="30" fillId="0" borderId="57" xfId="0" applyNumberFormat="1" applyFont="1" applyBorder="1"/>
    <xf numFmtId="0" fontId="30" fillId="0" borderId="113" xfId="0" applyFont="1" applyBorder="1"/>
    <xf numFmtId="0" fontId="30" fillId="0" borderId="90" xfId="0" applyFont="1" applyBorder="1"/>
    <xf numFmtId="172" fontId="30" fillId="0" borderId="103" xfId="0" applyNumberFormat="1" applyFont="1" applyBorder="1"/>
    <xf numFmtId="167" fontId="30" fillId="0" borderId="85" xfId="0" applyNumberFormat="1" applyFont="1" applyBorder="1"/>
    <xf numFmtId="0" fontId="30" fillId="0" borderId="59" xfId="0" applyFont="1" applyBorder="1"/>
    <xf numFmtId="167" fontId="30" fillId="2" borderId="2" xfId="0" applyNumberFormat="1" applyFont="1" applyFill="1" applyBorder="1"/>
    <xf numFmtId="167" fontId="30" fillId="0" borderId="43" xfId="0" applyNumberFormat="1" applyFont="1" applyBorder="1"/>
    <xf numFmtId="167" fontId="30" fillId="2" borderId="0" xfId="0" applyNumberFormat="1" applyFont="1" applyFill="1" applyBorder="1"/>
    <xf numFmtId="167" fontId="30" fillId="0" borderId="13" xfId="0" applyNumberFormat="1" applyFont="1" applyBorder="1"/>
    <xf numFmtId="0" fontId="30" fillId="0" borderId="5" xfId="0" applyFont="1" applyBorder="1"/>
    <xf numFmtId="0" fontId="30" fillId="0" borderId="57" xfId="0" applyFont="1" applyBorder="1"/>
    <xf numFmtId="0" fontId="30" fillId="0" borderId="110" xfId="0" applyFont="1" applyBorder="1"/>
    <xf numFmtId="0" fontId="30" fillId="0" borderId="28" xfId="0" applyFont="1" applyBorder="1"/>
    <xf numFmtId="167" fontId="29" fillId="0" borderId="43" xfId="0" applyNumberFormat="1" applyFont="1" applyBorder="1"/>
    <xf numFmtId="0" fontId="30" fillId="0" borderId="66" xfId="0" applyFont="1" applyBorder="1"/>
    <xf numFmtId="0" fontId="30" fillId="0" borderId="102" xfId="0" applyFont="1" applyBorder="1"/>
    <xf numFmtId="0" fontId="30" fillId="0" borderId="68" xfId="0" applyFont="1" applyBorder="1"/>
    <xf numFmtId="0" fontId="30" fillId="0" borderId="100" xfId="0" applyFont="1" applyBorder="1" applyAlignment="1">
      <alignment horizontal="left"/>
    </xf>
    <xf numFmtId="0" fontId="29" fillId="0" borderId="90" xfId="0" quotePrefix="1" applyFont="1" applyBorder="1" applyAlignment="1">
      <alignment horizontal="left"/>
    </xf>
    <xf numFmtId="0" fontId="32" fillId="0" borderId="85" xfId="0" applyFont="1" applyBorder="1"/>
    <xf numFmtId="0" fontId="32" fillId="0" borderId="102" xfId="0" applyFont="1" applyBorder="1"/>
    <xf numFmtId="0" fontId="32" fillId="0" borderId="68" xfId="0" applyFont="1" applyBorder="1"/>
    <xf numFmtId="0" fontId="30" fillId="0" borderId="43" xfId="0" applyFont="1" applyBorder="1" applyAlignment="1">
      <alignment horizontal="left"/>
    </xf>
    <xf numFmtId="0" fontId="29" fillId="0" borderId="114" xfId="0" applyFont="1" applyFill="1" applyBorder="1" applyAlignment="1">
      <alignment horizontal="left"/>
    </xf>
    <xf numFmtId="0" fontId="30" fillId="0" borderId="115" xfId="0" applyFont="1" applyFill="1" applyBorder="1" applyAlignment="1"/>
    <xf numFmtId="0" fontId="29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9" fillId="0" borderId="116" xfId="0" applyNumberFormat="1" applyFont="1" applyFill="1" applyBorder="1" applyAlignment="1"/>
    <xf numFmtId="0" fontId="30" fillId="0" borderId="116" xfId="0" applyFont="1" applyFill="1" applyBorder="1" applyAlignment="1"/>
    <xf numFmtId="0" fontId="30" fillId="0" borderId="118" xfId="0" applyFont="1" applyFill="1" applyBorder="1" applyAlignment="1"/>
    <xf numFmtId="0" fontId="30" fillId="0" borderId="0" xfId="0" applyFont="1" applyBorder="1"/>
    <xf numFmtId="0" fontId="29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30" fillId="0" borderId="3" xfId="0" quotePrefix="1" applyFont="1" applyFill="1" applyBorder="1" applyAlignment="1"/>
    <xf numFmtId="0" fontId="30" fillId="0" borderId="3" xfId="0" applyFont="1" applyFill="1" applyBorder="1" applyAlignment="1"/>
    <xf numFmtId="0" fontId="30" fillId="0" borderId="4" xfId="0" applyFont="1" applyFill="1" applyBorder="1" applyAlignment="1"/>
    <xf numFmtId="0" fontId="30" fillId="0" borderId="120" xfId="0" quotePrefix="1" applyFont="1" applyFill="1" applyBorder="1" applyAlignment="1"/>
    <xf numFmtId="0" fontId="30" fillId="0" borderId="121" xfId="0" applyFont="1" applyFill="1" applyBorder="1" applyAlignment="1"/>
    <xf numFmtId="0" fontId="30" fillId="0" borderId="111" xfId="0" quotePrefix="1" applyFont="1" applyFill="1" applyBorder="1" applyAlignment="1"/>
    <xf numFmtId="0" fontId="30" fillId="0" borderId="122" xfId="0" applyFont="1" applyFill="1" applyBorder="1" applyAlignment="1"/>
    <xf numFmtId="0" fontId="30" fillId="0" borderId="63" xfId="0" applyFont="1" applyFill="1" applyBorder="1" applyAlignment="1"/>
    <xf numFmtId="0" fontId="30" fillId="0" borderId="123" xfId="0" applyFont="1" applyFill="1" applyBorder="1" applyAlignment="1"/>
    <xf numFmtId="0" fontId="30" fillId="0" borderId="3" xfId="0" quotePrefix="1" applyFont="1" applyFill="1" applyBorder="1" applyAlignment="1">
      <alignment horizontal="left"/>
    </xf>
    <xf numFmtId="0" fontId="32" fillId="0" borderId="54" xfId="0" applyFont="1" applyBorder="1"/>
    <xf numFmtId="167" fontId="30" fillId="0" borderId="73" xfId="0" applyNumberFormat="1" applyFont="1" applyBorder="1"/>
    <xf numFmtId="167" fontId="29" fillId="0" borderId="40" xfId="0" applyNumberFormat="1" applyFont="1" applyBorder="1"/>
    <xf numFmtId="0" fontId="6" fillId="0" borderId="46" xfId="0" applyFont="1" applyBorder="1"/>
    <xf numFmtId="166" fontId="30" fillId="0" borderId="6" xfId="0" applyNumberFormat="1" applyFont="1" applyFill="1" applyBorder="1" applyAlignment="1"/>
    <xf numFmtId="166" fontId="30" fillId="0" borderId="36" xfId="0" applyNumberFormat="1" applyFont="1" applyFill="1" applyBorder="1" applyAlignment="1"/>
    <xf numFmtId="0" fontId="29" fillId="0" borderId="101" xfId="0" applyFont="1" applyFill="1" applyBorder="1" applyAlignment="1">
      <alignment horizontal="left"/>
    </xf>
    <xf numFmtId="166" fontId="30" fillId="0" borderId="31" xfId="0" applyNumberFormat="1" applyFont="1" applyFill="1" applyBorder="1" applyAlignment="1"/>
    <xf numFmtId="166" fontId="30" fillId="0" borderId="105" xfId="0" applyNumberFormat="1" applyFont="1" applyFill="1" applyBorder="1" applyAlignment="1"/>
    <xf numFmtId="0" fontId="30" fillId="0" borderId="57" xfId="0" applyFont="1" applyFill="1" applyBorder="1" applyAlignment="1"/>
    <xf numFmtId="0" fontId="30" fillId="0" borderId="60" xfId="0" applyFont="1" applyFill="1" applyBorder="1" applyAlignment="1"/>
    <xf numFmtId="166" fontId="30" fillId="0" borderId="103" xfId="0" applyNumberFormat="1" applyFont="1" applyFill="1" applyBorder="1" applyAlignment="1"/>
    <xf numFmtId="0" fontId="30" fillId="0" borderId="85" xfId="0" applyFont="1" applyFill="1" applyBorder="1" applyAlignment="1"/>
    <xf numFmtId="167" fontId="30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30" fillId="0" borderId="16" xfId="0" applyFont="1" applyFill="1" applyBorder="1" applyAlignment="1">
      <alignment horizontal="left"/>
    </xf>
    <xf numFmtId="0" fontId="29" fillId="0" borderId="48" xfId="0" applyFont="1" applyFill="1" applyBorder="1" applyAlignment="1">
      <alignment horizontal="center"/>
    </xf>
    <xf numFmtId="0" fontId="16" fillId="0" borderId="11" xfId="0" applyFont="1" applyBorder="1"/>
    <xf numFmtId="0" fontId="37" fillId="6" borderId="101" xfId="0" applyFont="1" applyFill="1" applyBorder="1" applyAlignment="1">
      <alignment horizontal="left"/>
    </xf>
    <xf numFmtId="0" fontId="50" fillId="0" borderId="115" xfId="0" applyFont="1" applyBorder="1"/>
    <xf numFmtId="0" fontId="50" fillId="0" borderId="116" xfId="0" applyFont="1" applyBorder="1"/>
    <xf numFmtId="0" fontId="50" fillId="0" borderId="11" xfId="0" applyFont="1" applyBorder="1"/>
    <xf numFmtId="0" fontId="51" fillId="0" borderId="0" xfId="0" applyFont="1" applyBorder="1"/>
    <xf numFmtId="0" fontId="51" fillId="0" borderId="87" xfId="0" applyFont="1" applyBorder="1"/>
    <xf numFmtId="0" fontId="51" fillId="0" borderId="13" xfId="0" applyFont="1" applyBorder="1"/>
    <xf numFmtId="0" fontId="50" fillId="0" borderId="8" xfId="0" applyFont="1" applyBorder="1" applyAlignment="1">
      <alignment horizontal="center"/>
    </xf>
    <xf numFmtId="0" fontId="50" fillId="0" borderId="24" xfId="0" applyFont="1" applyBorder="1" applyAlignment="1">
      <alignment horizontal="center"/>
    </xf>
    <xf numFmtId="0" fontId="50" fillId="0" borderId="0" xfId="0" applyFont="1" applyBorder="1" applyAlignment="1">
      <alignment horizontal="center"/>
    </xf>
    <xf numFmtId="0" fontId="50" fillId="0" borderId="13" xfId="0" applyFont="1" applyBorder="1" applyAlignment="1">
      <alignment horizontal="center"/>
    </xf>
    <xf numFmtId="0" fontId="51" fillId="0" borderId="124" xfId="0" applyFont="1" applyBorder="1" applyAlignment="1">
      <alignment horizontal="center"/>
    </xf>
    <xf numFmtId="1" fontId="50" fillId="0" borderId="9" xfId="0" applyNumberFormat="1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50" fillId="0" borderId="125" xfId="0" applyFont="1" applyBorder="1" applyAlignment="1">
      <alignment horizontal="center"/>
    </xf>
    <xf numFmtId="0" fontId="50" fillId="0" borderId="9" xfId="0" applyFont="1" applyBorder="1" applyAlignment="1">
      <alignment horizontal="center"/>
    </xf>
    <xf numFmtId="0" fontId="50" fillId="0" borderId="126" xfId="0" applyFont="1" applyBorder="1" applyAlignment="1">
      <alignment horizontal="center"/>
    </xf>
    <xf numFmtId="0" fontId="52" fillId="0" borderId="127" xfId="0" applyFont="1" applyBorder="1"/>
    <xf numFmtId="0" fontId="53" fillId="0" borderId="9" xfId="0" applyFont="1" applyBorder="1"/>
    <xf numFmtId="171" fontId="53" fillId="0" borderId="26" xfId="0" applyNumberFormat="1" applyFont="1" applyBorder="1"/>
    <xf numFmtId="0" fontId="53" fillId="0" borderId="26" xfId="0" applyFont="1" applyBorder="1"/>
    <xf numFmtId="0" fontId="53" fillId="0" borderId="80" xfId="0" applyFont="1" applyBorder="1"/>
    <xf numFmtId="0" fontId="50" fillId="5" borderId="101" xfId="0" applyFont="1" applyFill="1" applyBorder="1"/>
    <xf numFmtId="0" fontId="50" fillId="5" borderId="31" xfId="0" applyFont="1" applyFill="1" applyBorder="1"/>
    <xf numFmtId="0" fontId="50" fillId="5" borderId="29" xfId="0" applyFont="1" applyFill="1" applyBorder="1"/>
    <xf numFmtId="0" fontId="50" fillId="5" borderId="30" xfId="0" applyFont="1" applyFill="1" applyBorder="1"/>
    <xf numFmtId="0" fontId="50" fillId="5" borderId="85" xfId="0" applyFont="1" applyFill="1" applyBorder="1"/>
    <xf numFmtId="0" fontId="52" fillId="0" borderId="11" xfId="0" applyFont="1" applyBorder="1"/>
    <xf numFmtId="0" fontId="53" fillId="0" borderId="1" xfId="0" applyFont="1" applyBorder="1"/>
    <xf numFmtId="0" fontId="50" fillId="5" borderId="7" xfId="0" applyFont="1" applyFill="1" applyBorder="1"/>
    <xf numFmtId="0" fontId="50" fillId="5" borderId="27" xfId="0" applyFont="1" applyFill="1" applyBorder="1"/>
    <xf numFmtId="0" fontId="50" fillId="2" borderId="110" xfId="0" applyFont="1" applyFill="1" applyBorder="1"/>
    <xf numFmtId="0" fontId="50" fillId="2" borderId="128" xfId="0" applyFont="1" applyFill="1" applyBorder="1"/>
    <xf numFmtId="171" fontId="53" fillId="0" borderId="129" xfId="0" applyNumberFormat="1" applyFont="1" applyBorder="1"/>
    <xf numFmtId="0" fontId="50" fillId="2" borderId="54" xfId="0" applyFont="1" applyFill="1" applyBorder="1"/>
    <xf numFmtId="0" fontId="50" fillId="2" borderId="27" xfId="0" applyFont="1" applyFill="1" applyBorder="1"/>
    <xf numFmtId="0" fontId="50" fillId="2" borderId="7" xfId="0" applyFont="1" applyFill="1" applyBorder="1"/>
    <xf numFmtId="0" fontId="50" fillId="2" borderId="130" xfId="0" applyFont="1" applyFill="1" applyBorder="1"/>
    <xf numFmtId="0" fontId="50" fillId="2" borderId="131" xfId="0" applyFont="1" applyFill="1" applyBorder="1"/>
    <xf numFmtId="0" fontId="50" fillId="2" borderId="86" xfId="0" applyFont="1" applyFill="1" applyBorder="1"/>
    <xf numFmtId="171" fontId="53" fillId="0" borderId="87" xfId="0" applyNumberFormat="1" applyFont="1" applyBorder="1"/>
    <xf numFmtId="0" fontId="50" fillId="2" borderId="62" xfId="0" applyFont="1" applyFill="1" applyBorder="1"/>
    <xf numFmtId="0" fontId="50" fillId="2" borderId="87" xfId="0" applyFont="1" applyFill="1" applyBorder="1"/>
    <xf numFmtId="0" fontId="50" fillId="2" borderId="58" xfId="0" applyFont="1" applyFill="1" applyBorder="1"/>
    <xf numFmtId="0" fontId="50" fillId="2" borderId="10" xfId="0" applyFont="1" applyFill="1" applyBorder="1"/>
    <xf numFmtId="0" fontId="50" fillId="2" borderId="32" xfId="0" applyFont="1" applyFill="1" applyBorder="1"/>
    <xf numFmtId="0" fontId="50" fillId="2" borderId="124" xfId="0" applyFont="1" applyFill="1" applyBorder="1"/>
    <xf numFmtId="0" fontId="50" fillId="2" borderId="1" xfId="0" applyFont="1" applyFill="1" applyBorder="1"/>
    <xf numFmtId="0" fontId="50" fillId="2" borderId="26" xfId="0" applyFont="1" applyFill="1" applyBorder="1"/>
    <xf numFmtId="0" fontId="50" fillId="2" borderId="9" xfId="0" applyFont="1" applyFill="1" applyBorder="1"/>
    <xf numFmtId="0" fontId="50" fillId="2" borderId="80" xfId="0" applyFont="1" applyFill="1" applyBorder="1"/>
    <xf numFmtId="0" fontId="52" fillId="0" borderId="124" xfId="0" applyFont="1" applyBorder="1"/>
    <xf numFmtId="0" fontId="52" fillId="0" borderId="9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80" xfId="0" applyFont="1" applyBorder="1"/>
    <xf numFmtId="0" fontId="49" fillId="5" borderId="101" xfId="0" applyFont="1" applyFill="1" applyBorder="1" applyAlignment="1">
      <alignment horizontal="center"/>
    </xf>
    <xf numFmtId="0" fontId="53" fillId="0" borderId="11" xfId="0" applyFont="1" applyBorder="1"/>
    <xf numFmtId="0" fontId="53" fillId="0" borderId="8" xfId="0" applyFont="1" applyBorder="1"/>
    <xf numFmtId="1" fontId="53" fillId="0" borderId="24" xfId="0" applyNumberFormat="1" applyFont="1" applyBorder="1"/>
    <xf numFmtId="0" fontId="53" fillId="0" borderId="0" xfId="0" applyFont="1" applyBorder="1"/>
    <xf numFmtId="0" fontId="53" fillId="0" borderId="24" xfId="0" applyFont="1" applyBorder="1"/>
    <xf numFmtId="0" fontId="53" fillId="0" borderId="13" xfId="0" applyFont="1" applyBorder="1"/>
    <xf numFmtId="0" fontId="49" fillId="5" borderId="127" xfId="0" applyFont="1" applyFill="1" applyBorder="1" applyAlignment="1">
      <alignment horizontal="center"/>
    </xf>
    <xf numFmtId="0" fontId="52" fillId="0" borderId="101" xfId="0" applyFont="1" applyBorder="1"/>
    <xf numFmtId="0" fontId="53" fillId="0" borderId="31" xfId="0" applyFont="1" applyBorder="1"/>
    <xf numFmtId="171" fontId="53" fillId="0" borderId="29" xfId="0" applyNumberFormat="1" applyFont="1" applyBorder="1"/>
    <xf numFmtId="0" fontId="53" fillId="0" borderId="30" xfId="0" applyFont="1" applyBorder="1"/>
    <xf numFmtId="0" fontId="53" fillId="0" borderId="29" xfId="0" applyFont="1" applyBorder="1"/>
    <xf numFmtId="0" fontId="53" fillId="0" borderId="85" xfId="0" applyFont="1" applyBorder="1"/>
    <xf numFmtId="0" fontId="51" fillId="0" borderId="11" xfId="0" applyFont="1" applyBorder="1"/>
    <xf numFmtId="0" fontId="50" fillId="0" borderId="10" xfId="0" applyFont="1" applyBorder="1"/>
    <xf numFmtId="166" fontId="50" fillId="0" borderId="32" xfId="0" applyNumberFormat="1" applyFont="1" applyBorder="1"/>
    <xf numFmtId="0" fontId="50" fillId="0" borderId="2" xfId="0" applyFont="1" applyBorder="1"/>
    <xf numFmtId="0" fontId="51" fillId="0" borderId="131" xfId="0" applyFont="1" applyBorder="1"/>
    <xf numFmtId="0" fontId="50" fillId="0" borderId="8" xfId="0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86" xfId="0" applyFont="1" applyBorder="1"/>
    <xf numFmtId="0" fontId="50" fillId="0" borderId="62" xfId="0" applyFont="1" applyBorder="1"/>
    <xf numFmtId="0" fontId="50" fillId="0" borderId="87" xfId="0" applyFont="1" applyBorder="1"/>
    <xf numFmtId="0" fontId="50" fillId="0" borderId="9" xfId="0" applyFont="1" applyBorder="1"/>
    <xf numFmtId="0" fontId="50" fillId="0" borderId="26" xfId="0" applyFont="1" applyBorder="1"/>
    <xf numFmtId="0" fontId="53" fillId="5" borderId="101" xfId="0" applyFont="1" applyFill="1" applyBorder="1"/>
    <xf numFmtId="0" fontId="53" fillId="5" borderId="30" xfId="0" applyFont="1" applyFill="1" applyBorder="1"/>
    <xf numFmtId="0" fontId="52" fillId="5" borderId="30" xfId="0" applyFont="1" applyFill="1" applyBorder="1" applyAlignment="1">
      <alignment horizontal="center"/>
    </xf>
    <xf numFmtId="0" fontId="53" fillId="5" borderId="29" xfId="0" applyFont="1" applyFill="1" applyBorder="1"/>
    <xf numFmtId="0" fontId="52" fillId="5" borderId="30" xfId="0" applyFont="1" applyFill="1" applyBorder="1"/>
    <xf numFmtId="0" fontId="53" fillId="5" borderId="85" xfId="0" applyFont="1" applyFill="1" applyBorder="1"/>
    <xf numFmtId="167" fontId="50" fillId="0" borderId="46" xfId="0" applyNumberFormat="1" applyFont="1" applyBorder="1"/>
    <xf numFmtId="0" fontId="50" fillId="0" borderId="42" xfId="0" applyFont="1" applyBorder="1"/>
    <xf numFmtId="0" fontId="50" fillId="0" borderId="46" xfId="0" applyFont="1" applyBorder="1"/>
    <xf numFmtId="0" fontId="50" fillId="0" borderId="129" xfId="0" applyFont="1" applyBorder="1"/>
    <xf numFmtId="0" fontId="54" fillId="0" borderId="0" xfId="0" applyFont="1" applyBorder="1"/>
    <xf numFmtId="0" fontId="50" fillId="0" borderId="54" xfId="0" applyFont="1" applyBorder="1"/>
    <xf numFmtId="0" fontId="50" fillId="2" borderId="13" xfId="0" applyFont="1" applyFill="1" applyBorder="1"/>
    <xf numFmtId="167" fontId="50" fillId="0" borderId="39" xfId="0" applyNumberFormat="1" applyFont="1" applyBorder="1"/>
    <xf numFmtId="0" fontId="50" fillId="0" borderId="61" xfId="0" applyFont="1" applyBorder="1"/>
    <xf numFmtId="0" fontId="50" fillId="0" borderId="40" xfId="0" applyFont="1" applyBorder="1"/>
    <xf numFmtId="167" fontId="50" fillId="0" borderId="79" xfId="0" applyNumberFormat="1" applyFont="1" applyBorder="1"/>
    <xf numFmtId="0" fontId="50" fillId="0" borderId="1" xfId="0" applyFont="1" applyBorder="1"/>
    <xf numFmtId="0" fontId="50" fillId="0" borderId="79" xfId="0" applyFont="1" applyBorder="1"/>
    <xf numFmtId="0" fontId="49" fillId="0" borderId="101" xfId="0" applyFont="1" applyBorder="1"/>
    <xf numFmtId="0" fontId="51" fillId="0" borderId="104" xfId="0" applyFont="1" applyBorder="1"/>
    <xf numFmtId="0" fontId="51" fillId="0" borderId="107" xfId="0" applyFont="1" applyBorder="1"/>
    <xf numFmtId="0" fontId="51" fillId="0" borderId="55" xfId="0" applyFont="1" applyBorder="1"/>
    <xf numFmtId="0" fontId="51" fillId="0" borderId="27" xfId="0" applyFont="1" applyBorder="1"/>
    <xf numFmtId="0" fontId="51" fillId="0" borderId="40" xfId="0" applyFont="1" applyBorder="1"/>
    <xf numFmtId="0" fontId="51" fillId="0" borderId="24" xfId="0" applyFont="1" applyBorder="1"/>
    <xf numFmtId="0" fontId="50" fillId="0" borderId="104" xfId="0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63" xfId="0" applyFont="1" applyBorder="1"/>
    <xf numFmtId="0" fontId="51" fillId="0" borderId="5" xfId="0" applyFont="1" applyBorder="1"/>
    <xf numFmtId="0" fontId="55" fillId="0" borderId="132" xfId="0" applyFont="1" applyBorder="1"/>
    <xf numFmtId="0" fontId="51" fillId="0" borderId="133" xfId="0" applyFont="1" applyBorder="1"/>
    <xf numFmtId="0" fontId="51" fillId="0" borderId="61" xfId="0" applyFont="1" applyBorder="1"/>
    <xf numFmtId="0" fontId="51" fillId="0" borderId="134" xfId="0" applyFont="1" applyBorder="1"/>
    <xf numFmtId="0" fontId="51" fillId="0" borderId="14" xfId="0" applyFont="1" applyBorder="1"/>
    <xf numFmtId="1" fontId="50" fillId="0" borderId="125" xfId="0" applyNumberFormat="1" applyFont="1" applyBorder="1" applyAlignment="1">
      <alignment horizontal="center"/>
    </xf>
    <xf numFmtId="167" fontId="55" fillId="0" borderId="39" xfId="0" applyNumberFormat="1" applyFont="1" applyBorder="1"/>
    <xf numFmtId="167" fontId="55" fillId="0" borderId="46" xfId="0" applyNumberFormat="1" applyFont="1" applyBorder="1"/>
    <xf numFmtId="167" fontId="55" fillId="0" borderId="61" xfId="0" applyNumberFormat="1" applyFont="1" applyBorder="1"/>
    <xf numFmtId="167" fontId="55" fillId="0" borderId="104" xfId="0" applyNumberFormat="1" applyFont="1" applyBorder="1"/>
    <xf numFmtId="171" fontId="52" fillId="0" borderId="26" xfId="0" applyNumberFormat="1" applyFont="1" applyBorder="1"/>
    <xf numFmtId="0" fontId="51" fillId="0" borderId="11" xfId="0" quotePrefix="1" applyFont="1" applyBorder="1" applyAlignment="1">
      <alignment horizontal="left"/>
    </xf>
    <xf numFmtId="0" fontId="51" fillId="0" borderId="135" xfId="0" applyFont="1" applyBorder="1"/>
    <xf numFmtId="0" fontId="51" fillId="0" borderId="136" xfId="0" applyFont="1" applyBorder="1"/>
    <xf numFmtId="0" fontId="51" fillId="0" borderId="70" xfId="0" applyFont="1" applyBorder="1"/>
    <xf numFmtId="0" fontId="51" fillId="0" borderId="137" xfId="0" applyFont="1" applyBorder="1"/>
    <xf numFmtId="0" fontId="50" fillId="0" borderId="14" xfId="0" applyFont="1" applyBorder="1"/>
    <xf numFmtId="0" fontId="56" fillId="0" borderId="116" xfId="0" applyFont="1" applyFill="1" applyBorder="1" applyAlignment="1"/>
    <xf numFmtId="49" fontId="30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50" fillId="0" borderId="43" xfId="0" applyNumberFormat="1" applyFont="1" applyBorder="1"/>
    <xf numFmtId="167" fontId="50" fillId="0" borderId="58" xfId="0" applyNumberFormat="1" applyFont="1" applyBorder="1"/>
    <xf numFmtId="167" fontId="50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7" fillId="0" borderId="88" xfId="0" quotePrefix="1" applyFont="1" applyBorder="1" applyAlignment="1">
      <alignment horizontal="left"/>
    </xf>
    <xf numFmtId="0" fontId="55" fillId="0" borderId="11" xfId="0" applyFont="1" applyBorder="1"/>
    <xf numFmtId="0" fontId="55" fillId="0" borderId="11" xfId="0" quotePrefix="1" applyFont="1" applyBorder="1" applyAlignment="1">
      <alignment horizontal="left"/>
    </xf>
    <xf numFmtId="167" fontId="50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30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2" fillId="0" borderId="140" xfId="0" applyFont="1" applyBorder="1"/>
    <xf numFmtId="167" fontId="51" fillId="0" borderId="58" xfId="0" applyNumberFormat="1" applyFont="1" applyBorder="1"/>
    <xf numFmtId="166" fontId="51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9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67" fontId="7" fillId="0" borderId="32" xfId="0" applyNumberFormat="1" applyFont="1" applyBorder="1"/>
    <xf numFmtId="179" fontId="42" fillId="0" borderId="31" xfId="0" applyNumberFormat="1" applyFont="1" applyBorder="1" applyAlignment="1">
      <alignment horizontal="right"/>
    </xf>
    <xf numFmtId="0" fontId="44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1" fillId="0" borderId="55" xfId="0" applyNumberFormat="1" applyFont="1" applyBorder="1"/>
    <xf numFmtId="167" fontId="50" fillId="0" borderId="61" xfId="0" applyNumberFormat="1" applyFont="1" applyBorder="1"/>
    <xf numFmtId="167" fontId="51" fillId="0" borderId="40" xfId="0" applyNumberFormat="1" applyFont="1" applyBorder="1"/>
    <xf numFmtId="167" fontId="50" fillId="0" borderId="104" xfId="0" applyNumberFormat="1" applyFont="1" applyBorder="1"/>
    <xf numFmtId="0" fontId="50" fillId="5" borderId="110" xfId="0" applyFont="1" applyFill="1" applyBorder="1"/>
    <xf numFmtId="0" fontId="50" fillId="5" borderId="54" xfId="0" applyFont="1" applyFill="1" applyBorder="1"/>
    <xf numFmtId="0" fontId="50" fillId="5" borderId="130" xfId="0" applyFont="1" applyFill="1" applyBorder="1"/>
    <xf numFmtId="0" fontId="4" fillId="2" borderId="145" xfId="0" applyFont="1" applyFill="1" applyBorder="1"/>
    <xf numFmtId="0" fontId="52" fillId="2" borderId="110" xfId="0" applyFont="1" applyFill="1" applyBorder="1"/>
    <xf numFmtId="0" fontId="49" fillId="5" borderId="85" xfId="0" applyFont="1" applyFill="1" applyBorder="1" applyAlignment="1">
      <alignment horizontal="left"/>
    </xf>
    <xf numFmtId="0" fontId="52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8" fillId="2" borderId="115" xfId="0" applyFont="1" applyFill="1" applyBorder="1" applyProtection="1"/>
    <xf numFmtId="164" fontId="58" fillId="2" borderId="115" xfId="0" applyNumberFormat="1" applyFont="1" applyFill="1" applyBorder="1" applyAlignment="1" applyProtection="1">
      <alignment horizontal="center"/>
    </xf>
    <xf numFmtId="164" fontId="58" fillId="2" borderId="15" xfId="0" applyNumberFormat="1" applyFont="1" applyFill="1" applyBorder="1" applyAlignment="1" applyProtection="1">
      <alignment horizontal="center"/>
    </xf>
    <xf numFmtId="0" fontId="57" fillId="2" borderId="11" xfId="0" quotePrefix="1" applyFont="1" applyFill="1" applyBorder="1" applyAlignment="1" applyProtection="1">
      <alignment horizontal="left"/>
    </xf>
    <xf numFmtId="0" fontId="58" fillId="2" borderId="0" xfId="0" applyFont="1" applyFill="1" applyBorder="1" applyProtection="1"/>
    <xf numFmtId="0" fontId="58" fillId="2" borderId="13" xfId="0" applyFont="1" applyFill="1" applyBorder="1" applyProtection="1"/>
    <xf numFmtId="0" fontId="59" fillId="2" borderId="11" xfId="0" applyFont="1" applyFill="1" applyBorder="1" applyProtection="1"/>
    <xf numFmtId="0" fontId="57" fillId="2" borderId="0" xfId="0" applyFont="1" applyFill="1" applyBorder="1" applyAlignment="1" applyProtection="1">
      <alignment horizontal="center"/>
    </xf>
    <xf numFmtId="0" fontId="57" fillId="2" borderId="13" xfId="0" applyFont="1" applyFill="1" applyBorder="1" applyAlignment="1" applyProtection="1">
      <alignment horizontal="center"/>
    </xf>
    <xf numFmtId="0" fontId="59" fillId="2" borderId="146" xfId="0" applyFont="1" applyFill="1" applyBorder="1" applyAlignment="1" applyProtection="1">
      <alignment horizontal="left"/>
    </xf>
    <xf numFmtId="0" fontId="58" fillId="2" borderId="147" xfId="0" applyFont="1" applyFill="1" applyBorder="1" applyProtection="1"/>
    <xf numFmtId="164" fontId="58" fillId="2" borderId="91" xfId="0" applyNumberFormat="1" applyFont="1" applyFill="1" applyBorder="1" applyProtection="1"/>
    <xf numFmtId="164" fontId="58" fillId="2" borderId="93" xfId="0" applyNumberFormat="1" applyFont="1" applyFill="1" applyBorder="1" applyProtection="1"/>
    <xf numFmtId="0" fontId="60" fillId="2" borderId="11" xfId="0" applyFont="1" applyFill="1" applyBorder="1" applyProtection="1"/>
    <xf numFmtId="166" fontId="58" fillId="2" borderId="94" xfId="0" applyNumberFormat="1" applyFont="1" applyFill="1" applyBorder="1" applyProtection="1"/>
    <xf numFmtId="166" fontId="58" fillId="2" borderId="95" xfId="0" applyNumberFormat="1" applyFont="1" applyFill="1" applyBorder="1" applyProtection="1"/>
    <xf numFmtId="0" fontId="60" fillId="2" borderId="11" xfId="0" applyFont="1" applyFill="1" applyBorder="1" applyAlignment="1" applyProtection="1">
      <alignment horizontal="left"/>
    </xf>
    <xf numFmtId="0" fontId="58" fillId="2" borderId="0" xfId="0" applyFont="1" applyFill="1" applyBorder="1"/>
    <xf numFmtId="0" fontId="58" fillId="2" borderId="0" xfId="0" quotePrefix="1" applyFont="1" applyFill="1" applyBorder="1" applyAlignment="1" applyProtection="1">
      <alignment horizontal="left"/>
    </xf>
    <xf numFmtId="166" fontId="58" fillId="2" borderId="148" xfId="0" applyNumberFormat="1" applyFont="1" applyFill="1" applyBorder="1" applyProtection="1"/>
    <xf numFmtId="0" fontId="58" fillId="2" borderId="0" xfId="0" applyFont="1" applyFill="1" applyBorder="1" applyAlignment="1" applyProtection="1">
      <alignment horizontal="left"/>
    </xf>
    <xf numFmtId="0" fontId="60" fillId="2" borderId="149" xfId="0" applyFont="1" applyFill="1" applyBorder="1" applyAlignment="1" applyProtection="1">
      <alignment horizontal="left"/>
    </xf>
    <xf numFmtId="0" fontId="58" fillId="2" borderId="150" xfId="0" applyFont="1" applyFill="1" applyBorder="1" applyProtection="1"/>
    <xf numFmtId="166" fontId="58" fillId="2" borderId="97" xfId="0" applyNumberFormat="1" applyFont="1" applyFill="1" applyBorder="1" applyProtection="1"/>
    <xf numFmtId="166" fontId="58" fillId="2" borderId="151" xfId="0" applyNumberFormat="1" applyFont="1" applyFill="1" applyBorder="1" applyProtection="1"/>
    <xf numFmtId="0" fontId="57" fillId="2" borderId="0" xfId="0" applyFont="1" applyFill="1" applyBorder="1" applyProtection="1"/>
    <xf numFmtId="0" fontId="59" fillId="2" borderId="152" xfId="0" applyFont="1" applyFill="1" applyBorder="1" applyAlignment="1" applyProtection="1">
      <alignment horizontal="left"/>
    </xf>
    <xf numFmtId="0" fontId="58" fillId="2" borderId="153" xfId="0" applyFont="1" applyFill="1" applyBorder="1" applyProtection="1"/>
    <xf numFmtId="166" fontId="58" fillId="2" borderId="98" xfId="0" applyNumberFormat="1" applyFont="1" applyFill="1" applyBorder="1" applyProtection="1"/>
    <xf numFmtId="166" fontId="58" fillId="2" borderId="154" xfId="0" applyNumberFormat="1" applyFont="1" applyFill="1" applyBorder="1" applyProtection="1"/>
    <xf numFmtId="0" fontId="60" fillId="2" borderId="11" xfId="0" quotePrefix="1" applyFont="1" applyFill="1" applyBorder="1" applyAlignment="1" applyProtection="1">
      <alignment horizontal="left"/>
    </xf>
    <xf numFmtId="0" fontId="60" fillId="2" borderId="44" xfId="0" applyFont="1" applyFill="1" applyBorder="1" applyProtection="1"/>
    <xf numFmtId="0" fontId="58" fillId="2" borderId="2" xfId="0" applyFont="1" applyFill="1" applyBorder="1" applyProtection="1"/>
    <xf numFmtId="166" fontId="58" fillId="2" borderId="155" xfId="0" applyNumberFormat="1" applyFont="1" applyFill="1" applyBorder="1" applyProtection="1"/>
    <xf numFmtId="0" fontId="60" fillId="2" borderId="156" xfId="0" applyFont="1" applyFill="1" applyBorder="1" applyAlignment="1" applyProtection="1">
      <alignment horizontal="left"/>
    </xf>
    <xf numFmtId="0" fontId="58" fillId="2" borderId="157" xfId="0" applyFont="1" applyFill="1" applyBorder="1" applyProtection="1"/>
    <xf numFmtId="0" fontId="58" fillId="2" borderId="158" xfId="0" applyFont="1" applyFill="1" applyBorder="1" applyAlignment="1" applyProtection="1">
      <alignment horizontal="left"/>
    </xf>
    <xf numFmtId="0" fontId="58" fillId="2" borderId="25" xfId="0" applyFont="1" applyFill="1" applyBorder="1" applyProtection="1"/>
    <xf numFmtId="0" fontId="58" fillId="2" borderId="149" xfId="0" applyFont="1" applyFill="1" applyBorder="1" applyAlignment="1" applyProtection="1">
      <alignment horizontal="left"/>
    </xf>
    <xf numFmtId="0" fontId="58" fillId="2" borderId="14" xfId="0" applyFont="1" applyFill="1" applyBorder="1" applyProtection="1"/>
    <xf numFmtId="2" fontId="58" fillId="2" borderId="97" xfId="0" applyNumberFormat="1" applyFont="1" applyFill="1" applyBorder="1" applyProtection="1"/>
    <xf numFmtId="2" fontId="58" fillId="2" borderId="151" xfId="0" applyNumberFormat="1" applyFont="1" applyFill="1" applyBorder="1" applyProtection="1"/>
    <xf numFmtId="0" fontId="57" fillId="2" borderId="114" xfId="0" applyFont="1" applyFill="1" applyBorder="1" applyAlignment="1" applyProtection="1">
      <alignment horizontal="left"/>
    </xf>
    <xf numFmtId="164" fontId="58" fillId="2" borderId="115" xfId="0" applyNumberFormat="1" applyFont="1" applyFill="1" applyBorder="1" applyAlignment="1" applyProtection="1">
      <alignment horizontal="right"/>
    </xf>
    <xf numFmtId="164" fontId="58" fillId="2" borderId="15" xfId="0" applyNumberFormat="1" applyFont="1" applyFill="1" applyBorder="1" applyAlignment="1" applyProtection="1">
      <alignment horizontal="left"/>
    </xf>
    <xf numFmtId="166" fontId="58" fillId="2" borderId="94" xfId="0" applyNumberFormat="1" applyFont="1" applyFill="1" applyBorder="1" applyAlignment="1" applyProtection="1">
      <alignment horizontal="right"/>
    </xf>
    <xf numFmtId="166" fontId="58" fillId="2" borderId="95" xfId="0" applyNumberFormat="1" applyFont="1" applyFill="1" applyBorder="1" applyAlignment="1" applyProtection="1">
      <alignment horizontal="right"/>
    </xf>
    <xf numFmtId="166" fontId="58" fillId="2" borderId="159" xfId="0" applyNumberFormat="1" applyFont="1" applyFill="1" applyBorder="1" applyProtection="1"/>
    <xf numFmtId="166" fontId="58" fillId="2" borderId="78" xfId="0" applyNumberFormat="1" applyFont="1" applyFill="1" applyBorder="1" applyProtection="1"/>
    <xf numFmtId="0" fontId="60" fillId="2" borderId="119" xfId="0" applyFont="1" applyFill="1" applyBorder="1" applyAlignment="1" applyProtection="1">
      <alignment horizontal="left"/>
    </xf>
    <xf numFmtId="0" fontId="60" fillId="2" borderId="0" xfId="0" applyFont="1" applyFill="1" applyProtection="1"/>
    <xf numFmtId="0" fontId="58" fillId="2" borderId="0" xfId="0" applyFont="1" applyFill="1" applyProtection="1"/>
    <xf numFmtId="166" fontId="58" fillId="2" borderId="0" xfId="0" applyNumberFormat="1" applyFont="1" applyFill="1" applyProtection="1"/>
    <xf numFmtId="0" fontId="61" fillId="2" borderId="152" xfId="0" applyFont="1" applyFill="1" applyBorder="1" applyAlignment="1" applyProtection="1">
      <alignment horizontal="left"/>
    </xf>
    <xf numFmtId="2" fontId="58" fillId="2" borderId="160" xfId="0" applyNumberFormat="1" applyFont="1" applyFill="1" applyBorder="1" applyProtection="1"/>
    <xf numFmtId="2" fontId="58" fillId="2" borderId="161" xfId="0" applyNumberFormat="1" applyFont="1" applyFill="1" applyBorder="1" applyProtection="1"/>
    <xf numFmtId="0" fontId="58" fillId="2" borderId="162" xfId="0" applyFont="1" applyFill="1" applyBorder="1" applyAlignment="1" applyProtection="1">
      <alignment horizontal="left"/>
    </xf>
    <xf numFmtId="0" fontId="58" fillId="2" borderId="163" xfId="0" applyFont="1" applyFill="1" applyBorder="1" applyProtection="1"/>
    <xf numFmtId="2" fontId="58" fillId="2" borderId="91" xfId="0" applyNumberFormat="1" applyFont="1" applyFill="1" applyBorder="1" applyProtection="1"/>
    <xf numFmtId="2" fontId="58" fillId="2" borderId="93" xfId="0" applyNumberFormat="1" applyFont="1" applyFill="1" applyBorder="1" applyProtection="1"/>
    <xf numFmtId="0" fontId="58" fillId="2" borderId="119" xfId="0" applyFont="1" applyFill="1" applyBorder="1" applyAlignment="1" applyProtection="1">
      <alignment horizontal="left"/>
    </xf>
    <xf numFmtId="0" fontId="58" fillId="2" borderId="0" xfId="0" applyFont="1" applyFill="1"/>
    <xf numFmtId="0" fontId="58" fillId="0" borderId="0" xfId="0" applyFont="1"/>
    <xf numFmtId="0" fontId="58" fillId="2" borderId="164" xfId="0" quotePrefix="1" applyFont="1" applyFill="1" applyBorder="1" applyAlignment="1">
      <alignment horizontal="left"/>
    </xf>
    <xf numFmtId="0" fontId="58" fillId="2" borderId="165" xfId="0" applyFont="1" applyFill="1" applyBorder="1"/>
    <xf numFmtId="1" fontId="58" fillId="2" borderId="166" xfId="0" applyNumberFormat="1" applyFont="1" applyFill="1" applyBorder="1"/>
    <xf numFmtId="0" fontId="58" fillId="2" borderId="167" xfId="0" applyFont="1" applyFill="1" applyBorder="1"/>
    <xf numFmtId="0" fontId="60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2" fillId="0" borderId="8" xfId="0" applyFont="1" applyBorder="1"/>
    <xf numFmtId="167" fontId="11" fillId="0" borderId="0" xfId="0" applyNumberFormat="1" applyFont="1" applyBorder="1"/>
    <xf numFmtId="179" fontId="42" fillId="0" borderId="30" xfId="0" applyNumberFormat="1" applyFont="1" applyBorder="1" applyAlignment="1">
      <alignment horizontal="left"/>
    </xf>
    <xf numFmtId="0" fontId="43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2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3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63" fillId="0" borderId="0" xfId="0" applyFont="1"/>
    <xf numFmtId="0" fontId="63" fillId="0" borderId="0" xfId="0" applyFont="1" applyAlignment="1">
      <alignment horizontal="right"/>
    </xf>
    <xf numFmtId="0" fontId="41" fillId="0" borderId="0" xfId="0" applyFont="1" applyAlignment="1">
      <alignment horizontal="right"/>
    </xf>
    <xf numFmtId="49" fontId="63" fillId="0" borderId="0" xfId="0" applyNumberFormat="1" applyFont="1" applyAlignment="1">
      <alignment horizontal="right" wrapText="1"/>
    </xf>
    <xf numFmtId="0" fontId="63" fillId="0" borderId="0" xfId="0" applyFont="1" applyAlignment="1">
      <alignment horizontal="center" wrapText="1"/>
    </xf>
    <xf numFmtId="0" fontId="63" fillId="0" borderId="0" xfId="0" applyFont="1" applyAlignment="1">
      <alignment wrapText="1"/>
    </xf>
    <xf numFmtId="49" fontId="63" fillId="0" borderId="0" xfId="0" applyNumberFormat="1" applyFont="1" applyAlignment="1">
      <alignment wrapText="1"/>
    </xf>
    <xf numFmtId="49" fontId="63" fillId="0" borderId="0" xfId="0" applyNumberFormat="1" applyFont="1" applyAlignment="1"/>
    <xf numFmtId="0" fontId="63" fillId="0" borderId="0" xfId="0" applyFont="1" applyBorder="1" applyAlignment="1"/>
    <xf numFmtId="0" fontId="63" fillId="0" borderId="0" xfId="0" applyFont="1" applyAlignment="1">
      <alignment horizontal="left"/>
    </xf>
    <xf numFmtId="49" fontId="63" fillId="0" borderId="0" xfId="0" applyNumberFormat="1" applyFont="1" applyAlignment="1">
      <alignment horizontal="right"/>
    </xf>
    <xf numFmtId="167" fontId="63" fillId="0" borderId="0" xfId="0" applyNumberFormat="1" applyFont="1" applyAlignment="1">
      <alignment wrapText="1"/>
    </xf>
    <xf numFmtId="0" fontId="63" fillId="0" borderId="0" xfId="0" applyFont="1" applyAlignment="1">
      <alignment horizontal="left" wrapText="1"/>
    </xf>
    <xf numFmtId="0" fontId="41" fillId="0" borderId="0" xfId="0" applyFont="1" applyBorder="1" applyAlignment="1">
      <alignment horizontal="center"/>
    </xf>
    <xf numFmtId="0" fontId="63" fillId="0" borderId="0" xfId="0" applyFont="1" applyBorder="1" applyAlignment="1">
      <alignment horizontal="center"/>
    </xf>
    <xf numFmtId="0" fontId="41" fillId="0" borderId="0" xfId="0" quotePrefix="1" applyFont="1" applyBorder="1" applyAlignment="1">
      <alignment horizontal="center"/>
    </xf>
    <xf numFmtId="0" fontId="63" fillId="0" borderId="0" xfId="0" quotePrefix="1" applyFont="1" applyBorder="1" applyAlignment="1">
      <alignment horizontal="center"/>
    </xf>
    <xf numFmtId="167" fontId="63" fillId="0" borderId="0" xfId="0" applyNumberFormat="1" applyFont="1" applyBorder="1" applyAlignment="1">
      <alignment horizontal="left"/>
    </xf>
    <xf numFmtId="167" fontId="63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49" fontId="63" fillId="0" borderId="0" xfId="0" applyNumberFormat="1" applyFont="1" applyBorder="1" applyAlignment="1">
      <alignment horizontal="left"/>
    </xf>
    <xf numFmtId="0" fontId="63" fillId="0" borderId="0" xfId="0" applyFont="1" applyBorder="1" applyAlignment="1">
      <alignment horizontal="right"/>
    </xf>
    <xf numFmtId="0" fontId="63" fillId="0" borderId="0" xfId="0" applyFont="1" applyBorder="1" applyAlignment="1">
      <alignment horizontal="left"/>
    </xf>
    <xf numFmtId="0" fontId="63" fillId="0" borderId="0" xfId="0" applyFont="1" applyBorder="1"/>
    <xf numFmtId="0" fontId="63" fillId="10" borderId="0" xfId="0" applyFont="1" applyFill="1" applyBorder="1" applyAlignment="1">
      <alignment horizontal="left"/>
    </xf>
    <xf numFmtId="167" fontId="63" fillId="0" borderId="0" xfId="0" applyNumberFormat="1" applyFont="1" applyAlignment="1">
      <alignment horizontal="center"/>
    </xf>
    <xf numFmtId="167" fontId="63" fillId="0" borderId="0" xfId="0" applyNumberFormat="1" applyFont="1" applyBorder="1" applyAlignment="1">
      <alignment horizontal="right"/>
    </xf>
    <xf numFmtId="0" fontId="30" fillId="0" borderId="6" xfId="0" applyFont="1" applyFill="1" applyBorder="1" applyAlignment="1">
      <alignment horizontal="center"/>
    </xf>
    <xf numFmtId="0" fontId="30" fillId="0" borderId="39" xfId="0" applyFont="1" applyFill="1" applyBorder="1" applyAlignment="1">
      <alignment horizontal="center"/>
    </xf>
    <xf numFmtId="1" fontId="30" fillId="0" borderId="39" xfId="0" applyNumberFormat="1" applyFont="1" applyFill="1" applyBorder="1" applyAlignment="1">
      <alignment horizontal="center"/>
    </xf>
    <xf numFmtId="0" fontId="30" fillId="0" borderId="60" xfId="0" applyFont="1" applyFill="1" applyBorder="1" applyAlignment="1">
      <alignment horizontal="center"/>
    </xf>
    <xf numFmtId="166" fontId="29" fillId="0" borderId="63" xfId="0" applyNumberFormat="1" applyFont="1" applyBorder="1"/>
    <xf numFmtId="166" fontId="30" fillId="0" borderId="2" xfId="0" applyNumberFormat="1" applyFont="1" applyFill="1" applyBorder="1" applyAlignment="1" applyProtection="1"/>
    <xf numFmtId="171" fontId="30" fillId="0" borderId="63" xfId="0" applyNumberFormat="1" applyFont="1" applyFill="1" applyBorder="1" applyAlignment="1"/>
    <xf numFmtId="166" fontId="30" fillId="5" borderId="105" xfId="0" applyNumberFormat="1" applyFont="1" applyFill="1" applyBorder="1" applyAlignment="1"/>
    <xf numFmtId="0" fontId="29" fillId="5" borderId="85" xfId="0" applyFont="1" applyFill="1" applyBorder="1" applyAlignment="1">
      <alignment horizontal="left"/>
    </xf>
    <xf numFmtId="166" fontId="30" fillId="0" borderId="63" xfId="0" applyNumberFormat="1" applyFont="1" applyFill="1" applyBorder="1"/>
    <xf numFmtId="166" fontId="30" fillId="0" borderId="63" xfId="0" applyNumberFormat="1" applyFont="1" applyFill="1" applyBorder="1" applyAlignment="1"/>
    <xf numFmtId="166" fontId="29" fillId="0" borderId="111" xfId="0" applyNumberFormat="1" applyFont="1" applyFill="1" applyBorder="1" applyAlignment="1"/>
    <xf numFmtId="166" fontId="29" fillId="0" borderId="168" xfId="0" applyNumberFormat="1" applyFont="1" applyFill="1" applyBorder="1" applyAlignment="1"/>
    <xf numFmtId="0" fontId="30" fillId="0" borderId="169" xfId="0" applyFont="1" applyFill="1" applyBorder="1" applyAlignment="1"/>
    <xf numFmtId="167" fontId="30" fillId="0" borderId="169" xfId="0" applyNumberFormat="1" applyFont="1" applyFill="1" applyBorder="1" applyAlignment="1"/>
    <xf numFmtId="167" fontId="30" fillId="0" borderId="170" xfId="0" applyNumberFormat="1" applyFont="1" applyFill="1" applyBorder="1" applyAlignment="1"/>
    <xf numFmtId="166" fontId="30" fillId="0" borderId="171" xfId="0" applyNumberFormat="1" applyFont="1" applyFill="1" applyBorder="1" applyAlignment="1"/>
    <xf numFmtId="166" fontId="30" fillId="0" borderId="172" xfId="0" applyNumberFormat="1" applyFont="1" applyFill="1" applyBorder="1" applyAlignment="1"/>
    <xf numFmtId="167" fontId="30" fillId="0" borderId="171" xfId="0" applyNumberFormat="1" applyFont="1" applyFill="1" applyBorder="1" applyAlignment="1"/>
    <xf numFmtId="167" fontId="30" fillId="0" borderId="50" xfId="0" applyNumberFormat="1" applyFont="1" applyFill="1" applyBorder="1" applyAlignment="1"/>
    <xf numFmtId="0" fontId="6" fillId="0" borderId="60" xfId="0" applyFont="1" applyBorder="1"/>
    <xf numFmtId="166" fontId="29" fillId="0" borderId="60" xfId="0" applyNumberFormat="1" applyFont="1" applyBorder="1"/>
    <xf numFmtId="166" fontId="29" fillId="0" borderId="58" xfId="0" applyNumberFormat="1" applyFont="1" applyBorder="1"/>
    <xf numFmtId="166" fontId="30" fillId="0" borderId="63" xfId="0" applyNumberFormat="1" applyFont="1" applyBorder="1"/>
    <xf numFmtId="166" fontId="30" fillId="0" borderId="60" xfId="0" applyNumberFormat="1" applyFont="1" applyBorder="1"/>
    <xf numFmtId="167" fontId="30" fillId="0" borderId="58" xfId="0" applyNumberFormat="1" applyFont="1" applyBorder="1"/>
    <xf numFmtId="0" fontId="6" fillId="0" borderId="3" xfId="0" applyFont="1" applyFill="1" applyBorder="1"/>
    <xf numFmtId="166" fontId="29" fillId="0" borderId="63" xfId="0" applyNumberFormat="1" applyFont="1" applyFill="1" applyBorder="1"/>
    <xf numFmtId="0" fontId="6" fillId="0" borderId="60" xfId="0" applyFont="1" applyFill="1" applyBorder="1"/>
    <xf numFmtId="166" fontId="30" fillId="0" borderId="58" xfId="0" applyNumberFormat="1" applyFont="1" applyBorder="1"/>
    <xf numFmtId="0" fontId="6" fillId="0" borderId="3" xfId="0" applyFont="1" applyBorder="1"/>
    <xf numFmtId="0" fontId="36" fillId="6" borderId="169" xfId="0" applyFont="1" applyFill="1" applyBorder="1" applyAlignment="1">
      <alignment horizontal="centerContinuous"/>
    </xf>
    <xf numFmtId="0" fontId="32" fillId="5" borderId="13" xfId="0" applyFont="1" applyFill="1" applyBorder="1" applyAlignment="1">
      <alignment horizontal="center"/>
    </xf>
    <xf numFmtId="0" fontId="32" fillId="2" borderId="141" xfId="0" applyFont="1" applyFill="1" applyBorder="1"/>
    <xf numFmtId="0" fontId="30" fillId="0" borderId="5" xfId="0" applyFont="1" applyBorder="1" applyAlignment="1">
      <alignment horizontal="left"/>
    </xf>
    <xf numFmtId="0" fontId="29" fillId="6" borderId="1" xfId="0" applyFont="1" applyFill="1" applyBorder="1" applyAlignment="1">
      <alignment horizontal="center"/>
    </xf>
    <xf numFmtId="0" fontId="37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9" fillId="0" borderId="104" xfId="0" applyNumberFormat="1" applyFont="1" applyBorder="1"/>
    <xf numFmtId="167" fontId="30" fillId="0" borderId="30" xfId="0" applyNumberFormat="1" applyFont="1" applyBorder="1"/>
    <xf numFmtId="0" fontId="32" fillId="0" borderId="29" xfId="0" applyFont="1" applyBorder="1"/>
    <xf numFmtId="172" fontId="30" fillId="0" borderId="56" xfId="0" applyNumberFormat="1" applyFont="1" applyBorder="1"/>
    <xf numFmtId="172" fontId="30" fillId="0" borderId="52" xfId="0" applyNumberFormat="1" applyFont="1" applyBorder="1"/>
    <xf numFmtId="167" fontId="30" fillId="2" borderId="3" xfId="0" applyNumberFormat="1" applyFont="1" applyFill="1" applyBorder="1" applyProtection="1"/>
    <xf numFmtId="167" fontId="30" fillId="0" borderId="60" xfId="0" applyNumberFormat="1" applyFont="1" applyBorder="1"/>
    <xf numFmtId="167" fontId="30" fillId="0" borderId="65" xfId="0" applyNumberFormat="1" applyFont="1" applyBorder="1"/>
    <xf numFmtId="0" fontId="31" fillId="6" borderId="30" xfId="0" applyFont="1" applyFill="1" applyBorder="1" applyAlignment="1">
      <alignment horizontal="centerContinuous"/>
    </xf>
    <xf numFmtId="0" fontId="29" fillId="6" borderId="30" xfId="0" applyFont="1" applyFill="1" applyBorder="1" applyAlignment="1">
      <alignment horizontal="center"/>
    </xf>
    <xf numFmtId="0" fontId="37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30" fillId="0" borderId="141" xfId="0" applyNumberFormat="1" applyFont="1" applyBorder="1"/>
    <xf numFmtId="0" fontId="34" fillId="0" borderId="110" xfId="0" applyFont="1" applyBorder="1"/>
    <xf numFmtId="0" fontId="30" fillId="0" borderId="54" xfId="0" applyFont="1" applyBorder="1"/>
    <xf numFmtId="0" fontId="34" fillId="0" borderId="11" xfId="0" applyFont="1" applyBorder="1"/>
    <xf numFmtId="167" fontId="30" fillId="0" borderId="39" xfId="0" applyNumberFormat="1" applyFont="1" applyBorder="1"/>
    <xf numFmtId="0" fontId="34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30" fillId="0" borderId="13" xfId="0" applyFont="1" applyBorder="1" applyAlignment="1">
      <alignment horizontal="left"/>
    </xf>
    <xf numFmtId="0" fontId="30" fillId="0" borderId="14" xfId="0" applyFont="1" applyBorder="1"/>
    <xf numFmtId="0" fontId="30" fillId="0" borderId="58" xfId="0" applyFont="1" applyBorder="1" applyAlignment="1">
      <alignment horizontal="left"/>
    </xf>
    <xf numFmtId="0" fontId="29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9" fillId="0" borderId="55" xfId="0" applyNumberFormat="1" applyFont="1" applyBorder="1" applyAlignment="1">
      <alignment horizontal="center"/>
    </xf>
    <xf numFmtId="167" fontId="29" fillId="0" borderId="173" xfId="0" applyNumberFormat="1" applyFont="1" applyBorder="1" applyAlignment="1">
      <alignment horizontal="center"/>
    </xf>
    <xf numFmtId="167" fontId="29" fillId="0" borderId="174" xfId="0" applyNumberFormat="1" applyFont="1" applyBorder="1" applyAlignment="1">
      <alignment horizontal="center"/>
    </xf>
    <xf numFmtId="167" fontId="29" fillId="0" borderId="40" xfId="0" applyNumberFormat="1" applyFont="1" applyBorder="1" applyAlignment="1">
      <alignment horizontal="center"/>
    </xf>
    <xf numFmtId="167" fontId="29" fillId="0" borderId="46" xfId="0" applyNumberFormat="1" applyFont="1" applyBorder="1" applyAlignment="1">
      <alignment horizontal="center"/>
    </xf>
    <xf numFmtId="167" fontId="29" fillId="0" borderId="106" xfId="0" applyNumberFormat="1" applyFont="1" applyBorder="1" applyAlignment="1">
      <alignment horizontal="center"/>
    </xf>
    <xf numFmtId="167" fontId="29" fillId="0" borderId="61" xfId="0" applyNumberFormat="1" applyFont="1" applyBorder="1" applyAlignment="1">
      <alignment horizontal="center"/>
    </xf>
    <xf numFmtId="167" fontId="29" fillId="0" borderId="65" xfId="0" applyNumberFormat="1" applyFont="1" applyBorder="1" applyAlignment="1">
      <alignment horizontal="center"/>
    </xf>
    <xf numFmtId="0" fontId="7" fillId="0" borderId="0" xfId="0" quotePrefix="1" applyFont="1" applyAlignment="1">
      <alignment horizontal="fill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3" fillId="0" borderId="0" xfId="0" applyNumberFormat="1" applyFont="1" applyBorder="1" applyAlignment="1">
      <alignment horizontal="right"/>
    </xf>
    <xf numFmtId="179" fontId="63" fillId="0" borderId="0" xfId="0" applyNumberFormat="1" applyFont="1" applyBorder="1" applyAlignment="1">
      <alignment horizontal="left"/>
    </xf>
    <xf numFmtId="0" fontId="64" fillId="0" borderId="0" xfId="0" applyFont="1"/>
    <xf numFmtId="0" fontId="63" fillId="10" borderId="0" xfId="0" applyFont="1" applyFill="1" applyAlignment="1">
      <alignment horizontal="left"/>
    </xf>
    <xf numFmtId="0" fontId="63" fillId="10" borderId="0" xfId="0" applyFont="1" applyFill="1" applyAlignment="1">
      <alignment horizontal="right"/>
    </xf>
    <xf numFmtId="167" fontId="63" fillId="0" borderId="0" xfId="0" applyNumberFormat="1" applyFont="1" applyAlignment="1">
      <alignment horizontal="center" wrapText="1"/>
    </xf>
    <xf numFmtId="167" fontId="65" fillId="0" borderId="12" xfId="0" applyNumberFormat="1" applyFont="1" applyBorder="1" applyAlignment="1">
      <alignment horizontal="center"/>
    </xf>
    <xf numFmtId="0" fontId="64" fillId="0" borderId="0" xfId="0" applyFont="1" applyAlignment="1">
      <alignment horizontal="center"/>
    </xf>
    <xf numFmtId="0" fontId="64" fillId="0" borderId="0" xfId="0" applyFont="1" applyBorder="1"/>
    <xf numFmtId="0" fontId="63" fillId="10" borderId="0" xfId="0" applyFont="1" applyFill="1" applyAlignment="1">
      <alignment horizontal="center"/>
    </xf>
    <xf numFmtId="0" fontId="63" fillId="0" borderId="0" xfId="0" applyFont="1" applyFill="1" applyAlignment="1">
      <alignment horizontal="center"/>
    </xf>
    <xf numFmtId="0" fontId="64" fillId="0" borderId="0" xfId="0" applyFont="1" applyFill="1"/>
    <xf numFmtId="0" fontId="64" fillId="0" borderId="0" xfId="0" applyFont="1" applyFill="1" applyAlignment="1">
      <alignment horizontal="center"/>
    </xf>
    <xf numFmtId="167" fontId="63" fillId="10" borderId="0" xfId="0" applyNumberFormat="1" applyFont="1" applyFill="1" applyAlignment="1">
      <alignment horizontal="center"/>
    </xf>
    <xf numFmtId="167" fontId="63" fillId="0" borderId="0" xfId="0" applyNumberFormat="1" applyFont="1" applyFill="1" applyAlignment="1">
      <alignment horizontal="center"/>
    </xf>
    <xf numFmtId="2" fontId="41" fillId="2" borderId="0" xfId="0" applyNumberFormat="1" applyFont="1" applyFill="1" applyBorder="1" applyProtection="1"/>
    <xf numFmtId="167" fontId="63" fillId="2" borderId="0" xfId="0" applyNumberFormat="1" applyFont="1" applyFill="1" applyBorder="1" applyAlignment="1" applyProtection="1">
      <alignment horizontal="center"/>
    </xf>
    <xf numFmtId="166" fontId="63" fillId="2" borderId="0" xfId="0" applyNumberFormat="1" applyFont="1" applyFill="1" applyBorder="1" applyAlignment="1" applyProtection="1">
      <alignment horizontal="center"/>
    </xf>
    <xf numFmtId="2" fontId="63" fillId="0" borderId="0" xfId="0" applyNumberFormat="1" applyFont="1" applyAlignment="1">
      <alignment horizontal="center"/>
    </xf>
    <xf numFmtId="167" fontId="63" fillId="0" borderId="0" xfId="0" quotePrefix="1" applyNumberFormat="1" applyFont="1" applyBorder="1" applyAlignment="1">
      <alignment horizontal="center"/>
    </xf>
    <xf numFmtId="0" fontId="64" fillId="10" borderId="0" xfId="0" applyFont="1" applyFill="1"/>
    <xf numFmtId="0" fontId="63" fillId="10" borderId="0" xfId="0" applyFont="1" applyFill="1" applyBorder="1" applyAlignment="1">
      <alignment horizontal="center"/>
    </xf>
    <xf numFmtId="1" fontId="63" fillId="10" borderId="61" xfId="0" applyNumberFormat="1" applyFont="1" applyFill="1" applyBorder="1" applyAlignment="1">
      <alignment horizontal="center"/>
    </xf>
    <xf numFmtId="1" fontId="63" fillId="0" borderId="61" xfId="0" applyNumberFormat="1" applyFont="1" applyBorder="1" applyAlignment="1">
      <alignment horizontal="center"/>
    </xf>
    <xf numFmtId="167" fontId="64" fillId="0" borderId="0" xfId="0" applyNumberFormat="1" applyFont="1" applyBorder="1" applyAlignment="1">
      <alignment horizontal="center"/>
    </xf>
    <xf numFmtId="167" fontId="63" fillId="0" borderId="61" xfId="0" applyNumberFormat="1" applyFont="1" applyBorder="1" applyAlignment="1"/>
    <xf numFmtId="167" fontId="63" fillId="0" borderId="61" xfId="0" applyNumberFormat="1" applyFont="1" applyBorder="1" applyAlignment="1">
      <alignment horizontal="center"/>
    </xf>
    <xf numFmtId="0" fontId="64" fillId="0" borderId="0" xfId="0" applyFont="1" applyAlignment="1">
      <alignment horizontal="right"/>
    </xf>
    <xf numFmtId="0" fontId="63" fillId="10" borderId="61" xfId="0" applyFont="1" applyFill="1" applyBorder="1" applyAlignment="1">
      <alignment horizontal="center"/>
    </xf>
    <xf numFmtId="167" fontId="64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1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2" fillId="0" borderId="7" xfId="0" applyFont="1" applyBorder="1"/>
    <xf numFmtId="0" fontId="44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64" fontId="56" fillId="0" borderId="116" xfId="0" applyNumberFormat="1" applyFont="1" applyFill="1" applyBorder="1" applyAlignment="1">
      <alignment horizontal="lef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30" fillId="0" borderId="46" xfId="0" applyFont="1" applyBorder="1"/>
    <xf numFmtId="0" fontId="30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7" fillId="0" borderId="176" xfId="0" applyFont="1" applyBorder="1"/>
    <xf numFmtId="0" fontId="49" fillId="0" borderId="131" xfId="0" applyFont="1" applyBorder="1" applyAlignment="1">
      <alignment horizontal="center"/>
    </xf>
    <xf numFmtId="0" fontId="51" fillId="0" borderId="22" xfId="0" applyFont="1" applyBorder="1"/>
    <xf numFmtId="0" fontId="49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9" fillId="0" borderId="81" xfId="0" applyNumberFormat="1" applyFont="1" applyBorder="1" applyAlignment="1">
      <alignment horizontal="center"/>
    </xf>
    <xf numFmtId="167" fontId="29" fillId="0" borderId="82" xfId="0" applyNumberFormat="1" applyFont="1" applyBorder="1" applyAlignment="1">
      <alignment horizontal="center"/>
    </xf>
    <xf numFmtId="0" fontId="0" fillId="0" borderId="104" xfId="0" applyBorder="1"/>
    <xf numFmtId="0" fontId="50" fillId="0" borderId="114" xfId="0" applyFont="1" applyBorder="1"/>
    <xf numFmtId="0" fontId="30" fillId="0" borderId="0" xfId="0" applyFont="1" applyBorder="1" applyAlignment="1">
      <alignment horizontal="left"/>
    </xf>
    <xf numFmtId="166" fontId="30" fillId="0" borderId="62" xfId="0" applyNumberFormat="1" applyFont="1" applyBorder="1"/>
    <xf numFmtId="166" fontId="30" fillId="0" borderId="177" xfId="0" applyNumberFormat="1" applyFont="1" applyBorder="1"/>
    <xf numFmtId="166" fontId="30" fillId="0" borderId="177" xfId="0" applyNumberFormat="1" applyFont="1" applyFill="1" applyBorder="1" applyAlignment="1"/>
    <xf numFmtId="166" fontId="30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6" fillId="0" borderId="0" xfId="0" quotePrefix="1" applyFont="1" applyAlignment="1">
      <alignment horizontal="fill"/>
    </xf>
    <xf numFmtId="0" fontId="46" fillId="0" borderId="0" xfId="0" applyFont="1" applyAlignment="1"/>
    <xf numFmtId="179" fontId="63" fillId="0" borderId="0" xfId="0" applyNumberFormat="1" applyFont="1" applyBorder="1" applyAlignment="1">
      <alignment horizontal="center"/>
    </xf>
    <xf numFmtId="166" fontId="53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1" fillId="6" borderId="85" xfId="0" applyFont="1" applyFill="1" applyBorder="1" applyAlignment="1">
      <alignment horizontal="centerContinuous"/>
    </xf>
    <xf numFmtId="0" fontId="30" fillId="0" borderId="82" xfId="0" applyFont="1" applyBorder="1"/>
    <xf numFmtId="0" fontId="0" fillId="0" borderId="63" xfId="0" applyBorder="1"/>
    <xf numFmtId="166" fontId="30" fillId="0" borderId="73" xfId="0" applyNumberFormat="1" applyFont="1" applyBorder="1"/>
    <xf numFmtId="0" fontId="31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6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30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30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6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30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8" fillId="2" borderId="48" xfId="0" applyFont="1" applyFill="1" applyBorder="1"/>
    <xf numFmtId="0" fontId="58" fillId="2" borderId="49" xfId="0" applyFont="1" applyFill="1" applyBorder="1"/>
    <xf numFmtId="166" fontId="58" fillId="2" borderId="182" xfId="0" applyNumberFormat="1" applyFont="1" applyFill="1" applyBorder="1" applyProtection="1"/>
    <xf numFmtId="166" fontId="58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30" fillId="0" borderId="65" xfId="0" applyNumberFormat="1" applyFont="1" applyBorder="1"/>
    <xf numFmtId="0" fontId="0" fillId="0" borderId="52" xfId="0" applyBorder="1"/>
    <xf numFmtId="167" fontId="29" fillId="0" borderId="3" xfId="0" applyNumberFormat="1" applyFont="1" applyBorder="1" applyAlignment="1">
      <alignment horizontal="center"/>
    </xf>
    <xf numFmtId="0" fontId="63" fillId="0" borderId="44" xfId="0" quotePrefix="1" applyFont="1" applyBorder="1" applyAlignment="1">
      <alignment horizontal="left"/>
    </xf>
    <xf numFmtId="0" fontId="7" fillId="0" borderId="59" xfId="0" applyFont="1" applyBorder="1"/>
    <xf numFmtId="0" fontId="29" fillId="6" borderId="67" xfId="0" quotePrefix="1" applyFont="1" applyFill="1" applyBorder="1" applyAlignment="1">
      <alignment horizontal="center"/>
    </xf>
    <xf numFmtId="0" fontId="29" fillId="0" borderId="119" xfId="0" quotePrefix="1" applyFont="1" applyBorder="1" applyAlignment="1">
      <alignment horizontal="left"/>
    </xf>
    <xf numFmtId="0" fontId="30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quotePrefix="1" applyFont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3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4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2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2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5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5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B7EEBBEB-2305-03AF-E5B5-1A1B854683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FEEF3182-CCBB-9596-21A0-45C443BE87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7404613D-1FFD-2231-10E9-100F836CE7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A562D239-9120-A29C-B0E5-AA478BC1FB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1A42EDD4-A447-DFE2-7A13-D0F9376E9A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83FA3E08-6BB4-45AF-F561-424C3B5986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D201736E-A540-09D5-7C47-99CED1BDEC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C12683BE-FD79-CF29-0F86-4F9554636D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F4610FB4-9ABB-C6B1-DE65-62870EF46D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30F776CB-85A6-84DC-4B6C-08CA174C4E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C23F4910-85D0-B685-90E5-652637DDBD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BD6BB17E-3B64-DF2C-F0A9-4F70D21D11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DBD64FDB-F0C2-1A43-DAF0-D618A8F809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1D701DE-260D-A8AB-1EC8-579CB7BE9E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9A9A1719-F022-1437-455A-AFD8F55DEA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2D0A4530-F81F-6823-7AD2-081DB5484E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E9B9A5FD-97E2-FD49-F535-21BB4B0413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B545410D-3E0E-5DB6-807B-91CEE2AF91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976D5475-0739-49D1-3ECF-D3457C359D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B72A6D3-2AFA-5974-A3D0-D31B39DCB4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0371072A-9E54-595D-2FB3-9D92DFA50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7156B22D-3A33-2225-14EB-F47181E81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DAA29D77-851D-5A64-47C9-D1F343955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2B320673-D4DC-6F50-7057-C5AEF356A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06FAA4D7-215C-2951-544A-D3987AFD5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30C75B8D-26F8-C6AB-3867-18953FEDE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3F06258E-40CB-CEB9-2BA2-4EBD600EE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C41735E1-4DC0-69D2-5D45-2C8213CB6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B6D6D644-5B56-48F4-CE4A-D1FF65ADA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C490CCD8-F179-D1EA-CA4A-36246BFB6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A124EC02-8404-7183-BC39-FBC995494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790D00A2-DD27-062D-1DCE-DC84AAA52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15AB5076-EE2C-1065-AFDA-A22848AB8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5D59B497-2176-C78B-5D0B-123F40EE0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C7E7DBE5-DEBE-E4E5-0C1D-75E9730D4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FB5F76C9-4CCB-EFD8-13DA-8A1B35770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CC43CAF6-56C9-68AC-582C-BB3207FD9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39AAA853-67BE-1EDE-692A-66B159326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AAE10D61-A05D-66A8-99DC-7A7C0C10E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A8B27A08-1A49-A23B-D3F8-8A9582D423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C71FB17F-82BE-AEEF-77F0-935073433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E42EDC07-98D9-96A1-E81A-A31EE3FDE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4D3E61ED-17D2-9F26-7EA8-90CE11705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6AA6F951-6EEA-1F95-E52B-4CD515BAA9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8215" name="Day_1">
          <a:extLst>
            <a:ext uri="{FF2B5EF4-FFF2-40B4-BE49-F238E27FC236}">
              <a16:creationId xmlns:a16="http://schemas.microsoft.com/office/drawing/2014/main" id="{0FD7337E-47D4-024B-BAE4-5612B72FE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8216" name="Day_2">
          <a:extLst>
            <a:ext uri="{FF2B5EF4-FFF2-40B4-BE49-F238E27FC236}">
              <a16:creationId xmlns:a16="http://schemas.microsoft.com/office/drawing/2014/main" id="{40CEA1B7-9079-793A-BA8F-B11047BAE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8217" name="Day_3">
          <a:extLst>
            <a:ext uri="{FF2B5EF4-FFF2-40B4-BE49-F238E27FC236}">
              <a16:creationId xmlns:a16="http://schemas.microsoft.com/office/drawing/2014/main" id="{773AD6D8-8DF6-9833-0905-BF8A31A94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8218" name="Day_4">
          <a:extLst>
            <a:ext uri="{FF2B5EF4-FFF2-40B4-BE49-F238E27FC236}">
              <a16:creationId xmlns:a16="http://schemas.microsoft.com/office/drawing/2014/main" id="{696DA0BD-D507-6ED8-69B6-79FCD359D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8219" name="Day_5">
          <a:extLst>
            <a:ext uri="{FF2B5EF4-FFF2-40B4-BE49-F238E27FC236}">
              <a16:creationId xmlns:a16="http://schemas.microsoft.com/office/drawing/2014/main" id="{CDA907B0-9FC6-873D-5816-30F804BA4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8220" name="Day_6">
          <a:extLst>
            <a:ext uri="{FF2B5EF4-FFF2-40B4-BE49-F238E27FC236}">
              <a16:creationId xmlns:a16="http://schemas.microsoft.com/office/drawing/2014/main" id="{A89F69D4-0EDD-5320-B23B-C96D5290F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1C7615AD-70AD-CF31-344B-EF7CBBFFDC24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8E01FF61-3FFE-AC1D-CA97-4F9A44822ABC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6E8BD802-AAB2-A495-69CE-62D68C741CFB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A9D3115B-74BE-9381-41BD-1FA8DE965A38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E63D6384-2C1D-26B3-E283-B19A864E8888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D7124CD9-D1A3-4F4D-8482-5051E4154179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42997285-410E-7CCC-2AFC-97D09703C4AA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A3A1AD91-754F-0CB5-F5C8-DE720C576D40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49A1D5A6-4353-DBE0-D016-594A4619ED3A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A7F72890-FA09-0EDE-5E0B-737F376CB65B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3B62D2E8-40E5-02D8-E347-7AB18E59C96A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FB838C76-7B20-680F-6A0E-8F26B347FA4D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2952B845-1CDE-FE8A-E7E3-416D377F94AD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45720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CC86C49C-B60D-5773-0F59-7847B72078A6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84D5BEF8-9F0E-BF4B-2C81-64D20AAAF1AC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942514DF-68A1-C334-F548-E4C63EE7E07A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2FEB8667-2ECA-D8D1-6FA0-9E5F9727C391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7DCF9A22-A2AF-0474-7B86-2E0759C712F6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0BF41291-E527-5B47-6DCA-EC76E13B2292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E6CDA4F2-DC3B-4AC0-2A20-F530B0A4C934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C3EC8AA8-4092-48BD-A086-049C6AFFC714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1BD45862-59DF-0F95-E9B7-AB754F3F2213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65AAA963-7842-1F44-46EB-BCE2676326FB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3C6E779B-AD53-1D4F-559F-DF73C6EC9890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F13B1717-B6D9-1CDD-FFBA-5AC19E428AF0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E27E9FFB-40A6-2ECF-2881-BBC98249ABE4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E4D80B43-81EF-8796-3B6A-AD8295C066CA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9BAAB1B5-4A66-DD43-3776-BEB398D9AB56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09172B7F-0771-5832-344B-66AC58DACA69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6B9FDFC7-6505-5F36-8FA7-0BB6FAE58C71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108F633F-15CD-6C94-4C4D-32490A91DD2F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378B6C99-8C56-0EE0-ADEA-9AC3942EB8E7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778BBC8D-B8AE-4461-33A6-5A7C9DE0DF2D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D901A3EB-C1F0-F530-A221-9FCC690F09CF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5733F8DB-A221-A9E7-6B1C-4C523D976ED3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BB58A3FB-3D2E-18B4-4045-0FA3D869B756}"/>
            </a:ext>
          </a:extLst>
        </xdr:cNvPr>
        <xdr:cNvSpPr>
          <a:spLocks noChangeShapeType="1"/>
        </xdr:cNvSpPr>
      </xdr:nvSpPr>
      <xdr:spPr bwMode="auto">
        <a:xfrm rot="3026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793FE52D-D01C-90F7-BC28-49AA9C00B3C9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6FB3A538-0296-2432-559B-5E95FD2D6FE8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877D653D-D324-45FB-6CAE-2E3941F54F0E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D1BEE2CC-B1AD-3248-E621-4DD1DB03B1E5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450B6BFF-2859-BCD0-761F-36A2303D23BF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D9922B75-2E5B-D1EF-B8E5-0EBCC80C379B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D5D551C6-BF6C-25B3-AD64-B2D9AEE93AC2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720A4565-D8ED-C04A-F144-DBA0B0279F27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24B25487-D2D7-C1D8-7995-173D72F76549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4A79C5C6-9DC7-C770-C634-458C78ED020D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C5CB5EE5-CCD7-D8CB-618E-B53A8DA89560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B84EC1C3-C148-2E27-E964-69BD85BB87DB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C2D7CF2C-5BF1-F668-4C45-25E97DAC0549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4E1647A8-42B9-AFE9-BF40-954AB9D15A6A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D11D1127-7C53-66F2-E61A-A972244D5576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949DD70D-0B17-EFF8-7ACD-45E20D1DCADF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5A393C88-A555-7940-6506-A32EFD300319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E0C2934D-EFD8-F3E1-FE10-3AA5AC64DA5E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59B80E25-2689-3EE8-E194-6CB535C422F8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44CC1ED0-FC72-95F1-5023-BF1E6CCC2F1F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CBF914E0-8D48-4D40-02EF-823BC5B69891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2CAC52D4-E3E8-1507-906F-5532B5C36B10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A6027D91-32F9-109C-440F-C4F5956DFEA9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04B8718E-DA6D-2BC6-226F-3D05E85846D8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BCA3AE3E-DA11-A00C-09EB-FEAE81481A10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FADC5D4D-A166-3DB1-69BB-2919F8F31BCB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3AEBAC19-707D-4FEA-772E-395C319DD77A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CD2C2499-E8FE-6652-05A0-BC93A929B795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554696FA-5A15-0364-06B2-3BE229417B55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9270486F-0ABA-F138-2953-8D56BC4A2D62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833E5417-770D-C27C-BB43-E3BEAD012F66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E8AEF9F0-81FB-6DBC-94C6-D34608160D83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D60CC29B-A197-F2AB-860C-152BECE3D678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0E5E30FD-EE5A-51BA-93DA-EB137692FC3D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9B4E193A-0989-83C5-85C8-8A895A277101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48AC4EBA-2598-DCB6-1E30-4EBF658765A1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4FF02431-D764-0D9E-37B1-50C1D3A8015F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D9F8B719-7D4E-29EA-2267-5E0FA9AACC84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6CC2D1DB-C9CC-FB6F-5F08-3CC578B02CEE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32385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C493F4C0-217C-DCE0-9EDB-8441738F3B9F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32A0AA22-4BF7-7BA0-AB54-441A8CAA56A5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5F35D26A-4757-E214-4E2E-66A04EFEB386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18EAD021-C552-EE2C-1FFD-5B9618526BC9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DB4826FD-6E52-E4B3-C769-CC34136BCD3B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77B1BF43-0542-DE4B-002E-C38F148111CC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C2B4B487-6916-6FE6-6A1D-DEB76DDF499C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FC2C7BA3-2D3D-DFD4-38D3-D9CDC92628EF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F578DF96-A5BA-8FC3-BE65-4AE27B54A7BD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882E341E-161C-9A42-3A98-8C08D997282F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F541A547-6225-A2CC-E51C-61A5A95A918A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B184B1F3-5724-B9FD-4E90-586418CE7093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9</xdr:row>
      <xdr:rowOff>219075</xdr:rowOff>
    </xdr:from>
    <xdr:to>
      <xdr:col>2</xdr:col>
      <xdr:colOff>666750</xdr:colOff>
      <xdr:row>9</xdr:row>
      <xdr:rowOff>219075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8F8B3CCC-1980-38A7-477F-7FD6FF2FD472}"/>
            </a:ext>
          </a:extLst>
        </xdr:cNvPr>
        <xdr:cNvSpPr>
          <a:spLocks noChangeShapeType="1"/>
        </xdr:cNvSpPr>
      </xdr:nvSpPr>
      <xdr:spPr bwMode="auto">
        <a:xfrm>
          <a:off x="742950" y="215265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41E2CE7C-037D-DB0A-2C18-FD84CD61845C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F8DDDA90-F029-C2BE-D1DF-05E3D165A3BD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83EC1733-C1BD-AF5F-92F3-BA67600D288A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DFC66212-B008-052B-DCA4-76E76DE2DFA4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801FE4C9-ED41-7111-5A37-30E37CAAAF85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D60BF396-3A9E-C1BD-2F12-7BE98B708EA8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A3D74A02-A2FC-5117-B77F-CD42357CAA2F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88B444C4-D938-1F69-945E-4DBBA761B256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1E0D6FBD-63EE-BA8C-0583-D48452A7F988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255A1AF2-D38D-A8BE-695D-AD3C3404C81F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0287241D-5E3F-BA66-A116-457F8A8B4F99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29EC0A90-393F-476E-BFBB-CEED6FFFE71C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8B8B1340-5BEF-8AC9-C4F4-ABF8F1DA7781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069C84E9-6B57-85FC-E0B6-6CFDF8739633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D2052698-E890-FBCD-2466-20DA59DC412C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32385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105E0FFC-E1CA-6DBC-4623-B1FB34C0E7EA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2DBAF117-C310-6A18-DEAA-2A0CD707C32D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209550</xdr:colOff>
      <xdr:row>17</xdr:row>
      <xdr:rowOff>180975</xdr:rowOff>
    </xdr:from>
    <xdr:to>
      <xdr:col>5</xdr:col>
      <xdr:colOff>180975</xdr:colOff>
      <xdr:row>18</xdr:row>
      <xdr:rowOff>0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3659E172-457D-61FC-C7DA-2A0B2CCF88EF}"/>
            </a:ext>
          </a:extLst>
        </xdr:cNvPr>
        <xdr:cNvSpPr>
          <a:spLocks noChangeShapeType="1"/>
        </xdr:cNvSpPr>
      </xdr:nvSpPr>
      <xdr:spPr bwMode="auto">
        <a:xfrm rot="307948828" flipH="1" flipV="1">
          <a:off x="3000375" y="4114800"/>
          <a:ext cx="9525" cy="3524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B778C8E7-B367-EA90-0F11-7B1EE248BABC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5D4E8A69-AA05-9A5E-2196-7F35B025ACD8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22BF5C7E-9B64-1E04-7DA9-4CA14F9804FF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88EE4587-BF2E-06F8-40E4-E4046FC3FCD9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D919E025-B8FF-12BA-6998-081CEB241997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58E1A90B-436E-B86C-AF72-A67C2977FCBC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7AFDC891-B04E-B8EA-378F-761C6BC3F19A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BCDF2A44-78FF-7EDE-AB6A-9974AEB1192B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01E09428-B151-711C-4A2A-780FFFCF15FA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E6568986-B33A-C0A5-19AC-70AF38A1D137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77EDB0EC-E437-DAB2-B568-12366F259E2C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301EF677-DFC8-13DA-4884-3EEA6E3D3222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3AB253A0-DFB5-F106-2547-ADB3ED03D81F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D5EF9975-AE54-B35D-B99C-0DFA2EF451C2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4972651D-A6EF-D90E-EB5C-2DC0D742AD55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9</xdr:row>
      <xdr:rowOff>95250</xdr:rowOff>
    </xdr:from>
    <xdr:to>
      <xdr:col>8</xdr:col>
      <xdr:colOff>752475</xdr:colOff>
      <xdr:row>10</xdr:row>
      <xdr:rowOff>114300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BF5E0F57-7C35-2E67-FB63-FE05C919C13F}"/>
            </a:ext>
          </a:extLst>
        </xdr:cNvPr>
        <xdr:cNvSpPr>
          <a:spLocks noChangeShapeType="1"/>
        </xdr:cNvSpPr>
      </xdr:nvSpPr>
      <xdr:spPr bwMode="auto">
        <a:xfrm flipV="1">
          <a:off x="4981575" y="2028825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BD552A04-3767-C434-0FB3-0662CCD52132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84B82505-675C-A6DB-3DFB-BBB99EF444FA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8C8F163B-07FA-906B-E466-A64C65B4A796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09DA59EE-1445-2776-7098-1EE5725149CA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A68F3B25-A7D9-130F-4152-8899C2D5F98B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1925117B-0619-6886-2B14-686B470537F4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1C05D8F6-FC14-9362-E7EE-17E9B2ACEEB1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B4CD19F9-8FF3-A085-5636-5D1D1BF919DA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113" t="s">
        <v>638</v>
      </c>
      <c r="B1" s="813" t="s">
        <v>11</v>
      </c>
    </row>
    <row r="2" spans="1:88">
      <c r="A2" s="1113" t="s">
        <v>11</v>
      </c>
      <c r="B2" t="s">
        <v>11</v>
      </c>
    </row>
    <row r="3" spans="1:88" ht="15.75" thickBot="1">
      <c r="A3" s="1112" t="s">
        <v>707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75" thickBot="1">
      <c r="A4" s="455"/>
      <c r="B4" s="813" t="s">
        <v>172</v>
      </c>
      <c r="H4" t="s">
        <v>11</v>
      </c>
      <c r="I4" t="s">
        <v>11</v>
      </c>
      <c r="J4" t="s">
        <v>11</v>
      </c>
      <c r="CJ4" s="463" t="s">
        <v>11</v>
      </c>
    </row>
    <row r="5" spans="1:88">
      <c r="A5" t="s">
        <v>725</v>
      </c>
      <c r="B5" s="779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172</v>
      </c>
      <c r="H6" t="s">
        <v>11</v>
      </c>
      <c r="K6" t="s">
        <v>416</v>
      </c>
    </row>
    <row r="7" spans="1:88">
      <c r="A7" t="s">
        <v>11</v>
      </c>
      <c r="B7" t="s">
        <v>11</v>
      </c>
      <c r="H7" t="s">
        <v>172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11" t="s">
        <v>707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172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172</v>
      </c>
      <c r="I10" t="s">
        <v>11</v>
      </c>
      <c r="J10" t="s">
        <v>172</v>
      </c>
      <c r="K10" t="s">
        <v>11</v>
      </c>
      <c r="L10" t="s">
        <v>638</v>
      </c>
    </row>
    <row r="11" spans="1:88">
      <c r="A11" t="s">
        <v>11</v>
      </c>
      <c r="B11" s="813" t="s">
        <v>11</v>
      </c>
      <c r="C11" s="417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4" t="s">
        <v>11</v>
      </c>
      <c r="G13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638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172</v>
      </c>
      <c r="L14" t="s">
        <v>11</v>
      </c>
    </row>
    <row r="15" spans="1:88">
      <c r="A15" s="459" t="s">
        <v>11</v>
      </c>
      <c r="B15" t="s">
        <v>172</v>
      </c>
      <c r="I15" t="s">
        <v>11</v>
      </c>
      <c r="J15" s="489"/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172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791</v>
      </c>
      <c r="L17" t="s">
        <v>11</v>
      </c>
    </row>
    <row r="18" spans="1:13">
      <c r="A18" t="s">
        <v>172</v>
      </c>
      <c r="B18" t="s">
        <v>11</v>
      </c>
      <c r="C18" t="s">
        <v>11</v>
      </c>
      <c r="E18" s="125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635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635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8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9" t="s">
        <v>172</v>
      </c>
      <c r="C25" t="s">
        <v>11</v>
      </c>
      <c r="E25" t="s">
        <v>11</v>
      </c>
      <c r="G25" s="454"/>
      <c r="H25" t="s">
        <v>11</v>
      </c>
      <c r="I25" t="s">
        <v>11</v>
      </c>
      <c r="J25" t="s">
        <v>11</v>
      </c>
      <c r="K25" t="s">
        <v>638</v>
      </c>
    </row>
    <row r="26" spans="1:13">
      <c r="A26" t="s">
        <v>11</v>
      </c>
      <c r="B26" t="s">
        <v>11</v>
      </c>
      <c r="C26" t="s">
        <v>172</v>
      </c>
      <c r="G26" s="454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638</v>
      </c>
      <c r="D27" t="s">
        <v>11</v>
      </c>
      <c r="G27" s="454"/>
      <c r="H27" t="s">
        <v>11</v>
      </c>
      <c r="I27" t="s">
        <v>11</v>
      </c>
      <c r="J27" s="125" t="s">
        <v>11</v>
      </c>
      <c r="K27" t="s">
        <v>11</v>
      </c>
      <c r="L27" t="s">
        <v>172</v>
      </c>
    </row>
    <row r="28" spans="1:13">
      <c r="G28" s="454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4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172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172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zoomScale="75" workbookViewId="0">
      <selection sqref="A1:I42"/>
    </sheetView>
  </sheetViews>
  <sheetFormatPr defaultRowHeight="15"/>
  <cols>
    <col min="1" max="1" width="23.21875" style="114" customWidth="1"/>
    <col min="2" max="2" width="8.88671875" style="114"/>
    <col min="3" max="3" width="17" style="114" customWidth="1"/>
    <col min="4" max="4" width="8.6640625" style="114" customWidth="1"/>
    <col min="5" max="5" width="8.5546875" style="114" customWidth="1"/>
    <col min="6" max="6" width="8.6640625" style="114" customWidth="1"/>
    <col min="7" max="7" width="8.5546875" style="114" customWidth="1"/>
    <col min="8" max="9" width="8.6640625" style="114" customWidth="1"/>
    <col min="10" max="16384" width="8.88671875" style="114"/>
  </cols>
  <sheetData>
    <row r="1" spans="1:10" ht="20.100000000000001" customHeight="1" thickTop="1">
      <c r="A1" s="879" t="s">
        <v>657</v>
      </c>
      <c r="B1" s="837"/>
      <c r="C1" s="837"/>
      <c r="D1" s="837"/>
      <c r="E1" s="837"/>
      <c r="F1" s="837"/>
      <c r="G1" s="837" t="s">
        <v>135</v>
      </c>
      <c r="H1" s="880" t="str">
        <f>D3</f>
        <v>WED</v>
      </c>
      <c r="I1" s="881">
        <f>D4</f>
        <v>36957</v>
      </c>
      <c r="J1" s="112"/>
    </row>
    <row r="2" spans="1:10" ht="20.100000000000001" customHeight="1">
      <c r="A2" s="840" t="s">
        <v>163</v>
      </c>
      <c r="B2" s="841"/>
      <c r="C2" s="841"/>
      <c r="D2" s="841"/>
      <c r="E2" s="841"/>
      <c r="F2" s="841"/>
      <c r="G2" s="841"/>
      <c r="H2" s="841"/>
      <c r="I2" s="842"/>
      <c r="J2" s="112"/>
    </row>
    <row r="3" spans="1:10" ht="20.100000000000001" customHeight="1" thickBot="1">
      <c r="A3" s="843"/>
      <c r="B3" s="841"/>
      <c r="C3" s="841"/>
      <c r="D3" s="844" t="str">
        <f t="shared" ref="D3:I3" si="0">CHOOSE(WEEKDAY(D4),"SUN","MON","TUE","WED","THU","FRI","SAT")</f>
        <v>WED</v>
      </c>
      <c r="E3" s="844" t="str">
        <f t="shared" si="0"/>
        <v>THU</v>
      </c>
      <c r="F3" s="844" t="str">
        <f t="shared" si="0"/>
        <v>FRI</v>
      </c>
      <c r="G3" s="844" t="str">
        <f t="shared" si="0"/>
        <v>SAT</v>
      </c>
      <c r="H3" s="844" t="str">
        <f t="shared" si="0"/>
        <v>SUN</v>
      </c>
      <c r="I3" s="845" t="str">
        <f t="shared" si="0"/>
        <v>MON</v>
      </c>
      <c r="J3" s="112"/>
    </row>
    <row r="4" spans="1:10" ht="20.100000000000001" customHeight="1" thickBot="1">
      <c r="A4" s="846" t="s">
        <v>164</v>
      </c>
      <c r="B4" s="847"/>
      <c r="C4" s="847"/>
      <c r="D4" s="848">
        <f>Weather_Input!A5</f>
        <v>36957</v>
      </c>
      <c r="E4" s="848">
        <f>Weather_Input!A6</f>
        <v>36958</v>
      </c>
      <c r="F4" s="848">
        <f>Weather_Input!A7</f>
        <v>36959</v>
      </c>
      <c r="G4" s="848">
        <f>Weather_Input!A8</f>
        <v>36960</v>
      </c>
      <c r="H4" s="848">
        <f>Weather_Input!A9</f>
        <v>36961</v>
      </c>
      <c r="I4" s="849">
        <f>Weather_Input!A10</f>
        <v>36962</v>
      </c>
      <c r="J4" s="112"/>
    </row>
    <row r="5" spans="1:10" s="113" customFormat="1" ht="20.100000000000001" customHeight="1" thickTop="1">
      <c r="A5" s="850" t="s">
        <v>137</v>
      </c>
      <c r="B5" s="841"/>
      <c r="C5" s="841" t="s">
        <v>138</v>
      </c>
      <c r="D5" s="882" t="str">
        <f>TEXT(Weather_Input!B5,"0")&amp;"/"&amp;TEXT(Weather_Input!C5,"0") &amp; "/" &amp; TEXT((Weather_Input!B5+Weather_Input!C5)/2,"0")</f>
        <v>44/30/37</v>
      </c>
      <c r="E5" s="882" t="str">
        <f>TEXT(Weather_Input!B6,"0")&amp;"/"&amp;TEXT(Weather_Input!C6,"0") &amp; "/" &amp; TEXT((Weather_Input!B6+Weather_Input!C6)/2,"0")</f>
        <v>33/22/28</v>
      </c>
      <c r="F5" s="882" t="str">
        <f>TEXT(Weather_Input!B7,"0")&amp;"/"&amp;TEXT(Weather_Input!C7,"0") &amp; "/" &amp; TEXT((Weather_Input!B7+Weather_Input!C7)/2,"0")</f>
        <v>35/20/28</v>
      </c>
      <c r="G5" s="882" t="str">
        <f>TEXT(Weather_Input!B8,"0")&amp;"/"&amp;TEXT(Weather_Input!C8,"0") &amp; "/" &amp; TEXT((Weather_Input!B8+Weather_Input!C8)/2,"0")</f>
        <v>43/28/36</v>
      </c>
      <c r="H5" s="882" t="str">
        <f>TEXT(Weather_Input!B9,"0")&amp;"/"&amp;TEXT(Weather_Input!C9,"0") &amp; "/" &amp; TEXT((Weather_Input!B9+Weather_Input!C9)/2,"0")</f>
        <v>45/31/38</v>
      </c>
      <c r="I5" s="883" t="str">
        <f>TEXT(Weather_Input!B10,"0")&amp;"/"&amp;TEXT(Weather_Input!C10,"0") &amp; "/" &amp; TEXT((Weather_Input!B10+Weather_Input!C10)/2,"0")</f>
        <v>48/35/42</v>
      </c>
      <c r="J5" s="112"/>
    </row>
    <row r="6" spans="1:10" ht="20.100000000000001" customHeight="1">
      <c r="A6" s="853" t="s">
        <v>139</v>
      </c>
      <c r="B6" s="841"/>
      <c r="C6" s="841"/>
      <c r="D6" s="851">
        <f ca="1">VLOOKUP(D4,NSG_Sendouts,CELL("Col",NSG_Deliveries!C5),FALSE)/1000</f>
        <v>152</v>
      </c>
      <c r="E6" s="851">
        <f ca="1">VLOOKUP(E4,NSG_Sendouts,CELL("Col",NSG_Deliveries!C6),FALSE)/1000</f>
        <v>165</v>
      </c>
      <c r="F6" s="851">
        <f ca="1">VLOOKUP(F4,NSG_Sendouts,CELL("Col",NSG_Deliveries!C7),FALSE)/1000</f>
        <v>165</v>
      </c>
      <c r="G6" s="851">
        <f ca="1">VLOOKUP(G4,NSG_Sendouts,CELL("Col",NSG_Deliveries!C8),FALSE)/1000</f>
        <v>138</v>
      </c>
      <c r="H6" s="851">
        <f ca="1">VLOOKUP(H4,NSG_Sendouts,CELL("Col",NSG_Deliveries!C9),FALSE)/1000</f>
        <v>131</v>
      </c>
      <c r="I6" s="856">
        <f ca="1">VLOOKUP(I4,NSG_Sendouts,CELL("Col",NSG_Deliveries!C10),FALSE)/1000</f>
        <v>116</v>
      </c>
      <c r="J6" s="113"/>
    </row>
    <row r="7" spans="1:10" ht="20.100000000000001" customHeight="1">
      <c r="A7" s="850" t="s">
        <v>140</v>
      </c>
      <c r="B7" s="841" t="s">
        <v>141</v>
      </c>
      <c r="C7" s="841"/>
      <c r="D7" s="851">
        <f>NSG_Requirements!C7/1000</f>
        <v>0</v>
      </c>
      <c r="E7" s="851">
        <f>NSG_Requirements!C8/1000</f>
        <v>0</v>
      </c>
      <c r="F7" s="851">
        <f>NSG_Requirements!C9/1000</f>
        <v>0</v>
      </c>
      <c r="G7" s="851">
        <f>NSG_Requirements!C10/1000</f>
        <v>0</v>
      </c>
      <c r="H7" s="851">
        <f>NSG_Requirements!C11/1000</f>
        <v>0</v>
      </c>
      <c r="I7" s="852">
        <f>NSG_Requirements!C12/1000</f>
        <v>0</v>
      </c>
      <c r="J7" s="112"/>
    </row>
    <row r="8" spans="1:10" ht="20.100000000000001" customHeight="1">
      <c r="A8" s="850"/>
      <c r="B8" s="841" t="s">
        <v>143</v>
      </c>
      <c r="C8" s="841"/>
      <c r="D8" s="851">
        <f>NSG_Requirements!D7/1000</f>
        <v>0</v>
      </c>
      <c r="E8" s="851">
        <f>NSG_Requirements!D8/1000</f>
        <v>0</v>
      </c>
      <c r="F8" s="851">
        <f>NSG_Requirements!D9/1000</f>
        <v>0</v>
      </c>
      <c r="G8" s="851">
        <f>NSG_Requirements!D10/1000</f>
        <v>0</v>
      </c>
      <c r="H8" s="851">
        <f>NSG_Requirements!D11/1000</f>
        <v>0</v>
      </c>
      <c r="I8" s="856">
        <f>NSG_Requirements!D11/1000</f>
        <v>0</v>
      </c>
      <c r="J8" s="113"/>
    </row>
    <row r="9" spans="1:10" ht="20.100000000000001" customHeight="1">
      <c r="A9" s="850"/>
      <c r="B9" s="841" t="s">
        <v>147</v>
      </c>
      <c r="C9" s="841"/>
      <c r="D9" s="851">
        <f>NSG_Requirements!E7/1000</f>
        <v>0</v>
      </c>
      <c r="E9" s="851">
        <f>NSG_Requirements!E8/1000</f>
        <v>0</v>
      </c>
      <c r="F9" s="851">
        <f>NSG_Requirements!E9/1000</f>
        <v>0</v>
      </c>
      <c r="G9" s="851">
        <f>NSG_Requirements!E10/1000</f>
        <v>0</v>
      </c>
      <c r="H9" s="851">
        <f>NSG_Requirements!E11/1000</f>
        <v>0</v>
      </c>
      <c r="I9" s="856">
        <f>NSG_Requirements!E12/1000</f>
        <v>0</v>
      </c>
      <c r="J9" s="113"/>
    </row>
    <row r="10" spans="1:10" ht="20.100000000000001" customHeight="1">
      <c r="A10" s="850"/>
      <c r="B10" s="841" t="s">
        <v>421</v>
      </c>
      <c r="C10" s="841"/>
      <c r="D10" s="851">
        <f>NSG_Requirements!F7/1000</f>
        <v>0</v>
      </c>
      <c r="E10" s="851">
        <f>NSG_Requirements!F8/1000</f>
        <v>0</v>
      </c>
      <c r="F10" s="851">
        <f>NSG_Requirements!F9/1000</f>
        <v>0</v>
      </c>
      <c r="G10" s="851">
        <f>NSG_Requirements!F10/1000</f>
        <v>0</v>
      </c>
      <c r="H10" s="851">
        <f>NSG_Requirements!F11/1000</f>
        <v>0</v>
      </c>
      <c r="I10" s="856">
        <f>NSG_Requirements!F12/1000</f>
        <v>0</v>
      </c>
      <c r="J10" s="113"/>
    </row>
    <row r="11" spans="1:10" ht="20.100000000000001" customHeight="1">
      <c r="A11" s="850" t="s">
        <v>144</v>
      </c>
      <c r="B11" s="841" t="s">
        <v>145</v>
      </c>
      <c r="C11" s="841" t="s">
        <v>60</v>
      </c>
      <c r="D11" s="851">
        <f>(NSG_Requirements!$K$7+NSG_Requirements!$L$7+NSG_Requirements!$M$7+NSG_Requirements!$N$7)/1000</f>
        <v>0</v>
      </c>
      <c r="E11" s="851">
        <f>(NSG_Requirements!$K$8+NSG_Requirements!$L$8+NSG_Requirements!$M$8+NSG_Requirements!$N$8)/1000</f>
        <v>0</v>
      </c>
      <c r="F11" s="851">
        <f>(NSG_Requirements!$K$9+NSG_Requirements!$L$9+NSG_Requirements!$M$9+NSG_Requirements!$N$9)/1000</f>
        <v>0</v>
      </c>
      <c r="G11" s="851">
        <f>(NSG_Requirements!$K$10+NSG_Requirements!$L$10+NSG_Requirements!$M$10+NSG_Requirements!$N$10)/1000</f>
        <v>0</v>
      </c>
      <c r="H11" s="851">
        <f>(NSG_Requirements!$K$11+NSG_Requirements!$L$11+NSG_Requirements!$M$11+NSG_Requirements!$N$11)/1000</f>
        <v>0</v>
      </c>
      <c r="I11" s="856">
        <f>(NSG_Requirements!$K$12+NSG_Requirements!$L$12+NSG_Requirements!$M$12+NSG_Requirements!$N$12)/1000</f>
        <v>0</v>
      </c>
      <c r="J11" s="113"/>
    </row>
    <row r="12" spans="1:10" ht="20.100000000000001" customHeight="1">
      <c r="A12" s="850"/>
      <c r="B12" s="841" t="s">
        <v>143</v>
      </c>
      <c r="C12" s="855" t="s">
        <v>90</v>
      </c>
      <c r="D12" s="851">
        <f>NSG_Requirements!J7/1000</f>
        <v>4.9240000000000004</v>
      </c>
      <c r="E12" s="851">
        <f>NSG_Requirements!J8/1000</f>
        <v>0</v>
      </c>
      <c r="F12" s="851">
        <f>NSG_Requirements!J9/1000</f>
        <v>0</v>
      </c>
      <c r="G12" s="851">
        <f>NSG_Requirements!J10/1000</f>
        <v>0</v>
      </c>
      <c r="H12" s="851">
        <f>NSG_Requirements!J11/1000</f>
        <v>0</v>
      </c>
      <c r="I12" s="852">
        <f>NSG_Requirements!J12/1000</f>
        <v>0</v>
      </c>
      <c r="J12" s="112"/>
    </row>
    <row r="13" spans="1:10" ht="20.100000000000001" customHeight="1">
      <c r="A13" s="850"/>
      <c r="B13" s="841" t="s">
        <v>141</v>
      </c>
      <c r="C13" s="855" t="s">
        <v>90</v>
      </c>
      <c r="D13" s="851">
        <f>NSG_Requirements!H7/1000</f>
        <v>20.619</v>
      </c>
      <c r="E13" s="851">
        <f>NSG_Requirements!H8/1000</f>
        <v>8.66</v>
      </c>
      <c r="F13" s="851">
        <f>NSG_Requirements!H9/1000</f>
        <v>0</v>
      </c>
      <c r="G13" s="851">
        <f>NSG_Requirements!H10/1000</f>
        <v>0</v>
      </c>
      <c r="H13" s="851">
        <f>NSG_Requirements!H11/1000</f>
        <v>0</v>
      </c>
      <c r="I13" s="852">
        <f>NSG_Requirements!H12/1000</f>
        <v>0</v>
      </c>
      <c r="J13" s="112"/>
    </row>
    <row r="14" spans="1:10" ht="20.100000000000001" customHeight="1">
      <c r="A14" s="850"/>
      <c r="B14" s="841" t="s">
        <v>143</v>
      </c>
      <c r="C14" s="841"/>
      <c r="D14" s="851">
        <f>(NSG_Requirements!$S$7+NSG_Requirements!$T$7+NSG_Requirements!$U$7)/1000</f>
        <v>0</v>
      </c>
      <c r="E14" s="851">
        <f>(NSG_Requirements!$S$8+NSG_Requirements!$T$8+NSG_Requirements!$U$8)/1000</f>
        <v>0</v>
      </c>
      <c r="F14" s="851">
        <f>(NSG_Requirements!$S$9+NSG_Requirements!$T$9+NSG_Requirements!$U$9)/1000</f>
        <v>0</v>
      </c>
      <c r="G14" s="851">
        <f>(NSG_Requirements!$S$10+NSG_Requirements!$T$10+NSG_Requirements!$U$10)/1000</f>
        <v>0</v>
      </c>
      <c r="H14" s="851">
        <f>(NSG_Requirements!$S$11+NSG_Requirements!$T$11+NSG_Requirements!$U$11)/1000</f>
        <v>0</v>
      </c>
      <c r="I14" s="856">
        <f>(NSG_Requirements!$S$12+NSG_Requirements!$T$12+NSG_Requirements!$U$12)/1000</f>
        <v>0</v>
      </c>
      <c r="J14" s="112"/>
    </row>
    <row r="15" spans="1:10" ht="20.100000000000001" customHeight="1">
      <c r="A15" s="850"/>
      <c r="B15" s="841" t="s">
        <v>141</v>
      </c>
      <c r="C15" s="841"/>
      <c r="D15" s="851">
        <f>(NSG_Requirements!$Y$7+NSG_Requirements!$Z$7+NSG_Requirements!$AA$7)/1000</f>
        <v>0</v>
      </c>
      <c r="E15" s="851">
        <f>(NSG_Requirements!$Y$8+NSG_Requirements!$Z$8+NSG_Requirements!$AA$8)/1000</f>
        <v>0</v>
      </c>
      <c r="F15" s="851">
        <f>(NSG_Requirements!$Y$9+NSG_Requirements!$Z$9+NSG_Requirements!$AA$9)/1000</f>
        <v>0</v>
      </c>
      <c r="G15" s="851">
        <f>(NSG_Requirements!$Y$10+NSG_Requirements!$Z$10+NSG_Requirements!$AA$10)/1000</f>
        <v>0</v>
      </c>
      <c r="H15" s="851">
        <f>(NSG_Requirements!$Y$11+NSG_Requirements!$Z$11+NSG_Requirements!$AA$11)/1000</f>
        <v>0</v>
      </c>
      <c r="I15" s="856">
        <f>(NSG_Requirements!$Y$12+NSG_Requirements!$Z$12+NSG_Requirements!$AA$12)/1000</f>
        <v>0</v>
      </c>
      <c r="J15" s="113"/>
    </row>
    <row r="16" spans="1:10" ht="20.100000000000001" customHeight="1">
      <c r="A16" s="850"/>
      <c r="B16" s="841" t="s">
        <v>147</v>
      </c>
      <c r="C16" s="855"/>
      <c r="D16" s="851">
        <f>(NSG_Requirements!$V$7+NSG_Requirements!$W$7+NSG_Requirements!$X$7)/1000</f>
        <v>0</v>
      </c>
      <c r="E16" s="851">
        <f>(NSG_Requirements!$V$8+NSG_Requirements!$W$8+NSG_Requirements!$X$8)/1000</f>
        <v>0</v>
      </c>
      <c r="F16" s="851">
        <f>(NSG_Requirements!$V$9+NSG_Requirements!$W$9+NSG_Requirements!$X$9)/1000</f>
        <v>0</v>
      </c>
      <c r="G16" s="851">
        <f>(NSG_Requirements!$V$10+NSG_Requirements!$W$10+NSG_Requirements!$X$10)/1000</f>
        <v>0</v>
      </c>
      <c r="H16" s="851">
        <f>(NSG_Requirements!$V$11+NSG_Requirements!$W$11+NSG_Requirements!$X$11)/1000</f>
        <v>0</v>
      </c>
      <c r="I16" s="856">
        <f>(NSG_Requirements!$V$12+NSG_Requirements!$W$12+NSG_Requirements!$X$12)/1000</f>
        <v>0</v>
      </c>
      <c r="J16" s="113"/>
    </row>
    <row r="17" spans="1:10" ht="20.100000000000001" customHeight="1">
      <c r="A17" s="850"/>
      <c r="B17" s="841" t="s">
        <v>421</v>
      </c>
      <c r="C17" s="841"/>
      <c r="D17" s="851">
        <f>(NSG_Requirements!$AB$7+NSG_Requirements!$AC$7+NSG_Requirements!$AD$7+NSG_Requirements!$AE$7)/1000</f>
        <v>0</v>
      </c>
      <c r="E17" s="851">
        <f>(NSG_Requirements!$AB$8+NSG_Requirements!$AC$8+NSG_Requirements!$AD$8+NSG_Requirements!$AE$8)/1000</f>
        <v>0</v>
      </c>
      <c r="F17" s="851">
        <f>(NSG_Requirements!$AB$9+NSG_Requirements!$AC9+NSG_Requirements!$AD$9+NSG_Requirements!$AE$9)/1000</f>
        <v>0</v>
      </c>
      <c r="G17" s="851">
        <f>(NSG_Requirements!$AB$10+NSG_Requirements!$AC$10+NSG_Requirements!$AD$10+NSG_Requirements!$AE$10)/1000</f>
        <v>0</v>
      </c>
      <c r="H17" s="851">
        <f>(NSG_Requirements!$Y$11+NSG_Requirements!$Z$11+NSG_Requirements!$AA$11+NSG_Requirements!$AE$11)/1000</f>
        <v>0</v>
      </c>
      <c r="I17" s="856">
        <f>(NSG_Requirements!$Y$12+NSG_Requirements!$Z$12+NSG_Requirements!$AA$12+NSG_Requirements!$AE$12)/1000</f>
        <v>0</v>
      </c>
      <c r="J17" s="113"/>
    </row>
    <row r="18" spans="1:10" ht="20.100000000000001" customHeight="1">
      <c r="A18" s="868" t="s">
        <v>165</v>
      </c>
      <c r="B18" s="869" t="s">
        <v>406</v>
      </c>
      <c r="C18" s="869"/>
      <c r="D18" s="884">
        <f>NSG_Requirements!B7/1000</f>
        <v>0</v>
      </c>
      <c r="E18" s="884">
        <f>NSG_Requirements!B8/1000</f>
        <v>0</v>
      </c>
      <c r="F18" s="884">
        <f>NSG_Requirements!B9/1000</f>
        <v>0</v>
      </c>
      <c r="G18" s="884">
        <f>NSG_Requirements!B10/1000</f>
        <v>0</v>
      </c>
      <c r="H18" s="884">
        <f>NSG_Requirements!B11/1000</f>
        <v>0</v>
      </c>
      <c r="I18" s="885">
        <f>NSG_Requirements!B12/1000</f>
        <v>0</v>
      </c>
      <c r="J18" s="112"/>
    </row>
    <row r="19" spans="1:10" ht="20.100000000000001" customHeight="1" thickBot="1">
      <c r="A19" s="886" t="s">
        <v>151</v>
      </c>
      <c r="B19" s="876"/>
      <c r="C19" s="876"/>
      <c r="D19" s="860">
        <f t="shared" ref="D19:I19" ca="1" si="1">SUM(D6:D18)</f>
        <v>177.54300000000001</v>
      </c>
      <c r="E19" s="860">
        <f t="shared" ca="1" si="1"/>
        <v>173.66</v>
      </c>
      <c r="F19" s="860">
        <f t="shared" ca="1" si="1"/>
        <v>165</v>
      </c>
      <c r="G19" s="860">
        <f t="shared" ca="1" si="1"/>
        <v>138</v>
      </c>
      <c r="H19" s="860">
        <f t="shared" ca="1" si="1"/>
        <v>131</v>
      </c>
      <c r="I19" s="861">
        <f t="shared" ca="1" si="1"/>
        <v>116</v>
      </c>
      <c r="J19" s="112"/>
    </row>
    <row r="20" spans="1:10" ht="20.100000000000001" customHeight="1" thickTop="1" thickBot="1">
      <c r="A20" s="887"/>
      <c r="B20" s="888"/>
      <c r="C20" s="888"/>
      <c r="D20" s="889"/>
      <c r="E20" s="889"/>
      <c r="F20" s="889"/>
      <c r="G20" s="889"/>
      <c r="H20" s="889"/>
      <c r="I20" s="889"/>
      <c r="J20" s="113"/>
    </row>
    <row r="21" spans="1:10" ht="20.100000000000001" customHeight="1" thickTop="1" thickBot="1">
      <c r="A21" s="890" t="s">
        <v>152</v>
      </c>
      <c r="B21" s="864"/>
      <c r="C21" s="864"/>
      <c r="D21" s="865"/>
      <c r="E21" s="865"/>
      <c r="F21" s="865"/>
      <c r="G21" s="865"/>
      <c r="H21" s="865"/>
      <c r="I21" s="866"/>
      <c r="J21" s="112"/>
    </row>
    <row r="22" spans="1:10" ht="20.100000000000001" customHeight="1" thickTop="1">
      <c r="A22" s="850" t="s">
        <v>781</v>
      </c>
      <c r="B22" s="841" t="s">
        <v>145</v>
      </c>
      <c r="C22" s="841" t="s">
        <v>166</v>
      </c>
      <c r="D22" s="851">
        <f>NSG_Supplies!H7/1000</f>
        <v>0</v>
      </c>
      <c r="E22" s="851">
        <f>NSG_Supplies!H8/1000</f>
        <v>0</v>
      </c>
      <c r="F22" s="851">
        <f>NSG_Supplies!H9/1000</f>
        <v>0</v>
      </c>
      <c r="G22" s="851">
        <f>NSG_Supplies!H10/1000</f>
        <v>0</v>
      </c>
      <c r="H22" s="851">
        <f>NSG_Supplies!H11/1000</f>
        <v>0</v>
      </c>
      <c r="I22" s="852">
        <f>NSG_Supplies!H12/1000</f>
        <v>0</v>
      </c>
      <c r="J22" s="112"/>
    </row>
    <row r="23" spans="1:10" ht="20.100000000000001" customHeight="1">
      <c r="A23" s="850"/>
      <c r="B23" s="841" t="s">
        <v>143</v>
      </c>
      <c r="C23" s="841" t="s">
        <v>154</v>
      </c>
      <c r="D23" s="851">
        <f>NSG_Supplies!L7/1000</f>
        <v>50</v>
      </c>
      <c r="E23" s="851">
        <f>NSG_Supplies!L8/1000</f>
        <v>50</v>
      </c>
      <c r="F23" s="851">
        <f>NSG_Supplies!L9/1000</f>
        <v>40</v>
      </c>
      <c r="G23" s="851">
        <f>NSG_Supplies!L10/1000</f>
        <v>20</v>
      </c>
      <c r="H23" s="851">
        <f>NSG_Supplies!L11/1000</f>
        <v>20</v>
      </c>
      <c r="I23" s="852">
        <f>NSG_Supplies!L12/1000</f>
        <v>20</v>
      </c>
      <c r="J23" s="112"/>
    </row>
    <row r="24" spans="1:10" ht="20.100000000000001" customHeight="1">
      <c r="A24" s="850"/>
      <c r="B24" s="841"/>
      <c r="C24" s="841" t="s">
        <v>10</v>
      </c>
      <c r="D24" s="851">
        <f>NSG_Supplies!E7/1000</f>
        <v>0</v>
      </c>
      <c r="E24" s="851">
        <f>NSG_Supplies!E8/1000</f>
        <v>0</v>
      </c>
      <c r="F24" s="851">
        <f>NSG_Supplies!E9/1000</f>
        <v>0</v>
      </c>
      <c r="G24" s="851">
        <f>NSG_Supplies!E10/1000</f>
        <v>0</v>
      </c>
      <c r="H24" s="851">
        <f>NSG_Supplies!E11/1000</f>
        <v>0</v>
      </c>
      <c r="I24" s="856">
        <f>NSG_Supplies!E12/1000</f>
        <v>0</v>
      </c>
      <c r="J24" s="113"/>
    </row>
    <row r="25" spans="1:10" ht="20.100000000000001" customHeight="1">
      <c r="A25" s="850"/>
      <c r="B25" s="841" t="s">
        <v>141</v>
      </c>
      <c r="C25" s="855" t="s">
        <v>90</v>
      </c>
      <c r="D25" s="851">
        <f>NSG_Supplies!F7/1000</f>
        <v>0</v>
      </c>
      <c r="E25" s="851">
        <f>NSG_Supplies!F8/1000</f>
        <v>0</v>
      </c>
      <c r="F25" s="851">
        <f>NSG_Supplies!F9/1000</f>
        <v>0</v>
      </c>
      <c r="G25" s="851">
        <f>NSG_Supplies!F10/1000</f>
        <v>0</v>
      </c>
      <c r="H25" s="851">
        <f>NSG_Supplies!F11/1000</f>
        <v>0</v>
      </c>
      <c r="I25" s="856">
        <f>NSG_Supplies!F12/1000</f>
        <v>0</v>
      </c>
      <c r="J25" s="113"/>
    </row>
    <row r="26" spans="1:10" ht="20.100000000000001" customHeight="1">
      <c r="A26" s="850"/>
      <c r="B26" s="841" t="s">
        <v>83</v>
      </c>
      <c r="C26" s="841" t="s">
        <v>782</v>
      </c>
      <c r="D26" s="851">
        <f>NSG_Supplies!U7/1000</f>
        <v>0</v>
      </c>
      <c r="E26" s="851">
        <f>NSG_Supplies!U8/1000</f>
        <v>0</v>
      </c>
      <c r="F26" s="851">
        <f>NSG_Supplies!U9/1000</f>
        <v>0</v>
      </c>
      <c r="G26" s="851">
        <f>NSG_Supplies!U10/1000</f>
        <v>0</v>
      </c>
      <c r="H26" s="851">
        <f>NSG_Supplies!U11/1000</f>
        <v>0</v>
      </c>
      <c r="I26" s="856">
        <f>NSG_Supplies!U12/1000</f>
        <v>0</v>
      </c>
      <c r="J26" s="113"/>
    </row>
    <row r="27" spans="1:10" ht="20.100000000000001" customHeight="1">
      <c r="A27" s="853" t="s">
        <v>167</v>
      </c>
      <c r="B27" s="857" t="s">
        <v>143</v>
      </c>
      <c r="C27" s="857"/>
      <c r="D27" s="851">
        <f>(PGL_Requirements!$V$7+PGL_Requirements!$W$7+PGL_Requirements!$X$7)/1000</f>
        <v>0</v>
      </c>
      <c r="E27" s="851">
        <f>(PGL_Requirements!$V$8+PGL_Requirements!$W$8+PGL_Requirements!$X$8)/1000</f>
        <v>0</v>
      </c>
      <c r="F27" s="851">
        <f>(PGL_Requirements!$V$9+PGL_Requirements!$W$9+PGL_Requirements!$X$9)/1000</f>
        <v>0</v>
      </c>
      <c r="G27" s="851">
        <f>(PGL_Requirements!$V$10+PGL_Requirements!$W$10+PGL_Requirements!$X$10)/1000</f>
        <v>0</v>
      </c>
      <c r="H27" s="851">
        <f>(PGL_Requirements!$V$11+PGL_Requirements!$W$11+PGL_Requirements!$X$11)/1000</f>
        <v>0</v>
      </c>
      <c r="I27" s="852">
        <f>(PGL_Requirements!$V$12+PGL_Requirements!$W$12+PGL_Requirements!$X$12)/1000</f>
        <v>0</v>
      </c>
      <c r="J27" s="112"/>
    </row>
    <row r="28" spans="1:10" ht="20.100000000000001" customHeight="1">
      <c r="A28" s="850"/>
      <c r="B28" s="857" t="s">
        <v>141</v>
      </c>
      <c r="C28" s="857"/>
      <c r="D28" s="851">
        <f>(PGL_Requirements!$Y$7+PGL_Requirements!$AA$7+PGL_Requirements!$Z$7+PGL_Requirements!$AB$7)/1000</f>
        <v>0</v>
      </c>
      <c r="E28" s="851">
        <f>(PGL_Requirements!$Y$8+PGL_Requirements!$AA$8+PGL_Requirements!$Z$8+PGL_Requirements!$AB$8)/1000</f>
        <v>0</v>
      </c>
      <c r="F28" s="851">
        <f>(PGL_Requirements!$Y$9+PGL_Requirements!$AA$9+PGL_Requirements!$Z$9+PGL_Requirements!$AB$9)/1000</f>
        <v>0</v>
      </c>
      <c r="G28" s="851">
        <f>(PGL_Requirements!$Y$10+PGL_Requirements!$AA$10+PGL_Requirements!$Z$10+PGL_Requirements!$AB$10)/1000</f>
        <v>0</v>
      </c>
      <c r="H28" s="851">
        <f>(PGL_Requirements!$Y$11+PGL_Requirements!$AA$11+PGL_Requirements!$Z$11+PGL_Requirements!$AB$11)/1000</f>
        <v>0</v>
      </c>
      <c r="I28" s="852">
        <f>(PGL_Requirements!$Y$12+PGL_Requirements!$AA$12+PGL_Requirements!$Z$12+PGL_Requirements!$AB$12)/1000</f>
        <v>0</v>
      </c>
      <c r="J28" s="112"/>
    </row>
    <row r="29" spans="1:10" ht="20.100000000000001" customHeight="1">
      <c r="A29" s="850"/>
      <c r="B29" s="857" t="s">
        <v>147</v>
      </c>
      <c r="C29" s="841"/>
      <c r="D29" s="851">
        <f>(PGL_Requirements!$AC$7+PGL_Requirements!$AD$7+PGL_Requirements!$AE$7)/1000</f>
        <v>0</v>
      </c>
      <c r="E29" s="851">
        <f>(PGL_Requirements!$AC$8+PGL_Requirements!$AD$8+PGL_Requirements!$AE$8)/1000</f>
        <v>0</v>
      </c>
      <c r="F29" s="851">
        <f>(PGL_Requirements!$AC$9+PGL_Requirements!$AD$9+PGL_Requirements!$AE$9)/1000</f>
        <v>0</v>
      </c>
      <c r="G29" s="851">
        <f>(PGL_Requirements!$AC$10+PGL_Requirements!$AD$10+PGL_Requirements!$AE$10)/1000</f>
        <v>0</v>
      </c>
      <c r="H29" s="851">
        <f>(PGL_Requirements!$AC$11+PGL_Requirements!$AD$11+PGL_Requirements!$AE$11)/1000</f>
        <v>0</v>
      </c>
      <c r="I29" s="852">
        <f>(PGL_Requirements!$AC$12+PGL_Requirements!$AD$12+PGL_Requirements!$AE$12)/1000</f>
        <v>0</v>
      </c>
      <c r="J29" s="112"/>
    </row>
    <row r="30" spans="1:10" ht="20.100000000000001" customHeight="1">
      <c r="A30" s="850"/>
      <c r="B30" s="841" t="s">
        <v>421</v>
      </c>
      <c r="C30" s="841"/>
      <c r="D30" s="851">
        <v>0</v>
      </c>
      <c r="E30" s="851">
        <v>0</v>
      </c>
      <c r="F30" s="851">
        <v>0</v>
      </c>
      <c r="G30" s="851">
        <v>0</v>
      </c>
      <c r="H30" s="851">
        <v>0</v>
      </c>
      <c r="I30" s="852">
        <v>0</v>
      </c>
      <c r="J30" s="112"/>
    </row>
    <row r="31" spans="1:10" ht="20.100000000000001" customHeight="1">
      <c r="A31" s="850" t="s">
        <v>168</v>
      </c>
      <c r="B31" s="841" t="s">
        <v>143</v>
      </c>
      <c r="C31" s="841" t="s">
        <v>169</v>
      </c>
      <c r="D31" s="851">
        <f>NSG_Supplies!P7/1000</f>
        <v>0</v>
      </c>
      <c r="E31" s="851">
        <f>NSG_Supplies!P8/1000</f>
        <v>0</v>
      </c>
      <c r="F31" s="851">
        <f>NSG_Supplies!P9/1000</f>
        <v>0</v>
      </c>
      <c r="G31" s="851">
        <f>NSG_Supplies!P10/1000</f>
        <v>0</v>
      </c>
      <c r="H31" s="851">
        <f>NSG_Supplies!P11/1000</f>
        <v>0</v>
      </c>
      <c r="I31" s="852">
        <f>NSG_Supplies!P12/1000</f>
        <v>0</v>
      </c>
      <c r="J31" s="112"/>
    </row>
    <row r="32" spans="1:10" ht="20.100000000000001" customHeight="1">
      <c r="A32" s="850"/>
      <c r="B32" s="841" t="s">
        <v>141</v>
      </c>
      <c r="C32" s="1172" t="s">
        <v>783</v>
      </c>
      <c r="D32" s="851">
        <f>NSG_Supplies!R7/1000</f>
        <v>103.63200000000001</v>
      </c>
      <c r="E32" s="851">
        <f>NSG_Supplies!R8/1000</f>
        <v>103.657</v>
      </c>
      <c r="F32" s="851">
        <f>NSG_Supplies!R9/1000</f>
        <v>103.657</v>
      </c>
      <c r="G32" s="851">
        <f>NSG_Supplies!R10/1000</f>
        <v>103.657</v>
      </c>
      <c r="H32" s="851">
        <f>NSG_Supplies!R11/1000</f>
        <v>103.657</v>
      </c>
      <c r="I32" s="852">
        <f>NSG_Supplies!R12/1000</f>
        <v>103.657</v>
      </c>
      <c r="J32" s="112"/>
    </row>
    <row r="33" spans="1:13" ht="20.100000000000001" customHeight="1">
      <c r="A33" s="850"/>
      <c r="B33" s="841" t="s">
        <v>143</v>
      </c>
      <c r="C33" s="841" t="s">
        <v>646</v>
      </c>
      <c r="D33" s="851">
        <f>NSG_Supplies!Q7/1000</f>
        <v>20</v>
      </c>
      <c r="E33" s="851">
        <f>NSG_Supplies!Q8/1000</f>
        <v>20</v>
      </c>
      <c r="F33" s="851">
        <f>NSG_Supplies!Q9/1000</f>
        <v>20</v>
      </c>
      <c r="G33" s="851">
        <f>NSG_Supplies!Q10/1000</f>
        <v>20</v>
      </c>
      <c r="H33" s="851">
        <f>NSG_Supplies!Q11/1000</f>
        <v>20</v>
      </c>
      <c r="I33" s="852">
        <f>NSG_Supplies!Q12/1000</f>
        <v>20</v>
      </c>
      <c r="J33" s="112"/>
    </row>
    <row r="34" spans="1:13" ht="20.100000000000001" customHeight="1">
      <c r="A34" s="850" t="s">
        <v>160</v>
      </c>
      <c r="B34" s="841" t="s">
        <v>147</v>
      </c>
      <c r="C34" s="841" t="s">
        <v>170</v>
      </c>
      <c r="D34" s="851">
        <f>NSG_Supplies!O7/1000</f>
        <v>0</v>
      </c>
      <c r="E34" s="851">
        <f>NSG_Supplies!O8/1000</f>
        <v>0</v>
      </c>
      <c r="F34" s="851">
        <f>NSG_Supplies!O9/1000</f>
        <v>0</v>
      </c>
      <c r="G34" s="851">
        <f>NSG_Supplies!O10/1000</f>
        <v>0</v>
      </c>
      <c r="H34" s="851">
        <f>NSG_Supplies!O11/1000</f>
        <v>0</v>
      </c>
      <c r="I34" s="856">
        <f>NSG_Supplies!O12/1000</f>
        <v>0</v>
      </c>
      <c r="J34" s="112"/>
    </row>
    <row r="35" spans="1:13" ht="20.100000000000001" customHeight="1">
      <c r="A35" s="850"/>
      <c r="B35" s="841" t="s">
        <v>421</v>
      </c>
      <c r="C35" s="855" t="s">
        <v>529</v>
      </c>
      <c r="D35" s="851">
        <f>NSG_Supplies!N7/1000</f>
        <v>0</v>
      </c>
      <c r="E35" s="851">
        <f>NSG_Supplies!N8/1000</f>
        <v>0</v>
      </c>
      <c r="F35" s="851">
        <f>NSG_Supplies!N9/1000</f>
        <v>0</v>
      </c>
      <c r="G35" s="851">
        <f>NSG_Supplies!N10/1000</f>
        <v>0</v>
      </c>
      <c r="H35" s="851">
        <f>NSG_Supplies!N11/1000</f>
        <v>0</v>
      </c>
      <c r="I35" s="856">
        <f>NSG_Supplies!N12/1000</f>
        <v>0</v>
      </c>
      <c r="J35" s="112"/>
    </row>
    <row r="36" spans="1:13" ht="20.100000000000001" customHeight="1">
      <c r="A36" s="868"/>
      <c r="B36" s="869" t="s">
        <v>406</v>
      </c>
      <c r="C36" s="869"/>
      <c r="D36" s="884">
        <f>NSG_Supplies!B7/1000</f>
        <v>0</v>
      </c>
      <c r="E36" s="884">
        <f>NSG_Supplies!B8/1000</f>
        <v>0</v>
      </c>
      <c r="F36" s="884">
        <f>NSG_Supplies!B9/1000</f>
        <v>0</v>
      </c>
      <c r="G36" s="884">
        <f>NSG_Supplies!B10/1000</f>
        <v>0</v>
      </c>
      <c r="H36" s="884">
        <f>NSG_Supplies!B11/1000</f>
        <v>0</v>
      </c>
      <c r="I36" s="870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71" t="s">
        <v>160</v>
      </c>
      <c r="B37" s="872"/>
      <c r="C37" s="872"/>
      <c r="D37" s="891">
        <f t="shared" ref="D37:I37" si="2">SUM(D22:D36)</f>
        <v>173.63200000000001</v>
      </c>
      <c r="E37" s="891">
        <f t="shared" si="2"/>
        <v>173.65699999999998</v>
      </c>
      <c r="F37" s="891">
        <f t="shared" si="2"/>
        <v>163.65699999999998</v>
      </c>
      <c r="G37" s="891">
        <f t="shared" si="2"/>
        <v>143.65699999999998</v>
      </c>
      <c r="H37" s="891">
        <f t="shared" si="2"/>
        <v>143.65699999999998</v>
      </c>
      <c r="I37" s="892">
        <f t="shared" si="2"/>
        <v>143.65699999999998</v>
      </c>
      <c r="J37" s="112"/>
      <c r="K37" s="113"/>
      <c r="L37" s="95"/>
      <c r="M37" s="113"/>
    </row>
    <row r="38" spans="1:13" ht="20.100000000000001" customHeight="1">
      <c r="A38" s="893" t="s">
        <v>161</v>
      </c>
      <c r="B38" s="894"/>
      <c r="C38" s="894"/>
      <c r="D38" s="895">
        <f t="shared" ref="D38:I38" ca="1" si="3">IF(D37-D19&lt;0,0,D37-D19)</f>
        <v>0</v>
      </c>
      <c r="E38" s="895">
        <f t="shared" ca="1" si="3"/>
        <v>0</v>
      </c>
      <c r="F38" s="895">
        <f t="shared" ca="1" si="3"/>
        <v>0</v>
      </c>
      <c r="G38" s="895">
        <f t="shared" ca="1" si="3"/>
        <v>5.6569999999999823</v>
      </c>
      <c r="H38" s="895">
        <f t="shared" ca="1" si="3"/>
        <v>12.656999999999982</v>
      </c>
      <c r="I38" s="896">
        <f t="shared" ca="1" si="3"/>
        <v>27.656999999999982</v>
      </c>
      <c r="J38" s="112"/>
      <c r="K38" s="113"/>
      <c r="L38" s="95"/>
      <c r="M38" s="113"/>
    </row>
    <row r="39" spans="1:13" ht="20.100000000000001" customHeight="1" thickBot="1">
      <c r="A39" s="897" t="s">
        <v>162</v>
      </c>
      <c r="B39" s="876"/>
      <c r="C39" s="876"/>
      <c r="D39" s="877">
        <f t="shared" ref="D39:I39" ca="1" si="4">IF(D19-D37&lt;0,0,D19-D37)</f>
        <v>3.9110000000000014</v>
      </c>
      <c r="E39" s="877">
        <f t="shared" ca="1" si="4"/>
        <v>3.0000000000143245E-3</v>
      </c>
      <c r="F39" s="877">
        <f t="shared" ca="1" si="4"/>
        <v>1.3430000000000177</v>
      </c>
      <c r="G39" s="877">
        <f t="shared" ca="1" si="4"/>
        <v>0</v>
      </c>
      <c r="H39" s="877">
        <f t="shared" ca="1" si="4"/>
        <v>0</v>
      </c>
      <c r="I39" s="878">
        <f t="shared" ca="1" si="4"/>
        <v>0</v>
      </c>
      <c r="J39" s="112"/>
      <c r="K39" s="113"/>
      <c r="L39" s="113"/>
      <c r="M39" s="113"/>
    </row>
    <row r="40" spans="1:13" ht="20.100000000000001" customHeight="1" thickTop="1" thickBot="1">
      <c r="A40" s="1173" t="s">
        <v>784</v>
      </c>
      <c r="B40" s="1174"/>
      <c r="C40" s="1174"/>
      <c r="D40" s="1175">
        <f>NSG_Supplies!S7/1000</f>
        <v>33.622999999999998</v>
      </c>
      <c r="E40" s="1175">
        <f>NSG_Supplies!S8/1000</f>
        <v>33.648000000000003</v>
      </c>
      <c r="F40" s="1175">
        <f>NSG_Supplies!S9/1000</f>
        <v>33.648000000000003</v>
      </c>
      <c r="G40" s="1175">
        <f>NSG_Supplies!S10/1000</f>
        <v>33.648000000000003</v>
      </c>
      <c r="H40" s="1175">
        <f>NSG_Supplies!S11/1000</f>
        <v>33.648000000000003</v>
      </c>
      <c r="I40" s="1176">
        <f>NSG_Supplies!S12/1000</f>
        <v>33.648000000000003</v>
      </c>
    </row>
    <row r="41" spans="1:13" ht="20.100000000000001" customHeight="1" thickTop="1" thickBot="1">
      <c r="A41" s="899"/>
      <c r="B41" s="899"/>
      <c r="C41" s="899"/>
      <c r="D41" s="899"/>
      <c r="E41" s="899"/>
      <c r="F41" s="899"/>
      <c r="G41" s="898"/>
      <c r="H41" s="898"/>
      <c r="I41" s="898"/>
    </row>
    <row r="42" spans="1:13" ht="20.100000000000001" customHeight="1" thickTop="1" thickBot="1">
      <c r="A42" s="900" t="s">
        <v>171</v>
      </c>
      <c r="B42" s="901"/>
      <c r="C42" s="901"/>
      <c r="D42" s="902">
        <f>Weather_Input!D5</f>
        <v>12.5</v>
      </c>
      <c r="E42" s="902">
        <f>Weather_Input!D6</f>
        <v>13</v>
      </c>
      <c r="F42" s="902">
        <f>Weather_Input!D7</f>
        <v>8</v>
      </c>
      <c r="G42" s="903"/>
      <c r="H42" s="898"/>
      <c r="I42" s="898"/>
    </row>
    <row r="43" spans="1:13" ht="15.75" thickTop="1">
      <c r="D43" s="114" t="s">
        <v>172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6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71"/>
  <sheetViews>
    <sheetView zoomScale="75" workbookViewId="0"/>
  </sheetViews>
  <sheetFormatPr defaultColWidth="8.88671875" defaultRowHeight="15"/>
  <cols>
    <col min="1" max="1" width="22.77734375" customWidth="1"/>
    <col min="2" max="9" width="10.77734375" customWidth="1"/>
  </cols>
  <sheetData>
    <row r="1" spans="1:9" ht="18.75" thickTop="1">
      <c r="A1" s="588" t="s">
        <v>11</v>
      </c>
      <c r="B1" s="589"/>
      <c r="C1" s="589"/>
      <c r="D1" s="589"/>
      <c r="E1" s="590" t="s">
        <v>173</v>
      </c>
      <c r="F1" s="591">
        <f>Weather_Input!A5</f>
        <v>36957</v>
      </c>
      <c r="G1" s="771" t="str">
        <f>CHOOSE(WEEKDAY(F1),"SUN","MON","TUE","WED","THU","FRI","SAT")</f>
        <v>WED</v>
      </c>
      <c r="H1" s="593" t="s">
        <v>258</v>
      </c>
      <c r="I1" s="594"/>
    </row>
    <row r="2" spans="1:9" ht="15.75">
      <c r="A2" s="258" t="s">
        <v>11</v>
      </c>
      <c r="B2" s="610" t="s">
        <v>697</v>
      </c>
      <c r="C2" s="963" t="s">
        <v>11</v>
      </c>
      <c r="D2" s="602" t="s">
        <v>562</v>
      </c>
      <c r="E2" s="609"/>
      <c r="F2" s="607" t="s">
        <v>563</v>
      </c>
      <c r="G2" s="608" t="s">
        <v>11</v>
      </c>
      <c r="H2" s="606" t="s">
        <v>174</v>
      </c>
      <c r="I2" s="260"/>
    </row>
    <row r="3" spans="1:9">
      <c r="A3" s="788" t="s">
        <v>540</v>
      </c>
      <c r="B3" s="601" t="s">
        <v>414</v>
      </c>
      <c r="C3" s="259" t="s">
        <v>11</v>
      </c>
      <c r="D3" s="601" t="s">
        <v>23</v>
      </c>
      <c r="E3" s="261" t="s">
        <v>176</v>
      </c>
      <c r="F3" s="604" t="s">
        <v>23</v>
      </c>
      <c r="G3" s="261" t="s">
        <v>176</v>
      </c>
      <c r="H3" s="601" t="s">
        <v>23</v>
      </c>
      <c r="I3" s="495" t="s">
        <v>176</v>
      </c>
    </row>
    <row r="4" spans="1:9" ht="15.75">
      <c r="A4" s="258" t="s">
        <v>11</v>
      </c>
      <c r="B4" s="964">
        <f>Weather_Input!B5</f>
        <v>44</v>
      </c>
      <c r="C4" s="965">
        <f>Weather_Input!C5</f>
        <v>30</v>
      </c>
      <c r="D4" s="603"/>
      <c r="E4" s="603"/>
      <c r="F4" s="605" t="s">
        <v>11</v>
      </c>
      <c r="G4" s="269" t="s">
        <v>11</v>
      </c>
      <c r="H4" s="269"/>
      <c r="I4" s="267"/>
    </row>
    <row r="5" spans="1:9" ht="15.75">
      <c r="A5" s="258" t="s">
        <v>636</v>
      </c>
      <c r="B5" s="966"/>
      <c r="C5" s="967">
        <f>PGL_Requirements!H7/1000</f>
        <v>0</v>
      </c>
      <c r="D5" s="621"/>
      <c r="E5" s="302"/>
      <c r="F5" s="621"/>
      <c r="G5" s="608"/>
      <c r="H5" s="302"/>
      <c r="I5" s="296"/>
    </row>
    <row r="6" spans="1:9" ht="15.75">
      <c r="A6" s="262" t="s">
        <v>424</v>
      </c>
      <c r="B6" s="1165" t="s">
        <v>11</v>
      </c>
      <c r="C6" s="968">
        <f>PGL_Deliveries!C5/1000</f>
        <v>955</v>
      </c>
      <c r="D6" s="1165" t="s">
        <v>11</v>
      </c>
      <c r="E6" s="269"/>
      <c r="F6" s="603"/>
      <c r="G6" s="269"/>
      <c r="H6" s="603"/>
      <c r="I6" s="267"/>
    </row>
    <row r="7" spans="1:9" ht="15.75" thickBot="1">
      <c r="A7" s="249" t="s">
        <v>778</v>
      </c>
      <c r="B7" s="1166"/>
      <c r="C7" s="1138">
        <f>PGL_Requirements!I7/1000</f>
        <v>0</v>
      </c>
      <c r="D7" s="122"/>
      <c r="E7" s="122"/>
      <c r="F7" s="1166"/>
      <c r="G7" s="1167"/>
      <c r="H7" s="122"/>
      <c r="I7" s="118"/>
    </row>
    <row r="8" spans="1:9" ht="16.5" thickBot="1">
      <c r="A8" s="497"/>
      <c r="B8" s="498" t="s">
        <v>11</v>
      </c>
      <c r="C8" s="498" t="s">
        <v>11</v>
      </c>
      <c r="D8" s="499"/>
      <c r="E8" s="499"/>
      <c r="F8" s="499"/>
      <c r="G8" s="499"/>
      <c r="H8" s="499"/>
      <c r="I8" s="500"/>
    </row>
    <row r="9" spans="1:9">
      <c r="A9" s="494" t="s">
        <v>566</v>
      </c>
      <c r="B9" s="293" t="s">
        <v>11</v>
      </c>
      <c r="C9" s="615">
        <f>I53</f>
        <v>0</v>
      </c>
      <c r="D9" s="620"/>
      <c r="E9" s="269"/>
      <c r="F9" s="620"/>
      <c r="G9" s="269"/>
      <c r="H9" s="620"/>
      <c r="I9" s="267" t="s">
        <v>11</v>
      </c>
    </row>
    <row r="10" spans="1:9">
      <c r="A10" s="249" t="s">
        <v>752</v>
      </c>
      <c r="B10" s="1117"/>
      <c r="C10" s="1134">
        <f>+B34</f>
        <v>257.91199999999998</v>
      </c>
      <c r="D10" s="1117"/>
      <c r="E10" s="434"/>
      <c r="F10" s="1117"/>
      <c r="G10" s="1121"/>
      <c r="H10" s="434"/>
      <c r="I10" s="285" t="s">
        <v>11</v>
      </c>
    </row>
    <row r="11" spans="1:9">
      <c r="A11" s="494" t="s">
        <v>567</v>
      </c>
      <c r="B11" s="282" t="s">
        <v>11</v>
      </c>
      <c r="C11" s="615">
        <f>B41</f>
        <v>70</v>
      </c>
      <c r="D11" s="603"/>
      <c r="E11" s="615" t="s">
        <v>11</v>
      </c>
      <c r="F11" s="603"/>
      <c r="G11" s="615" t="s">
        <v>11</v>
      </c>
      <c r="H11" s="603"/>
      <c r="I11" s="285" t="s">
        <v>11</v>
      </c>
    </row>
    <row r="12" spans="1:9">
      <c r="A12" s="494" t="s">
        <v>568</v>
      </c>
      <c r="B12" s="282" t="s">
        <v>11</v>
      </c>
      <c r="C12" s="615">
        <f>B55</f>
        <v>2.4219999999999997</v>
      </c>
      <c r="D12" s="603"/>
      <c r="E12" s="269"/>
      <c r="F12" s="603"/>
      <c r="G12" s="269" t="s">
        <v>11</v>
      </c>
      <c r="H12" s="603"/>
      <c r="I12" s="267"/>
    </row>
    <row r="13" spans="1:9">
      <c r="A13" s="494" t="s">
        <v>569</v>
      </c>
      <c r="B13" s="282" t="s">
        <v>11</v>
      </c>
      <c r="C13" s="615">
        <f>B47</f>
        <v>136.73500000000001</v>
      </c>
      <c r="D13" s="621"/>
      <c r="E13" s="269"/>
      <c r="F13" s="603"/>
      <c r="G13" s="269" t="s">
        <v>11</v>
      </c>
      <c r="H13" s="603"/>
      <c r="I13" s="267"/>
    </row>
    <row r="14" spans="1:9">
      <c r="A14" s="494" t="s">
        <v>570</v>
      </c>
      <c r="B14" s="286" t="s">
        <v>11</v>
      </c>
      <c r="C14" s="615">
        <f>I60</f>
        <v>261.98899999999998</v>
      </c>
      <c r="D14" s="603"/>
      <c r="E14" s="269"/>
      <c r="F14" s="603"/>
      <c r="G14" s="269" t="s">
        <v>11</v>
      </c>
      <c r="H14" s="603"/>
      <c r="I14" s="267"/>
    </row>
    <row r="15" spans="1:9">
      <c r="A15" s="494" t="s">
        <v>427</v>
      </c>
      <c r="B15" s="282" t="s">
        <v>11</v>
      </c>
      <c r="C15" s="969">
        <f>PGL_Supplies!I7/1000</f>
        <v>4.4610000000000003</v>
      </c>
      <c r="D15" s="603" t="s">
        <v>11</v>
      </c>
      <c r="E15" s="269"/>
      <c r="F15" s="603"/>
      <c r="G15" s="269" t="s">
        <v>11</v>
      </c>
      <c r="H15" s="603"/>
      <c r="I15" s="267"/>
    </row>
    <row r="16" spans="1:9">
      <c r="A16" s="494" t="s">
        <v>571</v>
      </c>
      <c r="B16" s="282" t="s">
        <v>172</v>
      </c>
      <c r="C16" s="615">
        <f>+B63</f>
        <v>101.2</v>
      </c>
      <c r="D16" s="603"/>
      <c r="E16" s="269"/>
      <c r="F16" s="603"/>
      <c r="G16" s="269" t="s">
        <v>11</v>
      </c>
      <c r="H16" s="603"/>
      <c r="I16" s="267"/>
    </row>
    <row r="17" spans="1:12" ht="15" customHeight="1">
      <c r="A17" s="494" t="s">
        <v>572</v>
      </c>
      <c r="B17" s="282" t="s">
        <v>172</v>
      </c>
      <c r="C17" s="969">
        <f>PGL_Supplies!B7/1000</f>
        <v>0</v>
      </c>
      <c r="D17" s="621"/>
      <c r="E17" s="269"/>
      <c r="F17" s="603"/>
      <c r="G17" s="269" t="s">
        <v>11</v>
      </c>
      <c r="H17" s="603"/>
      <c r="I17" s="267"/>
    </row>
    <row r="18" spans="1:12" ht="15.75" thickBot="1">
      <c r="A18" s="292" t="s">
        <v>573</v>
      </c>
      <c r="B18" s="616" t="s">
        <v>11</v>
      </c>
      <c r="C18" s="1138">
        <f>PGL_Requirements!G7/1000</f>
        <v>72.634</v>
      </c>
      <c r="D18" s="602"/>
      <c r="E18" s="269"/>
      <c r="F18" s="603"/>
      <c r="G18" s="269"/>
      <c r="H18" s="603"/>
      <c r="I18" s="267"/>
    </row>
    <row r="19" spans="1:12" ht="16.5" thickBot="1">
      <c r="A19" s="617" t="s">
        <v>706</v>
      </c>
      <c r="B19" s="618" t="s">
        <v>11</v>
      </c>
      <c r="C19" s="512">
        <f>SUM(C9:C17)-C18</f>
        <v>762.08500000000004</v>
      </c>
      <c r="D19" s="622" t="s">
        <v>11</v>
      </c>
      <c r="E19" s="619" t="s">
        <v>11</v>
      </c>
      <c r="F19" s="622" t="s">
        <v>11</v>
      </c>
      <c r="G19" s="512" t="s">
        <v>11</v>
      </c>
      <c r="H19" s="622" t="s">
        <v>11</v>
      </c>
      <c r="I19" s="623"/>
    </row>
    <row r="20" spans="1:12" ht="16.5" thickBot="1">
      <c r="A20" s="505" t="s">
        <v>38</v>
      </c>
      <c r="B20" s="506" t="s">
        <v>11</v>
      </c>
      <c r="C20" s="970"/>
      <c r="D20" s="508"/>
      <c r="E20" s="510"/>
      <c r="F20" s="508"/>
      <c r="G20" s="508" t="s">
        <v>651</v>
      </c>
      <c r="H20" s="508"/>
      <c r="I20" s="971"/>
    </row>
    <row r="21" spans="1:12">
      <c r="A21" s="494" t="s">
        <v>637</v>
      </c>
      <c r="B21" s="282" t="s">
        <v>11</v>
      </c>
      <c r="C21" s="972">
        <f>-PGL_Supplies!J7/1000</f>
        <v>0</v>
      </c>
      <c r="D21" s="266"/>
      <c r="E21" s="269"/>
      <c r="F21" s="266"/>
      <c r="G21" s="269"/>
      <c r="H21" s="266"/>
      <c r="I21" s="260"/>
    </row>
    <row r="22" spans="1:12">
      <c r="A22" s="494" t="s">
        <v>430</v>
      </c>
      <c r="B22" s="282" t="s">
        <v>11</v>
      </c>
      <c r="C22" s="615">
        <f>C6+C7-C19</f>
        <v>192.91499999999996</v>
      </c>
      <c r="D22" s="266"/>
      <c r="E22" s="269"/>
      <c r="F22" s="266"/>
      <c r="G22" s="615" t="s">
        <v>11</v>
      </c>
      <c r="H22" s="266"/>
      <c r="I22" s="296"/>
    </row>
    <row r="23" spans="1:12" ht="18" customHeight="1">
      <c r="A23" s="637" t="s">
        <v>431</v>
      </c>
      <c r="B23" s="282" t="s">
        <v>11</v>
      </c>
      <c r="C23" s="615"/>
      <c r="D23" s="266"/>
      <c r="E23" s="269"/>
      <c r="F23" s="297" t="s">
        <v>11</v>
      </c>
      <c r="G23" s="973"/>
      <c r="H23" s="297" t="s">
        <v>11</v>
      </c>
      <c r="I23" s="260"/>
    </row>
    <row r="24" spans="1:12" ht="16.5" thickBot="1">
      <c r="A24" s="494" t="s">
        <v>432</v>
      </c>
      <c r="B24" s="974" t="s">
        <v>11</v>
      </c>
      <c r="C24" s="975">
        <f>+B56</f>
        <v>0</v>
      </c>
      <c r="D24" s="259"/>
      <c r="E24" s="271"/>
      <c r="F24" s="976"/>
      <c r="G24" s="271"/>
      <c r="H24" s="977" t="s">
        <v>11</v>
      </c>
      <c r="I24" s="978" t="s">
        <v>11</v>
      </c>
      <c r="K24" t="s">
        <v>11</v>
      </c>
    </row>
    <row r="25" spans="1:12" ht="17.25" thickTop="1" thickBot="1">
      <c r="A25" s="638" t="s">
        <v>433</v>
      </c>
      <c r="B25" s="979" t="s">
        <v>11</v>
      </c>
      <c r="C25" s="980">
        <f>SUM(C22:C24)</f>
        <v>192.91499999999996</v>
      </c>
      <c r="D25" s="979" t="str">
        <f>B25</f>
        <v xml:space="preserve"> </v>
      </c>
      <c r="E25" s="980" t="s">
        <v>11</v>
      </c>
      <c r="F25" s="979" t="s">
        <v>11</v>
      </c>
      <c r="G25" s="980" t="s">
        <v>11</v>
      </c>
      <c r="H25" s="981" t="s">
        <v>11</v>
      </c>
      <c r="I25" s="982" t="s">
        <v>11</v>
      </c>
    </row>
    <row r="26" spans="1:12" ht="15.75" thickTop="1">
      <c r="A26" s="332" t="s">
        <v>743</v>
      </c>
      <c r="B26" s="983"/>
      <c r="C26" s="972">
        <f>SUM(-PGL_Supplies!M7/1000)</f>
        <v>-1.1299999999999999</v>
      </c>
      <c r="D26" s="1106" t="s">
        <v>11</v>
      </c>
      <c r="E26" s="1105" t="s">
        <v>11</v>
      </c>
      <c r="F26" s="1107"/>
      <c r="G26" s="1108"/>
      <c r="H26" s="515"/>
      <c r="I26" s="988"/>
    </row>
    <row r="27" spans="1:12" ht="15" customHeight="1">
      <c r="A27" s="494" t="s">
        <v>441</v>
      </c>
      <c r="B27" s="989"/>
      <c r="C27" s="990">
        <f>PGL_Requirements!O7/1000</f>
        <v>77.366</v>
      </c>
      <c r="D27" s="984" t="s">
        <v>11</v>
      </c>
      <c r="E27" s="967" t="s">
        <v>11</v>
      </c>
      <c r="F27" s="307"/>
      <c r="G27" s="967" t="s">
        <v>11</v>
      </c>
      <c r="H27" s="515"/>
      <c r="I27" s="985" t="s">
        <v>11</v>
      </c>
      <c r="L27" s="122"/>
    </row>
    <row r="28" spans="1:12">
      <c r="A28" s="494" t="s">
        <v>442</v>
      </c>
      <c r="B28" s="991"/>
      <c r="C28" s="986">
        <f>-PGL_Supplies!L7/1000</f>
        <v>0</v>
      </c>
      <c r="D28" s="987" t="s">
        <v>11</v>
      </c>
      <c r="E28" s="986" t="s">
        <v>11</v>
      </c>
      <c r="F28" s="307"/>
      <c r="G28" s="986" t="s">
        <v>11</v>
      </c>
      <c r="H28" s="515"/>
      <c r="I28" s="992" t="s">
        <v>11</v>
      </c>
      <c r="L28" s="1104"/>
    </row>
    <row r="29" spans="1:12">
      <c r="A29" s="425" t="s">
        <v>197</v>
      </c>
      <c r="B29" s="993"/>
      <c r="C29" s="986">
        <f>-PGL_Supplies!AC7/1000</f>
        <v>-276.72300000000001</v>
      </c>
      <c r="D29" s="987" t="s">
        <v>11</v>
      </c>
      <c r="E29" s="986">
        <f>-PGL_Supplies!AC7/1000</f>
        <v>-276.72300000000001</v>
      </c>
      <c r="F29" s="307"/>
      <c r="G29" s="986">
        <f>-PGL_Supplies!AC7/1000</f>
        <v>-276.72300000000001</v>
      </c>
      <c r="H29" s="515"/>
      <c r="I29" s="988">
        <f>-PGL_Supplies!AC7/1000</f>
        <v>-276.72300000000001</v>
      </c>
      <c r="L29" s="1104"/>
    </row>
    <row r="30" spans="1:12" ht="16.5" thickBot="1">
      <c r="A30" s="326" t="s">
        <v>11</v>
      </c>
      <c r="B30" s="487" t="s">
        <v>11</v>
      </c>
      <c r="C30" s="1189" t="s">
        <v>752</v>
      </c>
      <c r="D30" s="486"/>
      <c r="E30" s="328"/>
      <c r="F30" s="329" t="s">
        <v>202</v>
      </c>
      <c r="G30" s="328"/>
      <c r="H30" s="994"/>
      <c r="I30" s="331"/>
      <c r="L30" s="595"/>
    </row>
    <row r="31" spans="1:12">
      <c r="A31" s="425" t="s">
        <v>756</v>
      </c>
      <c r="B31" s="324">
        <f>PGL_Requirements!J7/1000</f>
        <v>0</v>
      </c>
      <c r="C31" s="8"/>
      <c r="D31" s="614"/>
      <c r="E31" s="8"/>
      <c r="F31" s="332" t="s">
        <v>465</v>
      </c>
      <c r="G31" s="545"/>
      <c r="H31" s="524"/>
      <c r="I31" s="336"/>
      <c r="L31" s="1104"/>
    </row>
    <row r="32" spans="1:12">
      <c r="A32" s="425" t="s">
        <v>757</v>
      </c>
      <c r="B32" s="324">
        <f>PGL_Supplies!X7/1000</f>
        <v>0</v>
      </c>
      <c r="C32" s="315" t="s">
        <v>11</v>
      </c>
      <c r="D32" s="313"/>
      <c r="E32" s="333"/>
      <c r="F32" s="425" t="s">
        <v>466</v>
      </c>
      <c r="G32" s="545"/>
      <c r="H32" s="317"/>
      <c r="I32" s="336"/>
      <c r="L32" s="595"/>
    </row>
    <row r="33" spans="1:12" ht="15.75" thickBot="1">
      <c r="A33" s="1135" t="s">
        <v>4</v>
      </c>
      <c r="B33" s="324">
        <f>PGL_Supplies!Y7/1000</f>
        <v>257.91199999999998</v>
      </c>
      <c r="C33" s="1122" t="s">
        <v>11</v>
      </c>
      <c r="D33" s="349"/>
      <c r="E33" s="555"/>
      <c r="F33" s="425" t="s">
        <v>467</v>
      </c>
      <c r="G33" s="545"/>
      <c r="H33" s="317"/>
      <c r="I33" s="336"/>
      <c r="L33" s="1104"/>
    </row>
    <row r="34" spans="1:12" ht="16.5" thickBot="1">
      <c r="A34" s="560" t="s">
        <v>448</v>
      </c>
      <c r="B34" s="1126">
        <f>+B33+B32-B31</f>
        <v>257.91199999999998</v>
      </c>
      <c r="C34" s="1127" t="s">
        <v>11</v>
      </c>
      <c r="D34" s="532"/>
      <c r="E34" s="522"/>
      <c r="F34" s="425" t="s">
        <v>468</v>
      </c>
      <c r="G34" s="545"/>
      <c r="H34" s="317"/>
      <c r="I34" s="336"/>
      <c r="L34" s="1104"/>
    </row>
    <row r="35" spans="1:12" ht="16.5" thickBot="1">
      <c r="A35" s="326" t="s">
        <v>11</v>
      </c>
      <c r="B35" s="1123" t="s">
        <v>11</v>
      </c>
      <c r="C35" s="998" t="s">
        <v>68</v>
      </c>
      <c r="D35" s="1124"/>
      <c r="E35" s="1125"/>
      <c r="F35" s="425" t="s">
        <v>469</v>
      </c>
      <c r="G35" s="545"/>
      <c r="H35" s="317"/>
      <c r="I35" s="995" t="s">
        <v>698</v>
      </c>
      <c r="L35" s="1104"/>
    </row>
    <row r="36" spans="1:12">
      <c r="A36" s="425" t="s">
        <v>639</v>
      </c>
      <c r="B36" s="324">
        <f>PGL_Requirements!U7/1000</f>
        <v>0</v>
      </c>
      <c r="C36" s="595"/>
      <c r="D36" s="313"/>
      <c r="E36" s="333"/>
      <c r="F36" s="370" t="s">
        <v>470</v>
      </c>
      <c r="G36" s="545"/>
      <c r="H36" s="317"/>
      <c r="I36" s="996"/>
      <c r="L36" s="1104"/>
    </row>
    <row r="37" spans="1:12">
      <c r="A37" s="425" t="s">
        <v>722</v>
      </c>
      <c r="B37" s="324">
        <f>PGL_Supplies!R7/1000</f>
        <v>0</v>
      </c>
      <c r="C37" s="313"/>
      <c r="D37" s="313"/>
      <c r="E37" s="333"/>
      <c r="F37" s="425" t="s">
        <v>471</v>
      </c>
      <c r="G37" s="545"/>
      <c r="H37" s="317"/>
      <c r="I37" s="336"/>
      <c r="L37" s="1104"/>
    </row>
    <row r="38" spans="1:12">
      <c r="A38" s="425" t="s">
        <v>446</v>
      </c>
      <c r="B38" s="324">
        <f>PGL_Requirements!C7/1000</f>
        <v>0</v>
      </c>
      <c r="C38" s="1117"/>
      <c r="D38" s="1118"/>
      <c r="E38" s="1012"/>
      <c r="F38" s="425" t="s">
        <v>472</v>
      </c>
      <c r="G38" s="545"/>
      <c r="H38" s="317"/>
      <c r="I38" s="336"/>
      <c r="L38" s="1104"/>
    </row>
    <row r="39" spans="1:12">
      <c r="A39" s="425" t="s">
        <v>447</v>
      </c>
      <c r="B39" s="324">
        <f>PGL_Supplies!C7/1000</f>
        <v>0</v>
      </c>
      <c r="C39" s="1117"/>
      <c r="D39" s="1118"/>
      <c r="E39" s="814"/>
      <c r="F39" s="997" t="s">
        <v>473</v>
      </c>
      <c r="G39" s="122"/>
      <c r="H39" s="550"/>
      <c r="I39" s="336"/>
      <c r="L39" s="1104"/>
    </row>
    <row r="40" spans="1:12" ht="15.75" thickBot="1">
      <c r="A40" s="639" t="s">
        <v>704</v>
      </c>
      <c r="B40" s="324">
        <f>PGL_Supplies!Z7/1000</f>
        <v>70</v>
      </c>
      <c r="C40" s="122"/>
      <c r="D40" s="1116"/>
      <c r="E40" s="122"/>
      <c r="F40" s="548" t="s">
        <v>474</v>
      </c>
      <c r="G40" s="545"/>
      <c r="H40" s="350"/>
      <c r="I40" s="336"/>
      <c r="L40" s="595"/>
    </row>
    <row r="41" spans="1:12" ht="16.5" thickBot="1">
      <c r="A41" s="560" t="s">
        <v>448</v>
      </c>
      <c r="B41" s="567">
        <f>B40+B37-B36-B38+B39</f>
        <v>70</v>
      </c>
      <c r="C41" s="532"/>
      <c r="D41" s="532"/>
      <c r="E41" s="522"/>
      <c r="F41" s="425" t="s">
        <v>475</v>
      </c>
      <c r="G41" s="545"/>
      <c r="H41" s="352"/>
      <c r="I41" s="336"/>
      <c r="L41" s="595"/>
    </row>
    <row r="42" spans="1:12" ht="16.5" thickBot="1">
      <c r="A42" s="556" t="s">
        <v>11</v>
      </c>
      <c r="B42" s="557" t="s">
        <v>11</v>
      </c>
      <c r="C42" s="998" t="s">
        <v>69</v>
      </c>
      <c r="D42" s="559"/>
      <c r="E42" s="999" t="s">
        <v>11</v>
      </c>
      <c r="F42" s="425" t="s">
        <v>476</v>
      </c>
      <c r="G42" s="545"/>
      <c r="H42" s="317"/>
      <c r="I42" s="336"/>
    </row>
    <row r="43" spans="1:12">
      <c r="A43" s="425" t="s">
        <v>523</v>
      </c>
      <c r="B43" s="324">
        <f>NSG_Supplies!O7/1000+PGL_Supplies!AA7/1000</f>
        <v>137.73500000000001</v>
      </c>
      <c r="C43" s="352"/>
      <c r="D43" s="313"/>
      <c r="E43" s="351"/>
      <c r="F43" s="425" t="s">
        <v>408</v>
      </c>
      <c r="G43" s="545"/>
      <c r="H43" s="352"/>
      <c r="I43" s="336"/>
    </row>
    <row r="44" spans="1:12">
      <c r="A44" s="772" t="s">
        <v>524</v>
      </c>
      <c r="B44" s="324">
        <v>0</v>
      </c>
      <c r="C44" s="595"/>
      <c r="D44" s="313"/>
      <c r="E44" s="351"/>
      <c r="F44" s="370" t="s">
        <v>477</v>
      </c>
      <c r="G44" s="549"/>
      <c r="H44" s="540"/>
      <c r="I44" s="336"/>
    </row>
    <row r="45" spans="1:12" ht="15.75" thickBot="1">
      <c r="A45" s="425" t="s">
        <v>451</v>
      </c>
      <c r="B45" s="1000">
        <f>PGL_Requirements!D7/1000</f>
        <v>1</v>
      </c>
      <c r="C45" s="352"/>
      <c r="D45" s="313"/>
      <c r="E45" s="351"/>
      <c r="F45" s="370" t="s">
        <v>478</v>
      </c>
      <c r="G45" s="549"/>
      <c r="H45" s="551"/>
      <c r="I45" s="336"/>
    </row>
    <row r="46" spans="1:12" ht="16.5" thickBot="1">
      <c r="A46" s="425" t="s">
        <v>452</v>
      </c>
      <c r="B46" s="324">
        <f>PGL_Supplies!D7/1000</f>
        <v>0</v>
      </c>
      <c r="C46" s="352"/>
      <c r="D46" s="313"/>
      <c r="E46" s="351"/>
      <c r="F46" s="552" t="s">
        <v>224</v>
      </c>
      <c r="G46" s="553"/>
      <c r="H46" s="554"/>
      <c r="I46" s="336"/>
    </row>
    <row r="47" spans="1:12" ht="16.5" thickBot="1">
      <c r="A47" s="560" t="s">
        <v>448</v>
      </c>
      <c r="B47" s="1001">
        <f>B43+B44-B45+B46</f>
        <v>136.73500000000001</v>
      </c>
      <c r="C47" s="1002"/>
      <c r="D47" s="532"/>
      <c r="E47" s="1003"/>
      <c r="F47" s="529" t="s">
        <v>11</v>
      </c>
      <c r="G47" s="530" t="s">
        <v>479</v>
      </c>
      <c r="H47" s="530" t="s">
        <v>11</v>
      </c>
      <c r="I47" s="360"/>
    </row>
    <row r="48" spans="1:12" ht="16.5" thickBot="1">
      <c r="A48" s="556" t="s">
        <v>11</v>
      </c>
      <c r="B48" s="561" t="s">
        <v>11</v>
      </c>
      <c r="C48" s="998" t="s">
        <v>60</v>
      </c>
      <c r="D48" s="559"/>
      <c r="E48" s="559"/>
      <c r="F48" s="569" t="s">
        <v>431</v>
      </c>
      <c r="G48" s="542"/>
      <c r="H48" s="564" t="s">
        <v>11</v>
      </c>
      <c r="I48" s="366" t="s">
        <v>11</v>
      </c>
    </row>
    <row r="49" spans="1:9">
      <c r="A49" s="425" t="s">
        <v>72</v>
      </c>
      <c r="B49" s="324">
        <f>PGL_Requirements!P7/1000</f>
        <v>0</v>
      </c>
      <c r="C49" s="313"/>
      <c r="D49" s="313"/>
      <c r="E49" s="313"/>
      <c r="F49" s="361" t="s">
        <v>480</v>
      </c>
      <c r="G49" s="313"/>
      <c r="H49" s="388" t="s">
        <v>11</v>
      </c>
      <c r="I49" s="366" t="s">
        <v>11</v>
      </c>
    </row>
    <row r="50" spans="1:9" ht="15.75" thickBot="1">
      <c r="A50" s="425" t="s">
        <v>453</v>
      </c>
      <c r="B50" s="324">
        <f>PGL_Supplies!M7/1000</f>
        <v>1.1299999999999999</v>
      </c>
      <c r="C50" s="313"/>
      <c r="D50" s="313"/>
      <c r="E50" s="313"/>
      <c r="F50" s="538" t="s">
        <v>481</v>
      </c>
      <c r="G50" s="355"/>
      <c r="H50" s="527" t="s">
        <v>11</v>
      </c>
      <c r="I50" s="407"/>
    </row>
    <row r="51" spans="1:9" ht="15.75" thickBot="1">
      <c r="A51" s="425" t="s">
        <v>454</v>
      </c>
      <c r="B51" s="324">
        <f>SUM(PGL_Requirements!B7/1000)</f>
        <v>0</v>
      </c>
      <c r="C51" s="313"/>
      <c r="D51" s="313"/>
      <c r="E51" s="313"/>
      <c r="F51" s="566" t="s">
        <v>457</v>
      </c>
      <c r="G51" s="532"/>
      <c r="H51" s="567" t="s">
        <v>11</v>
      </c>
      <c r="I51" s="1004" t="s">
        <v>11</v>
      </c>
    </row>
    <row r="52" spans="1:9" ht="16.5" thickBot="1">
      <c r="A52" s="425" t="s">
        <v>455</v>
      </c>
      <c r="B52" s="324">
        <f>PGL_Supplies!H7/1000</f>
        <v>1.6719999999999999</v>
      </c>
      <c r="C52" s="313"/>
      <c r="D52" s="313"/>
      <c r="E52" s="313"/>
      <c r="F52" s="358" t="s">
        <v>482</v>
      </c>
      <c r="G52" s="359"/>
      <c r="H52" s="359"/>
      <c r="I52" s="360"/>
    </row>
    <row r="53" spans="1:9">
      <c r="A53" s="370" t="s">
        <v>748</v>
      </c>
      <c r="B53" s="324">
        <f>PGL_Requirements!R7/1000</f>
        <v>0.38</v>
      </c>
      <c r="C53" s="313"/>
      <c r="D53" s="313"/>
      <c r="E53" s="313"/>
      <c r="F53" s="543" t="s">
        <v>483</v>
      </c>
      <c r="G53" s="544"/>
      <c r="H53" s="570" t="s">
        <v>11</v>
      </c>
      <c r="I53" s="571">
        <f>+PGL_Supplies!K7/1000</f>
        <v>0</v>
      </c>
    </row>
    <row r="54" spans="1:9" ht="16.5" thickBot="1">
      <c r="A54" s="425" t="s">
        <v>749</v>
      </c>
      <c r="B54" s="324">
        <f>PGL_Requirements!Q7/1000</f>
        <v>0</v>
      </c>
      <c r="C54" s="349"/>
      <c r="D54" s="349"/>
      <c r="E54" s="349"/>
      <c r="F54" s="358" t="s">
        <v>426</v>
      </c>
      <c r="G54" s="359"/>
      <c r="H54" s="359"/>
      <c r="I54" s="360"/>
    </row>
    <row r="55" spans="1:9" ht="16.5" thickBot="1">
      <c r="A55" s="519" t="s">
        <v>457</v>
      </c>
      <c r="B55" s="520">
        <f>-B49+B50+B52+B56+B57-B53-B51</f>
        <v>2.4219999999999997</v>
      </c>
      <c r="C55" s="521"/>
      <c r="D55" s="521"/>
      <c r="E55" s="522"/>
      <c r="F55" s="548" t="s">
        <v>485</v>
      </c>
      <c r="G55" s="546"/>
      <c r="H55" s="541"/>
      <c r="I55" s="1005">
        <f>PGL_Requirements!E7/1000</f>
        <v>0</v>
      </c>
    </row>
    <row r="56" spans="1:9">
      <c r="A56" s="332" t="s">
        <v>218</v>
      </c>
      <c r="B56" s="324">
        <v>0</v>
      </c>
      <c r="C56" s="524"/>
      <c r="D56" s="524"/>
      <c r="E56" s="525"/>
      <c r="F56" s="370" t="s">
        <v>486</v>
      </c>
      <c r="G56" s="545"/>
      <c r="H56" s="1007">
        <f>PGL_Supplies!E7/1000</f>
        <v>0</v>
      </c>
      <c r="I56" s="1008" t="s">
        <v>11</v>
      </c>
    </row>
    <row r="57" spans="1:9" ht="15.75" thickBot="1">
      <c r="A57" s="425" t="s">
        <v>216</v>
      </c>
      <c r="B57" s="1006">
        <v>0</v>
      </c>
      <c r="C57" s="377"/>
      <c r="D57" s="377"/>
      <c r="E57" s="1120"/>
      <c r="F57" s="425" t="s">
        <v>109</v>
      </c>
      <c r="G57" s="574"/>
      <c r="H57" s="1007">
        <f>PGL_Supplies!AB7/1000+NSG_Supplies!N7/1000</f>
        <v>261.98899999999998</v>
      </c>
      <c r="I57" s="1008" t="s">
        <v>11</v>
      </c>
    </row>
    <row r="58" spans="1:9" ht="16.5" thickBot="1">
      <c r="A58" s="640" t="s">
        <v>11</v>
      </c>
      <c r="B58" s="1009"/>
      <c r="C58" s="1010" t="s">
        <v>37</v>
      </c>
      <c r="D58" s="1011"/>
      <c r="E58" s="1119"/>
      <c r="F58" s="122" t="s">
        <v>631</v>
      </c>
      <c r="G58" s="122"/>
      <c r="H58" s="1007">
        <f>PGL_Supplies!T7/1000</f>
        <v>0</v>
      </c>
      <c r="I58" s="1012"/>
    </row>
    <row r="59" spans="1:9" ht="15.75" thickBot="1">
      <c r="A59" s="425" t="s">
        <v>459</v>
      </c>
      <c r="B59" s="324">
        <f>PGL_Supplies!Q7/1000</f>
        <v>0</v>
      </c>
      <c r="C59" s="381" t="s">
        <v>11</v>
      </c>
      <c r="D59" s="313"/>
      <c r="E59" s="382"/>
      <c r="F59" s="122" t="s">
        <v>630</v>
      </c>
      <c r="G59" s="122"/>
      <c r="H59" s="1013"/>
      <c r="I59" s="1014">
        <f>PGL_Requirements!H7/1000</f>
        <v>0</v>
      </c>
    </row>
    <row r="60" spans="1:9" ht="16.5" thickBot="1">
      <c r="A60" s="425" t="s">
        <v>460</v>
      </c>
      <c r="B60" s="388">
        <f>PGL_Requirements!F7/1000</f>
        <v>0</v>
      </c>
      <c r="C60" s="381" t="s">
        <v>11</v>
      </c>
      <c r="D60" s="313"/>
      <c r="E60" s="382"/>
      <c r="F60" s="552" t="s">
        <v>699</v>
      </c>
      <c r="G60" s="430"/>
      <c r="H60" s="430"/>
      <c r="I60" s="1085">
        <f>SUM(H55:H59)-SUM(I55:I59)</f>
        <v>261.98899999999998</v>
      </c>
    </row>
    <row r="61" spans="1:9">
      <c r="A61" s="425" t="s">
        <v>461</v>
      </c>
      <c r="B61" s="324">
        <f>PGL_Supplies!G7/1000</f>
        <v>0</v>
      </c>
      <c r="C61" s="324"/>
      <c r="D61" s="313"/>
      <c r="E61" s="317"/>
      <c r="F61" s="1015" t="s">
        <v>700</v>
      </c>
      <c r="G61" s="1016"/>
      <c r="H61" s="1088"/>
      <c r="I61" s="1086">
        <v>0</v>
      </c>
    </row>
    <row r="62" spans="1:9" ht="15.75" thickBot="1">
      <c r="A62" s="425" t="s">
        <v>109</v>
      </c>
      <c r="B62" s="1018">
        <f>PGL_Supplies!AD7/1000</f>
        <v>101.2</v>
      </c>
      <c r="C62" s="528" t="s">
        <v>11</v>
      </c>
      <c r="D62" s="349"/>
      <c r="E62" s="526"/>
      <c r="F62" s="1017" t="s">
        <v>701</v>
      </c>
      <c r="G62" s="595"/>
      <c r="H62" s="1089" t="s">
        <v>11</v>
      </c>
      <c r="I62" s="1087">
        <f>H57-I59</f>
        <v>261.98899999999998</v>
      </c>
    </row>
    <row r="63" spans="1:9" ht="16.5" thickBot="1">
      <c r="A63" s="800" t="s">
        <v>565</v>
      </c>
      <c r="B63" s="1020">
        <f>+B62+B61-B60+B59</f>
        <v>101.2</v>
      </c>
      <c r="C63" s="1001" t="s">
        <v>11</v>
      </c>
      <c r="D63" s="532"/>
      <c r="E63" s="522"/>
      <c r="F63" s="1019" t="s">
        <v>786</v>
      </c>
      <c r="G63" s="225"/>
      <c r="H63" s="1117"/>
      <c r="I63" s="1184">
        <f>PGL_Requirements!H7/1000</f>
        <v>0</v>
      </c>
    </row>
    <row r="64" spans="1:9" ht="15.75">
      <c r="A64" s="543" t="s">
        <v>739</v>
      </c>
      <c r="B64" s="1027"/>
      <c r="C64" s="1037" t="s">
        <v>11</v>
      </c>
      <c r="D64" s="1037" t="s">
        <v>11</v>
      </c>
      <c r="E64" s="1038" t="s">
        <v>11</v>
      </c>
      <c r="F64" s="1188" t="s">
        <v>788</v>
      </c>
      <c r="G64" s="434"/>
      <c r="H64" s="1118"/>
      <c r="I64" s="1012"/>
    </row>
    <row r="65" spans="1:9" ht="15.75">
      <c r="A65" s="370" t="s">
        <v>740</v>
      </c>
      <c r="B65" s="1030"/>
      <c r="C65" s="1036" t="s">
        <v>11</v>
      </c>
      <c r="D65" s="1036" t="s">
        <v>11</v>
      </c>
      <c r="E65" s="1186" t="s">
        <v>11</v>
      </c>
      <c r="F65" s="1187" t="s">
        <v>3</v>
      </c>
      <c r="H65" s="240"/>
      <c r="I65" s="1185"/>
    </row>
    <row r="66" spans="1:9" ht="16.5" thickBot="1">
      <c r="A66" s="1191" t="s">
        <v>790</v>
      </c>
      <c r="B66" s="1028"/>
      <c r="C66" s="1039" t="s">
        <v>11</v>
      </c>
      <c r="D66" s="1039" t="s">
        <v>11</v>
      </c>
      <c r="E66" s="1040" t="s">
        <v>11</v>
      </c>
      <c r="F66" s="358" t="s">
        <v>755</v>
      </c>
      <c r="G66" s="359"/>
      <c r="H66" s="359"/>
      <c r="I66" s="360"/>
    </row>
    <row r="67" spans="1:9" ht="16.5" thickBot="1">
      <c r="A67" s="1025" t="s">
        <v>705</v>
      </c>
      <c r="B67" s="1032" t="s">
        <v>11</v>
      </c>
      <c r="C67" s="1100" t="s">
        <v>11</v>
      </c>
      <c r="D67" s="1100" t="s">
        <v>11</v>
      </c>
      <c r="E67" s="1101" t="s">
        <v>11</v>
      </c>
      <c r="F67" s="582" t="s">
        <v>489</v>
      </c>
      <c r="G67" s="542" t="s">
        <v>11</v>
      </c>
      <c r="H67" s="575" t="s">
        <v>11</v>
      </c>
      <c r="I67" s="587" t="s">
        <v>11</v>
      </c>
    </row>
    <row r="68" spans="1:9" ht="16.5" thickBot="1">
      <c r="A68" s="1109" t="s">
        <v>758</v>
      </c>
      <c r="B68" s="1102"/>
      <c r="C68" s="122"/>
      <c r="D68" s="1102"/>
      <c r="E68" s="122"/>
      <c r="F68" s="361" t="s">
        <v>490</v>
      </c>
      <c r="G68" s="313"/>
      <c r="H68" s="541"/>
      <c r="I68" s="1024"/>
    </row>
    <row r="69" spans="1:9" ht="16.5" thickBot="1">
      <c r="A69" s="519" t="s">
        <v>741</v>
      </c>
      <c r="B69" s="1031" t="s">
        <v>11</v>
      </c>
      <c r="C69" s="1033" t="s">
        <v>11</v>
      </c>
      <c r="D69" s="1033" t="s">
        <v>11</v>
      </c>
      <c r="E69" s="1033" t="s">
        <v>11</v>
      </c>
      <c r="F69" s="425"/>
      <c r="G69" s="350"/>
      <c r="H69" s="595"/>
      <c r="I69" s="1022"/>
    </row>
    <row r="70" spans="1:9" ht="16.5" thickBot="1">
      <c r="A70" s="1190" t="s">
        <v>789</v>
      </c>
      <c r="B70" s="1029" t="s">
        <v>11</v>
      </c>
      <c r="C70" s="1034" t="s">
        <v>11</v>
      </c>
      <c r="D70" s="1034" t="s">
        <v>11</v>
      </c>
      <c r="E70" s="1035" t="s">
        <v>11</v>
      </c>
      <c r="F70" s="1026" t="s">
        <v>491</v>
      </c>
      <c r="G70" s="120"/>
      <c r="H70" s="1023" t="s">
        <v>492</v>
      </c>
      <c r="I70" s="404" t="s">
        <v>11</v>
      </c>
    </row>
    <row r="71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portrait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546875" bestFit="1" customWidth="1"/>
    <col min="2" max="6" width="10.77734375" customWidth="1"/>
    <col min="7" max="7" width="10.88671875" customWidth="1"/>
    <col min="8" max="9" width="10.77734375" customWidth="1"/>
  </cols>
  <sheetData>
    <row r="1" spans="1:9" ht="21" thickTop="1">
      <c r="A1" s="1103" t="s">
        <v>11</v>
      </c>
      <c r="B1" s="641"/>
      <c r="C1" s="641" t="s">
        <v>11</v>
      </c>
      <c r="D1" s="642"/>
      <c r="E1" s="771" t="s">
        <v>173</v>
      </c>
      <c r="F1" s="771" t="str">
        <f>CHOOSE(WEEKDAY(G1),"SUN","MON","TUE","WED","THU","FRI","SAT")</f>
        <v>WED</v>
      </c>
      <c r="G1" s="1084">
        <f>Weather_Input!A5</f>
        <v>36957</v>
      </c>
      <c r="H1" s="590" t="s">
        <v>258</v>
      </c>
      <c r="I1" s="594"/>
    </row>
    <row r="2" spans="1:9" ht="20.25">
      <c r="A2" s="643" t="s">
        <v>11</v>
      </c>
      <c r="B2" s="794" t="s">
        <v>561</v>
      </c>
      <c r="C2" s="954" t="s">
        <v>11</v>
      </c>
      <c r="D2" s="796" t="s">
        <v>562</v>
      </c>
      <c r="E2" s="795"/>
      <c r="F2" s="796" t="s">
        <v>563</v>
      </c>
      <c r="G2" s="795"/>
      <c r="H2" s="797" t="s">
        <v>501</v>
      </c>
      <c r="I2" s="646"/>
    </row>
    <row r="3" spans="1:9" ht="20.25">
      <c r="A3" s="1093" t="s">
        <v>502</v>
      </c>
      <c r="B3" s="647" t="s">
        <v>23</v>
      </c>
      <c r="C3" s="648"/>
      <c r="D3" s="649" t="s">
        <v>23</v>
      </c>
      <c r="E3" s="648" t="s">
        <v>24</v>
      </c>
      <c r="F3" s="649" t="s">
        <v>23</v>
      </c>
      <c r="G3" s="649" t="s">
        <v>24</v>
      </c>
      <c r="H3" s="647" t="s">
        <v>23</v>
      </c>
      <c r="I3" s="650" t="s">
        <v>24</v>
      </c>
    </row>
    <row r="4" spans="1:9" ht="21" thickBot="1">
      <c r="A4" s="651"/>
      <c r="B4" s="652">
        <f>Weather_Input!B5</f>
        <v>44</v>
      </c>
      <c r="C4" s="759">
        <f>Weather_Input!C5</f>
        <v>30</v>
      </c>
      <c r="D4" s="653"/>
      <c r="E4" s="654"/>
      <c r="F4" s="653"/>
      <c r="G4" s="654"/>
      <c r="H4" s="655"/>
      <c r="I4" s="656"/>
    </row>
    <row r="5" spans="1:9" ht="24" thickBot="1">
      <c r="A5" s="657" t="s">
        <v>139</v>
      </c>
      <c r="B5" s="658"/>
      <c r="C5" s="659">
        <f>NSG_Deliveries!C5/1000</f>
        <v>152</v>
      </c>
      <c r="D5" s="658"/>
      <c r="E5" s="660"/>
      <c r="F5" s="658"/>
      <c r="G5" s="660" t="s">
        <v>11</v>
      </c>
      <c r="H5" s="658"/>
      <c r="I5" s="661"/>
    </row>
    <row r="6" spans="1:9" ht="12" customHeight="1" thickBot="1">
      <c r="A6" s="662" t="s">
        <v>11</v>
      </c>
      <c r="B6" s="663"/>
      <c r="C6" s="664"/>
      <c r="D6" s="665"/>
      <c r="E6" s="664"/>
      <c r="F6" s="665"/>
      <c r="G6" s="665"/>
      <c r="H6" s="663"/>
      <c r="I6" s="666"/>
    </row>
    <row r="7" spans="1:9" ht="24" thickBot="1">
      <c r="A7" s="667" t="s">
        <v>86</v>
      </c>
      <c r="B7" s="658"/>
      <c r="C7" s="764">
        <f>C5-C9-C11-C12</f>
        <v>86.924000000000007</v>
      </c>
      <c r="D7" s="668"/>
      <c r="E7" s="660"/>
      <c r="F7" s="668"/>
      <c r="G7" s="668" t="s">
        <v>11</v>
      </c>
      <c r="H7" s="658"/>
      <c r="I7" s="661"/>
    </row>
    <row r="8" spans="1:9" ht="12" customHeight="1" thickBot="1">
      <c r="A8" s="662"/>
      <c r="B8" s="669"/>
      <c r="C8" s="664"/>
      <c r="D8" s="665"/>
      <c r="E8" s="664"/>
      <c r="F8" s="665"/>
      <c r="G8" s="665"/>
      <c r="H8" s="663"/>
      <c r="I8" s="666"/>
    </row>
    <row r="9" spans="1:9" s="114" customFormat="1" ht="21" customHeight="1" thickBot="1">
      <c r="A9" s="830" t="s">
        <v>647</v>
      </c>
      <c r="B9" s="676"/>
      <c r="C9" s="1115">
        <f>B46</f>
        <v>15.076000000000001</v>
      </c>
      <c r="D9" s="674"/>
      <c r="E9" s="675"/>
      <c r="F9" s="674"/>
      <c r="G9" s="674"/>
      <c r="H9" s="676"/>
      <c r="I9" s="677"/>
    </row>
    <row r="10" spans="1:9" ht="12" customHeight="1" thickBot="1">
      <c r="A10" s="826"/>
      <c r="B10" s="669"/>
      <c r="C10" s="664"/>
      <c r="D10" s="827"/>
      <c r="E10" s="670"/>
      <c r="F10" s="827"/>
      <c r="G10" s="827"/>
      <c r="H10" s="669"/>
      <c r="I10" s="828"/>
    </row>
    <row r="11" spans="1:9" ht="23.25">
      <c r="A11" s="671" t="s">
        <v>503</v>
      </c>
      <c r="B11" s="672"/>
      <c r="C11" s="673">
        <f>B38</f>
        <v>50</v>
      </c>
      <c r="D11" s="674"/>
      <c r="E11" s="675"/>
      <c r="F11" s="674"/>
      <c r="G11" s="674" t="s">
        <v>11</v>
      </c>
      <c r="H11" s="676"/>
      <c r="I11" s="677"/>
    </row>
    <row r="12" spans="1:9" ht="23.25">
      <c r="A12" s="678" t="s">
        <v>504</v>
      </c>
      <c r="B12" s="679"/>
      <c r="C12" s="680">
        <v>0</v>
      </c>
      <c r="D12" s="681"/>
      <c r="E12" s="682"/>
      <c r="F12" s="681"/>
      <c r="G12" s="681"/>
      <c r="H12" s="679"/>
      <c r="I12" s="683"/>
    </row>
    <row r="13" spans="1:9" ht="21" thickBot="1">
      <c r="A13" s="686" t="s">
        <v>99</v>
      </c>
      <c r="B13" s="684"/>
      <c r="C13" s="685"/>
      <c r="D13" s="681"/>
      <c r="E13" s="682"/>
      <c r="F13" s="681"/>
      <c r="G13" s="681"/>
      <c r="H13" s="679"/>
      <c r="I13" s="683"/>
    </row>
    <row r="14" spans="1:9" ht="21" thickBot="1">
      <c r="A14" s="686" t="s">
        <v>110</v>
      </c>
      <c r="B14" s="687"/>
      <c r="C14" s="688"/>
      <c r="D14" s="687"/>
      <c r="E14" s="688"/>
      <c r="F14" s="687"/>
      <c r="G14" s="687"/>
      <c r="H14" s="689"/>
      <c r="I14" s="690"/>
    </row>
    <row r="15" spans="1:9" ht="24" thickBot="1">
      <c r="A15" s="691" t="s">
        <v>505</v>
      </c>
      <c r="B15" s="692"/>
      <c r="C15" s="764">
        <v>0</v>
      </c>
      <c r="D15" s="694"/>
      <c r="E15" s="693"/>
      <c r="F15" s="694"/>
      <c r="G15" s="694" t="s">
        <v>11</v>
      </c>
      <c r="H15" s="692"/>
      <c r="I15" s="695"/>
    </row>
    <row r="16" spans="1:9" ht="21" thickBot="1">
      <c r="A16" s="696" t="s">
        <v>11</v>
      </c>
      <c r="B16" s="663"/>
      <c r="C16" s="664"/>
      <c r="D16" s="665"/>
      <c r="E16" s="664"/>
      <c r="F16" s="665"/>
      <c r="G16" s="665"/>
      <c r="H16" s="663"/>
      <c r="I16" s="666"/>
    </row>
    <row r="17" spans="1:9" ht="24" thickBot="1">
      <c r="A17" s="697" t="s">
        <v>506</v>
      </c>
      <c r="B17" s="698"/>
      <c r="C17" s="699" t="s">
        <v>11</v>
      </c>
      <c r="D17" s="700"/>
      <c r="E17" s="701"/>
      <c r="F17" s="700"/>
      <c r="G17" s="700"/>
      <c r="H17" s="698"/>
      <c r="I17" s="702"/>
    </row>
    <row r="18" spans="1:9" ht="21" thickBot="1">
      <c r="A18" s="703" t="s">
        <v>507</v>
      </c>
      <c r="B18" s="663"/>
      <c r="C18" s="664" t="s">
        <v>11</v>
      </c>
      <c r="D18" s="665"/>
      <c r="E18" s="664"/>
      <c r="F18" s="665"/>
      <c r="G18" s="508" t="s">
        <v>651</v>
      </c>
      <c r="H18" s="663"/>
      <c r="I18" s="831"/>
    </row>
    <row r="19" spans="1:9" ht="24" thickBot="1">
      <c r="A19" s="704" t="s">
        <v>433</v>
      </c>
      <c r="B19" s="705"/>
      <c r="C19" s="706">
        <f>C7+C12</f>
        <v>86.924000000000007</v>
      </c>
      <c r="D19" s="707"/>
      <c r="E19" s="708"/>
      <c r="F19" s="707"/>
      <c r="G19" s="707" t="s">
        <v>11</v>
      </c>
      <c r="H19" s="705"/>
      <c r="I19" s="709"/>
    </row>
    <row r="20" spans="1:9" ht="20.25">
      <c r="A20" s="710" t="s">
        <v>435</v>
      </c>
      <c r="B20" s="711"/>
      <c r="C20" s="712">
        <f>NSG_Requirements!C7/1000</f>
        <v>0</v>
      </c>
      <c r="D20" s="713"/>
      <c r="E20" s="712">
        <f>NSG_Requirements!C7/1000</f>
        <v>0</v>
      </c>
      <c r="F20" s="713"/>
      <c r="G20" s="712">
        <f>NSG_Requirements!C7/1000</f>
        <v>0</v>
      </c>
      <c r="H20" s="711"/>
      <c r="I20" s="775">
        <f>NSG_Requirements!C7/1000</f>
        <v>0</v>
      </c>
    </row>
    <row r="21" spans="1:9" ht="20.25">
      <c r="A21" s="714" t="s">
        <v>438</v>
      </c>
      <c r="B21" s="715"/>
      <c r="C21" s="712">
        <f>NSG_Requirements!R7/1000</f>
        <v>0</v>
      </c>
      <c r="D21" s="716"/>
      <c r="E21" s="712">
        <f>NSG_Requirements!R7/1000</f>
        <v>0</v>
      </c>
      <c r="F21" s="716"/>
      <c r="G21" s="712">
        <f>NSG_Requirements!R7/1000</f>
        <v>0</v>
      </c>
      <c r="H21" s="715"/>
      <c r="I21" s="776">
        <f>NSG_Requirements!R7/1000</f>
        <v>0</v>
      </c>
    </row>
    <row r="22" spans="1:9" ht="20.25">
      <c r="A22" s="714" t="s">
        <v>508</v>
      </c>
      <c r="B22" s="718"/>
      <c r="C22" s="712">
        <f>NSG_Supplies!K7/1000</f>
        <v>0</v>
      </c>
      <c r="D22" s="719"/>
      <c r="E22" s="712">
        <f>NSG_Supplies!K7/1000</f>
        <v>0</v>
      </c>
      <c r="F22" s="719"/>
      <c r="G22" s="712">
        <f>NSG_Supplies!K7/1000</f>
        <v>0</v>
      </c>
      <c r="H22" s="718"/>
      <c r="I22" s="777">
        <f>NSG_Supplies!K7/1000</f>
        <v>0</v>
      </c>
    </row>
    <row r="23" spans="1:9" ht="20.25">
      <c r="A23" s="710" t="s">
        <v>439</v>
      </c>
      <c r="B23" s="718"/>
      <c r="C23" s="793">
        <f>-(PGL_Requirements!$Y$7+PGL_Requirements!$Z$7+PGL_Requirements!$AA$7+PGL_Requirements!$AB$7)/1000+(NSG_Requirements!$Y$7+NSG_Requirements!$Z$7+NSG_Requirements!$AA$7)/1000</f>
        <v>0</v>
      </c>
      <c r="D23" s="644"/>
      <c r="E23" s="793">
        <f>-(PGL_Requirements!$Y$7+PGL_Requirements!$Z$7+PGL_Requirements!$AA$7+PGL_Requirements!$AB$7)/1000+(NSG_Requirements!$Y$7+NSG_Requirements!$Z$7+NSG_Requirements!$AA$7)/1000</f>
        <v>0</v>
      </c>
      <c r="F23" s="644"/>
      <c r="G23" s="793">
        <f>-(PGL_Requirements!$Y$7+PGL_Requirements!$Z$7+PGL_Requirements!$AA$7+PGL_Requirements!$AB$7)/1000+(NSG_Requirements!$Y$7+NSG_Requirements!$Z$7+NSG_Requirements!$AA$7)/1000</f>
        <v>0</v>
      </c>
      <c r="H23" s="715"/>
      <c r="I23" s="792">
        <f>-(PGL_Requirements!$Y$7+PGL_Requirements!$Z$7+PGL_Requirements!$AA$7+PGL_Requirements!$AB$7)/1000+(NSG_Requirements!$Y$7+NSG_Requirements!$Z$7+NSG_Requirements!$AA$7)/1000</f>
        <v>0</v>
      </c>
    </row>
    <row r="24" spans="1:9" ht="20.25">
      <c r="A24" s="710" t="s">
        <v>441</v>
      </c>
      <c r="B24" s="718"/>
      <c r="C24" s="712">
        <f>NSG_Requirements!H7/1000</f>
        <v>20.619</v>
      </c>
      <c r="D24" s="719"/>
      <c r="E24" s="712" t="s">
        <v>11</v>
      </c>
      <c r="F24" s="719"/>
      <c r="G24" s="712" t="s">
        <v>11</v>
      </c>
      <c r="H24" s="718"/>
      <c r="I24" s="712" t="s">
        <v>11</v>
      </c>
    </row>
    <row r="25" spans="1:9" ht="20.25">
      <c r="A25" s="710" t="s">
        <v>442</v>
      </c>
      <c r="B25" s="715"/>
      <c r="C25" s="712">
        <f>-NSG_Supplies!F7/1000</f>
        <v>0</v>
      </c>
      <c r="D25" s="716"/>
      <c r="E25" s="712" t="s">
        <v>11</v>
      </c>
      <c r="F25" s="716"/>
      <c r="G25" s="712" t="s">
        <v>11</v>
      </c>
      <c r="H25" s="715"/>
      <c r="I25" s="712" t="s">
        <v>11</v>
      </c>
    </row>
    <row r="26" spans="1:9" ht="20.25">
      <c r="A26" s="710" t="s">
        <v>197</v>
      </c>
      <c r="B26" s="718"/>
      <c r="C26" s="712">
        <f>-NSG_Supplies!R7/1000</f>
        <v>-103.63200000000001</v>
      </c>
      <c r="D26" s="719"/>
      <c r="E26" s="712">
        <f>-NSG_Supplies!R7/1000</f>
        <v>-103.63200000000001</v>
      </c>
      <c r="F26" s="719"/>
      <c r="G26" s="712">
        <f>-NSG_Supplies!R7/1000</f>
        <v>-103.63200000000001</v>
      </c>
      <c r="H26" s="718"/>
      <c r="I26" s="777">
        <f>-NSG_Supplies!R7/1000</f>
        <v>-103.63200000000001</v>
      </c>
    </row>
    <row r="27" spans="1:9" ht="20.25">
      <c r="A27" s="710" t="s">
        <v>440</v>
      </c>
      <c r="B27" s="718"/>
      <c r="C27" s="712">
        <v>0</v>
      </c>
      <c r="D27" s="719"/>
      <c r="E27" s="712">
        <v>0</v>
      </c>
      <c r="F27" s="719"/>
      <c r="G27" s="712">
        <v>0</v>
      </c>
      <c r="H27" s="718"/>
      <c r="I27" s="777">
        <v>0</v>
      </c>
    </row>
    <row r="28" spans="1:9" ht="21" thickBot="1">
      <c r="A28" s="765" t="s">
        <v>537</v>
      </c>
      <c r="B28" s="721"/>
      <c r="C28" s="712">
        <f>-NSG_Supplies!H7/1000+NSG_Requirements!L7/1000</f>
        <v>0</v>
      </c>
      <c r="D28" s="716"/>
      <c r="E28" s="712">
        <f>-NSG_Supplies!H7/1000+NSG_Requirements!L7/1000</f>
        <v>0</v>
      </c>
      <c r="F28" s="716"/>
      <c r="G28" s="712">
        <f>-NSG_Supplies!H7/1000+NSG_Requirements!L7/1000</f>
        <v>0</v>
      </c>
      <c r="H28" s="721"/>
      <c r="I28" s="786">
        <f>-NSG_Supplies!H7/1000+NSG_Requirements!L7/1000</f>
        <v>0</v>
      </c>
    </row>
    <row r="29" spans="1:9" ht="24" thickBot="1">
      <c r="A29" s="723"/>
      <c r="B29" s="724"/>
      <c r="C29" s="725" t="s">
        <v>503</v>
      </c>
      <c r="D29" s="724"/>
      <c r="E29" s="726"/>
      <c r="F29" s="724"/>
      <c r="G29" s="727" t="s">
        <v>11</v>
      </c>
      <c r="H29" s="724"/>
      <c r="I29" s="728"/>
    </row>
    <row r="30" spans="1:9" ht="20.25">
      <c r="A30" s="784" t="s">
        <v>445</v>
      </c>
      <c r="B30" s="761">
        <f>NSG_Requirements!O7/1000</f>
        <v>0</v>
      </c>
      <c r="C30" s="730" t="s">
        <v>11</v>
      </c>
      <c r="D30" s="731"/>
      <c r="E30" s="732"/>
      <c r="F30" s="733" t="s">
        <v>284</v>
      </c>
      <c r="G30" s="734"/>
      <c r="H30" s="734"/>
      <c r="I30" s="735"/>
    </row>
    <row r="31" spans="1:9" ht="20.25">
      <c r="A31" s="785" t="s">
        <v>538</v>
      </c>
      <c r="B31" s="760">
        <f>NSG_Supplies!L7/1000+PGL_Requirements!V7/1000</f>
        <v>50</v>
      </c>
      <c r="C31" s="719"/>
      <c r="D31" s="737"/>
      <c r="E31" s="720"/>
      <c r="F31" s="644"/>
      <c r="G31" s="716"/>
      <c r="H31" s="716"/>
      <c r="I31" s="735"/>
    </row>
    <row r="32" spans="1:9" ht="20.25">
      <c r="A32" s="785" t="s">
        <v>539</v>
      </c>
      <c r="B32" s="760">
        <f>NSG_Supplies!M7/1000</f>
        <v>0</v>
      </c>
      <c r="C32" s="716"/>
      <c r="D32" s="738"/>
      <c r="E32" s="717"/>
      <c r="F32" s="644"/>
      <c r="G32" s="716"/>
      <c r="H32" s="716"/>
      <c r="I32" s="735"/>
    </row>
    <row r="33" spans="1:9" ht="20.25">
      <c r="A33" s="784" t="s">
        <v>509</v>
      </c>
      <c r="B33" s="762">
        <f>(NSG_Requirements!S7+NSG_Requirements!T7+NSG_Requirements!U7)/1000</f>
        <v>0</v>
      </c>
      <c r="C33" s="719"/>
      <c r="D33" s="737"/>
      <c r="E33" s="720"/>
      <c r="F33" s="644"/>
      <c r="G33" s="716"/>
      <c r="H33" s="716"/>
      <c r="I33" s="735"/>
    </row>
    <row r="34" spans="1:9" ht="20.25">
      <c r="A34" s="784" t="s">
        <v>89</v>
      </c>
      <c r="B34" s="760">
        <f>NSG_Requirements!D7/1000</f>
        <v>0</v>
      </c>
      <c r="C34" s="719"/>
      <c r="D34" s="737"/>
      <c r="E34" s="720"/>
      <c r="F34" s="644"/>
      <c r="G34" s="716"/>
      <c r="H34" s="716"/>
      <c r="I34" s="735"/>
    </row>
    <row r="35" spans="1:9" ht="20.25">
      <c r="A35" s="785" t="s">
        <v>521</v>
      </c>
      <c r="B35" s="762">
        <f>NSG_Requirements!B7/1000</f>
        <v>0</v>
      </c>
      <c r="C35" s="719"/>
      <c r="D35" s="737"/>
      <c r="E35" s="720"/>
      <c r="F35" s="644"/>
      <c r="G35" s="716"/>
      <c r="H35" s="716"/>
      <c r="I35" s="735"/>
    </row>
    <row r="36" spans="1:9" ht="20.25">
      <c r="A36" s="785" t="s">
        <v>522</v>
      </c>
      <c r="B36" s="762">
        <f>NSG_Supplies!B7/1000</f>
        <v>0</v>
      </c>
      <c r="C36" s="719"/>
      <c r="D36" s="737"/>
      <c r="E36" s="720"/>
      <c r="F36" s="644"/>
      <c r="G36" s="716"/>
      <c r="H36" s="716"/>
      <c r="I36" s="735"/>
    </row>
    <row r="37" spans="1:9" ht="21" thickBot="1">
      <c r="A37" s="784" t="s">
        <v>109</v>
      </c>
      <c r="B37" s="760">
        <f>NSG_Supplies!P7/1000</f>
        <v>0</v>
      </c>
      <c r="C37" s="740"/>
      <c r="D37" s="741"/>
      <c r="E37" s="722"/>
      <c r="F37" s="644"/>
      <c r="G37" s="716"/>
      <c r="H37" s="716"/>
      <c r="I37" s="735"/>
    </row>
    <row r="38" spans="1:9" ht="21" thickBot="1">
      <c r="A38" s="742" t="s">
        <v>510</v>
      </c>
      <c r="B38" s="763">
        <f>-B30+B31+B32-B33-B34-B35+B36+B37</f>
        <v>50</v>
      </c>
      <c r="C38" s="644"/>
      <c r="D38" s="743"/>
      <c r="E38" s="744"/>
      <c r="F38" s="644"/>
      <c r="G38" s="716"/>
      <c r="H38" s="716"/>
      <c r="I38" s="735"/>
    </row>
    <row r="39" spans="1:9" ht="24" thickBot="1">
      <c r="A39" s="723"/>
      <c r="B39" s="724"/>
      <c r="C39" s="832" t="s">
        <v>652</v>
      </c>
      <c r="D39" s="724"/>
      <c r="E39" s="726"/>
      <c r="F39" s="644"/>
      <c r="G39" s="716"/>
      <c r="H39" s="716"/>
      <c r="I39" s="735"/>
    </row>
    <row r="40" spans="1:9" ht="20.25">
      <c r="A40" s="710" t="s">
        <v>511</v>
      </c>
      <c r="B40" s="822">
        <v>0</v>
      </c>
      <c r="C40" s="644"/>
      <c r="D40" s="745"/>
      <c r="E40" s="746"/>
      <c r="F40" s="644"/>
      <c r="G40" s="716"/>
      <c r="H40" s="716"/>
      <c r="I40" s="735"/>
    </row>
    <row r="41" spans="1:9" ht="20.25">
      <c r="A41" s="710" t="s">
        <v>512</v>
      </c>
      <c r="B41" s="823">
        <f>NSG_Requirements!J7/1000</f>
        <v>4.9240000000000004</v>
      </c>
      <c r="C41" s="719"/>
      <c r="D41" s="737"/>
      <c r="E41" s="720"/>
      <c r="F41" s="644"/>
      <c r="G41" s="716"/>
      <c r="H41" s="716"/>
      <c r="I41" s="735"/>
    </row>
    <row r="42" spans="1:9" ht="20.25">
      <c r="A42" s="710" t="s">
        <v>513</v>
      </c>
      <c r="B42" s="824">
        <f>NSG_Supplies!E7/1000</f>
        <v>0</v>
      </c>
      <c r="C42" s="644"/>
      <c r="D42" s="747"/>
      <c r="E42" s="748"/>
      <c r="F42" s="644"/>
      <c r="G42" s="716"/>
      <c r="H42" s="716"/>
      <c r="I42" s="735"/>
    </row>
    <row r="43" spans="1:9" ht="20.25">
      <c r="A43" s="710" t="s">
        <v>514</v>
      </c>
      <c r="B43" s="823">
        <v>0</v>
      </c>
      <c r="C43" s="719"/>
      <c r="D43" s="737"/>
      <c r="E43" s="720"/>
      <c r="F43" s="644"/>
      <c r="G43" s="716"/>
      <c r="H43" s="716"/>
      <c r="I43" s="735"/>
    </row>
    <row r="44" spans="1:9" ht="20.25">
      <c r="A44" s="710" t="s">
        <v>515</v>
      </c>
      <c r="B44" s="823">
        <v>0</v>
      </c>
      <c r="C44" s="719"/>
      <c r="D44" s="737"/>
      <c r="E44" s="720"/>
      <c r="F44" s="644"/>
      <c r="G44" s="716"/>
      <c r="H44" s="716"/>
      <c r="I44" s="735"/>
    </row>
    <row r="45" spans="1:9" ht="21" thickBot="1">
      <c r="A45" s="639" t="s">
        <v>648</v>
      </c>
      <c r="B45" s="824">
        <f>NSG_Supplies!Q7/1000</f>
        <v>20</v>
      </c>
      <c r="C45" s="644"/>
      <c r="D45" s="747"/>
      <c r="E45" s="748"/>
      <c r="F45" s="644"/>
      <c r="G45" s="716"/>
      <c r="H45" s="716"/>
      <c r="I45" s="735"/>
    </row>
    <row r="46" spans="1:9" ht="21" thickBot="1">
      <c r="A46" s="742" t="s">
        <v>510</v>
      </c>
      <c r="B46" s="825">
        <f>B45+B42-B41</f>
        <v>15.076000000000001</v>
      </c>
      <c r="C46" s="750"/>
      <c r="D46" s="749"/>
      <c r="E46" s="751"/>
      <c r="F46" s="644"/>
      <c r="G46" s="716"/>
      <c r="H46" s="716"/>
      <c r="I46" s="735"/>
    </row>
    <row r="47" spans="1:9" ht="24" thickBot="1">
      <c r="A47" s="723"/>
      <c r="B47" s="724"/>
      <c r="C47" s="725" t="s">
        <v>69</v>
      </c>
      <c r="D47" s="724"/>
      <c r="E47" s="726"/>
      <c r="F47" s="644"/>
      <c r="G47" s="716"/>
      <c r="H47" s="716"/>
      <c r="I47" s="735"/>
    </row>
    <row r="48" spans="1:9" ht="20.25">
      <c r="A48" s="710" t="s">
        <v>516</v>
      </c>
      <c r="B48" s="729">
        <f>(NSG_Requirements!V7+NSG_Requirements!W7+NSG_Requirements!X7)/1000</f>
        <v>0</v>
      </c>
      <c r="C48" s="752"/>
      <c r="D48" s="737"/>
      <c r="E48" s="720"/>
      <c r="F48" s="644"/>
      <c r="G48" s="716"/>
      <c r="H48" s="716"/>
      <c r="I48" s="735"/>
    </row>
    <row r="49" spans="1:9" ht="20.25">
      <c r="A49" s="710" t="s">
        <v>517</v>
      </c>
      <c r="B49" s="736">
        <f>NSG_Requirements!M7/1000</f>
        <v>0</v>
      </c>
      <c r="C49" s="756"/>
      <c r="D49" s="756"/>
      <c r="E49" s="645"/>
      <c r="F49" s="644"/>
      <c r="G49" s="716"/>
      <c r="H49" s="716"/>
      <c r="I49" s="735"/>
    </row>
    <row r="50" spans="1:9" ht="20.25">
      <c r="A50" s="710" t="s">
        <v>89</v>
      </c>
      <c r="B50" s="736">
        <f>NSG_Requirements!E7/1000</f>
        <v>0</v>
      </c>
      <c r="C50" s="753"/>
      <c r="D50" s="747"/>
      <c r="E50" s="748"/>
      <c r="F50" s="644"/>
      <c r="G50" s="716"/>
      <c r="H50" s="716"/>
      <c r="I50" s="735"/>
    </row>
    <row r="51" spans="1:9" ht="21" thickBot="1">
      <c r="A51" s="710" t="s">
        <v>109</v>
      </c>
      <c r="B51" s="739">
        <f>NSG_Supplies!O7/1000</f>
        <v>0</v>
      </c>
      <c r="C51" s="752"/>
      <c r="D51" s="737"/>
      <c r="E51" s="720"/>
      <c r="F51" s="644"/>
      <c r="G51" s="716"/>
      <c r="H51" s="716"/>
      <c r="I51" s="735"/>
    </row>
    <row r="52" spans="1:9" ht="24" thickBot="1">
      <c r="A52" s="723"/>
      <c r="B52" s="724"/>
      <c r="C52" s="725" t="s">
        <v>518</v>
      </c>
      <c r="D52" s="724"/>
      <c r="E52" s="726"/>
      <c r="F52" s="644"/>
      <c r="G52" s="716"/>
      <c r="H52" s="716"/>
      <c r="I52" s="735"/>
    </row>
    <row r="53" spans="1:9" ht="20.25">
      <c r="A53" s="754" t="s">
        <v>519</v>
      </c>
      <c r="B53" s="755"/>
      <c r="C53" s="644"/>
      <c r="D53" s="745"/>
      <c r="E53" s="746"/>
      <c r="F53" s="644"/>
      <c r="G53" s="716"/>
      <c r="H53" s="716"/>
      <c r="I53" s="735"/>
    </row>
    <row r="54" spans="1:9" ht="21" thickBot="1">
      <c r="A54" s="757" t="s">
        <v>520</v>
      </c>
      <c r="B54" s="766"/>
      <c r="C54" s="767"/>
      <c r="D54" s="768"/>
      <c r="E54" s="769"/>
      <c r="F54" s="758"/>
      <c r="G54" s="770"/>
      <c r="H54" s="1095"/>
      <c r="I54" s="1094"/>
    </row>
    <row r="55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90" t="s">
        <v>11</v>
      </c>
      <c r="B1" s="254"/>
      <c r="C1" s="254"/>
      <c r="D1" s="254"/>
      <c r="E1" s="255" t="s">
        <v>173</v>
      </c>
      <c r="F1" s="462">
        <f>Weather_Input!A5</f>
        <v>36957</v>
      </c>
      <c r="G1" s="256" t="s">
        <v>11</v>
      </c>
      <c r="H1" s="254"/>
      <c r="I1" s="257"/>
    </row>
    <row r="2" spans="1:9" ht="17.100000000000001" customHeight="1">
      <c r="A2" s="258" t="s">
        <v>11</v>
      </c>
      <c r="B2" s="259"/>
      <c r="C2" s="259"/>
      <c r="D2" s="259" t="s">
        <v>11</v>
      </c>
      <c r="E2" s="259"/>
      <c r="F2" s="259"/>
      <c r="G2" s="259"/>
      <c r="H2" s="259" t="s">
        <v>11</v>
      </c>
      <c r="I2" s="260"/>
    </row>
    <row r="3" spans="1:9" ht="17.100000000000001" customHeight="1" thickBot="1">
      <c r="A3" s="258"/>
      <c r="B3" s="457" t="s">
        <v>541</v>
      </c>
      <c r="C3" s="453">
        <v>44</v>
      </c>
      <c r="D3" s="259"/>
      <c r="E3" s="259"/>
      <c r="F3" s="453" t="s">
        <v>397</v>
      </c>
      <c r="G3" s="453"/>
      <c r="H3" s="261" t="s">
        <v>174</v>
      </c>
      <c r="I3" s="260"/>
    </row>
    <row r="4" spans="1:9" ht="17.100000000000001" customHeight="1">
      <c r="A4" s="262" t="s">
        <v>175</v>
      </c>
      <c r="B4" s="262" t="s">
        <v>175</v>
      </c>
      <c r="C4" s="263" t="s">
        <v>176</v>
      </c>
      <c r="D4" s="263" t="s">
        <v>23</v>
      </c>
      <c r="E4" s="263" t="s">
        <v>176</v>
      </c>
      <c r="F4" s="263" t="s">
        <v>23</v>
      </c>
      <c r="G4" s="263" t="s">
        <v>176</v>
      </c>
      <c r="H4" s="263" t="s">
        <v>23</v>
      </c>
      <c r="I4" s="264" t="s">
        <v>176</v>
      </c>
    </row>
    <row r="5" spans="1:9" ht="17.100000000000001" customHeight="1">
      <c r="A5" s="265" t="s">
        <v>177</v>
      </c>
      <c r="B5" s="266">
        <f>Weather_Input!B5</f>
        <v>44</v>
      </c>
      <c r="C5" s="266">
        <f>Weather_Input!C5</f>
        <v>30</v>
      </c>
      <c r="D5" s="266"/>
      <c r="E5" s="266"/>
      <c r="F5" s="266"/>
      <c r="G5" s="266"/>
      <c r="H5" s="266"/>
      <c r="I5" s="267"/>
    </row>
    <row r="6" spans="1:9" ht="17.100000000000001" customHeight="1">
      <c r="A6" s="265" t="s">
        <v>178</v>
      </c>
      <c r="B6" s="268"/>
      <c r="C6" s="269"/>
      <c r="D6" s="269"/>
      <c r="E6" s="269"/>
      <c r="F6" s="269"/>
      <c r="G6" s="269"/>
      <c r="H6" s="269"/>
      <c r="I6" s="267"/>
    </row>
    <row r="7" spans="1:9" ht="17.100000000000001" customHeight="1" thickBot="1">
      <c r="A7" s="258" t="s">
        <v>179</v>
      </c>
      <c r="B7" s="270"/>
      <c r="C7" s="271"/>
      <c r="D7" s="259"/>
      <c r="E7" s="270"/>
      <c r="F7" s="271"/>
      <c r="G7" s="271"/>
      <c r="H7" s="271"/>
      <c r="I7" s="260"/>
    </row>
    <row r="8" spans="1:9" ht="17.100000000000001" customHeight="1" thickBot="1">
      <c r="A8" s="272" t="s">
        <v>180</v>
      </c>
      <c r="B8" s="273">
        <f>PGL_Deliveries!C5/1000</f>
        <v>955</v>
      </c>
      <c r="C8" s="274">
        <f>NSG_Deliveries!C5/1000</f>
        <v>152</v>
      </c>
      <c r="D8" s="273" t="s">
        <v>11</v>
      </c>
      <c r="E8" s="275"/>
      <c r="F8" s="276"/>
      <c r="G8" s="276"/>
      <c r="H8" s="276"/>
      <c r="I8" s="257"/>
    </row>
    <row r="9" spans="1:9" ht="17.100000000000001" customHeight="1" thickTop="1" thickBot="1">
      <c r="A9" s="277"/>
      <c r="B9" s="456" t="s">
        <v>55</v>
      </c>
      <c r="C9" s="278" t="s">
        <v>83</v>
      </c>
      <c r="D9" s="279"/>
      <c r="E9" s="279"/>
      <c r="F9" s="279"/>
      <c r="G9" s="279"/>
      <c r="H9" s="279"/>
      <c r="I9" s="280"/>
    </row>
    <row r="10" spans="1:9" ht="17.100000000000001" customHeight="1" thickTop="1">
      <c r="A10" s="281" t="s">
        <v>68</v>
      </c>
      <c r="B10" s="282">
        <f>B62</f>
        <v>70</v>
      </c>
      <c r="C10" s="268"/>
      <c r="D10" s="266"/>
      <c r="E10" s="268"/>
      <c r="F10" s="268"/>
      <c r="G10" s="268"/>
      <c r="H10" s="268"/>
      <c r="I10" s="267" t="s">
        <v>11</v>
      </c>
    </row>
    <row r="11" spans="1:9" ht="17.100000000000001" customHeight="1">
      <c r="A11" s="283" t="s">
        <v>181</v>
      </c>
      <c r="B11" s="282">
        <f>+B54</f>
        <v>434.017</v>
      </c>
      <c r="C11" s="284" t="s">
        <v>11</v>
      </c>
      <c r="D11" s="266"/>
      <c r="E11" s="284" t="str">
        <f>+C11</f>
        <v xml:space="preserve"> </v>
      </c>
      <c r="F11" s="268"/>
      <c r="G11" s="284" t="str">
        <f>+C11</f>
        <v xml:space="preserve"> </v>
      </c>
      <c r="H11" s="268"/>
      <c r="I11" s="285" t="str">
        <f>+C11</f>
        <v xml:space="preserve"> </v>
      </c>
    </row>
    <row r="12" spans="1:9" ht="17.100000000000001" customHeight="1">
      <c r="A12" s="258" t="s">
        <v>182</v>
      </c>
      <c r="B12" s="282">
        <f>PGL_Supplies!K7/1000</f>
        <v>0</v>
      </c>
      <c r="C12" s="284"/>
      <c r="D12" s="266"/>
      <c r="E12" s="268"/>
      <c r="F12" s="268"/>
      <c r="G12" s="268"/>
      <c r="H12" s="268"/>
      <c r="I12" s="267"/>
    </row>
    <row r="13" spans="1:9" ht="17.100000000000001" customHeight="1">
      <c r="A13" s="283" t="s">
        <v>74</v>
      </c>
      <c r="B13" s="282">
        <f>PGL_Supplies!I7/1000</f>
        <v>4.4610000000000003</v>
      </c>
      <c r="C13" s="268"/>
      <c r="D13" s="461"/>
      <c r="E13" s="268"/>
      <c r="F13" s="268"/>
      <c r="G13" s="268"/>
      <c r="H13" s="268"/>
      <c r="I13" s="267"/>
    </row>
    <row r="14" spans="1:9" ht="17.100000000000001" customHeight="1">
      <c r="A14" s="283" t="s">
        <v>183</v>
      </c>
      <c r="B14" s="286">
        <f>+B72</f>
        <v>359.11199999999997</v>
      </c>
      <c r="C14" s="268"/>
      <c r="D14" s="266"/>
      <c r="E14" s="268"/>
      <c r="F14" s="268"/>
      <c r="G14" s="268"/>
      <c r="H14" s="268"/>
      <c r="I14" s="267"/>
    </row>
    <row r="15" spans="1:9" ht="17.100000000000001" customHeight="1">
      <c r="A15" s="283" t="s">
        <v>184</v>
      </c>
      <c r="B15" s="282">
        <f>+B46</f>
        <v>2.8019999999999996</v>
      </c>
      <c r="C15" s="268" t="s">
        <v>11</v>
      </c>
      <c r="D15" s="266" t="s">
        <v>11</v>
      </c>
      <c r="E15" s="268"/>
      <c r="F15" s="461"/>
      <c r="G15" s="268"/>
      <c r="H15" s="268"/>
      <c r="I15" s="267"/>
    </row>
    <row r="16" spans="1:9" ht="17.100000000000001" customHeight="1">
      <c r="A16" s="258" t="s">
        <v>185</v>
      </c>
      <c r="B16" s="282">
        <f>PGL_Requirements!G7/1000</f>
        <v>72.634</v>
      </c>
      <c r="C16" s="268"/>
      <c r="D16" s="266"/>
      <c r="E16" s="268"/>
      <c r="F16" s="306" t="s">
        <v>11</v>
      </c>
      <c r="G16" s="268"/>
      <c r="H16" s="268"/>
      <c r="I16" s="267"/>
    </row>
    <row r="17" spans="1:9" ht="17.100000000000001" customHeight="1" thickBot="1">
      <c r="A17" s="283" t="s">
        <v>186</v>
      </c>
      <c r="B17" s="282">
        <f>PGL_Supplies!B7/1000</f>
        <v>0</v>
      </c>
      <c r="C17" s="268"/>
      <c r="D17" s="259"/>
      <c r="E17" s="268"/>
      <c r="F17" s="268"/>
      <c r="G17" s="268"/>
      <c r="H17" s="268"/>
      <c r="I17" s="287"/>
    </row>
    <row r="18" spans="1:9" ht="17.100000000000001" customHeight="1" thickBot="1">
      <c r="A18" s="288" t="s">
        <v>402</v>
      </c>
      <c r="B18" s="458">
        <f>-B10-B11-B12-B13-B14-B15+B16-B17</f>
        <v>-797.75799999999992</v>
      </c>
      <c r="C18" s="289">
        <f>-I63</f>
        <v>-50</v>
      </c>
      <c r="D18" s="290" t="s">
        <v>11</v>
      </c>
      <c r="E18" s="289">
        <f>-I63</f>
        <v>-50</v>
      </c>
      <c r="F18" s="290" t="s">
        <v>11</v>
      </c>
      <c r="G18" s="289">
        <f>-I63</f>
        <v>-50</v>
      </c>
      <c r="H18" s="290" t="s">
        <v>11</v>
      </c>
      <c r="I18" s="291"/>
    </row>
    <row r="19" spans="1:9" ht="17.100000000000001" customHeight="1">
      <c r="A19" s="292" t="s">
        <v>61</v>
      </c>
      <c r="B19" s="293">
        <f>-PGL_Supplies!J7/1000</f>
        <v>0</v>
      </c>
      <c r="C19" s="294">
        <f>-NSG_Supplies!U7/1000</f>
        <v>0</v>
      </c>
      <c r="D19" s="254"/>
      <c r="E19" s="275"/>
      <c r="F19" s="254"/>
      <c r="G19" s="275"/>
      <c r="H19" s="276"/>
      <c r="I19" s="267"/>
    </row>
    <row r="20" spans="1:9" ht="17.100000000000001" customHeight="1">
      <c r="A20" s="292" t="s">
        <v>187</v>
      </c>
      <c r="B20" s="282">
        <f>B8+B18+B19</f>
        <v>157.24200000000008</v>
      </c>
      <c r="C20" s="295">
        <f>C8+C18+C19</f>
        <v>102</v>
      </c>
      <c r="D20" s="266"/>
      <c r="E20" s="268"/>
      <c r="F20" s="266"/>
      <c r="G20" s="268"/>
      <c r="H20" s="269"/>
      <c r="I20" s="260"/>
    </row>
    <row r="21" spans="1:9" ht="17.100000000000001" customHeight="1">
      <c r="A21" s="292" t="s">
        <v>188</v>
      </c>
      <c r="B21" s="282">
        <v>0</v>
      </c>
      <c r="C21" s="268"/>
      <c r="D21" s="266"/>
      <c r="E21" s="268"/>
      <c r="F21" s="266"/>
      <c r="G21" s="268"/>
      <c r="H21" s="269"/>
      <c r="I21" s="296"/>
    </row>
    <row r="22" spans="1:9" ht="17.100000000000001" customHeight="1">
      <c r="A22" s="292" t="s">
        <v>189</v>
      </c>
      <c r="B22" s="282">
        <f>+B44</f>
        <v>0</v>
      </c>
      <c r="C22" s="268"/>
      <c r="D22" s="266"/>
      <c r="E22" s="268"/>
      <c r="F22" s="297" t="s">
        <v>11</v>
      </c>
      <c r="G22" s="306"/>
      <c r="H22" s="298" t="s">
        <v>11</v>
      </c>
      <c r="I22" s="260"/>
    </row>
    <row r="23" spans="1:9" ht="17.100000000000001" customHeight="1">
      <c r="A23" s="299" t="s">
        <v>190</v>
      </c>
      <c r="B23" s="300">
        <f>B20+B21+B22</f>
        <v>157.24200000000008</v>
      </c>
      <c r="C23" s="301">
        <f>C20</f>
        <v>102</v>
      </c>
      <c r="D23" s="266"/>
      <c r="E23" s="268"/>
      <c r="F23" s="302"/>
      <c r="G23" s="268"/>
      <c r="H23" s="303" t="s">
        <v>11</v>
      </c>
      <c r="I23" s="304" t="s">
        <v>11</v>
      </c>
    </row>
    <row r="24" spans="1:9" ht="17.100000000000001" customHeight="1" thickBot="1">
      <c r="A24" s="305" t="s">
        <v>191</v>
      </c>
      <c r="B24" s="306">
        <f>-NSG_Requirements!$L$7/1000</f>
        <v>0</v>
      </c>
      <c r="C24" s="306">
        <f>NSG_Requirements!$L$7/1000</f>
        <v>0</v>
      </c>
      <c r="D24" s="307">
        <f>B24</f>
        <v>0</v>
      </c>
      <c r="E24" s="306">
        <f>C24</f>
        <v>0</v>
      </c>
      <c r="F24" s="307">
        <f>B24</f>
        <v>0</v>
      </c>
      <c r="G24" s="306">
        <f>C24</f>
        <v>0</v>
      </c>
      <c r="H24" s="452">
        <f>B24</f>
        <v>0</v>
      </c>
      <c r="I24" s="308">
        <f>C24</f>
        <v>0</v>
      </c>
    </row>
    <row r="25" spans="1:9" ht="17.100000000000001" customHeight="1" thickTop="1" thickBot="1">
      <c r="A25" s="277"/>
      <c r="B25" s="279"/>
      <c r="C25" s="488" t="s">
        <v>11</v>
      </c>
      <c r="D25" s="279"/>
      <c r="E25" s="279"/>
      <c r="F25" s="279"/>
      <c r="G25" s="279"/>
      <c r="H25" s="279"/>
      <c r="I25" s="280"/>
    </row>
    <row r="26" spans="1:9" ht="17.25" customHeight="1" thickTop="1">
      <c r="A26" s="309" t="s">
        <v>192</v>
      </c>
      <c r="B26" s="310">
        <f>PGL_Requirements!L7/1000</f>
        <v>0</v>
      </c>
      <c r="C26" s="310">
        <f>NSG_Requirements!C7/1000</f>
        <v>0</v>
      </c>
      <c r="D26" s="310">
        <f>B26</f>
        <v>0</v>
      </c>
      <c r="E26" s="310">
        <f>+C26</f>
        <v>0</v>
      </c>
      <c r="F26" s="310">
        <f>B26</f>
        <v>0</v>
      </c>
      <c r="G26" s="310">
        <f>+C26</f>
        <v>0</v>
      </c>
      <c r="H26" s="311">
        <f>B26</f>
        <v>0</v>
      </c>
      <c r="I26" s="312">
        <f>+C26</f>
        <v>0</v>
      </c>
    </row>
    <row r="27" spans="1:9" ht="17.25" customHeight="1">
      <c r="A27" s="309" t="s">
        <v>193</v>
      </c>
      <c r="B27" s="310">
        <f>PGL_Requirements!R7/1000</f>
        <v>0.38</v>
      </c>
      <c r="C27" s="310">
        <f>NSG_Requirements!P7/1000</f>
        <v>0</v>
      </c>
      <c r="D27" s="310">
        <f>PGL_Requirements!R7/1000</f>
        <v>0.38</v>
      </c>
      <c r="E27" s="310">
        <f>NSG_Requirements!P7/1000</f>
        <v>0</v>
      </c>
      <c r="F27" s="310">
        <f>PGL_Requirements!R7/1000</f>
        <v>0.38</v>
      </c>
      <c r="G27" s="310">
        <f>NSG_Requirements!P7/1000</f>
        <v>0</v>
      </c>
      <c r="H27" s="311">
        <f>+B27</f>
        <v>0.38</v>
      </c>
      <c r="I27" s="312">
        <f>+C27</f>
        <v>0</v>
      </c>
    </row>
    <row r="28" spans="1:9" ht="17.100000000000001" customHeight="1">
      <c r="A28" s="322" t="s">
        <v>194</v>
      </c>
      <c r="B28" s="315">
        <v>0</v>
      </c>
      <c r="C28" s="315">
        <v>0</v>
      </c>
      <c r="D28" s="315">
        <v>0</v>
      </c>
      <c r="E28" s="315">
        <v>0</v>
      </c>
      <c r="F28" s="315">
        <v>0</v>
      </c>
      <c r="G28" s="315">
        <f>C28</f>
        <v>0</v>
      </c>
      <c r="H28" s="320">
        <f>B28</f>
        <v>0</v>
      </c>
      <c r="I28" s="321">
        <f>C28</f>
        <v>0</v>
      </c>
    </row>
    <row r="29" spans="1:9" ht="17.100000000000001" customHeight="1">
      <c r="A29" s="322" t="s">
        <v>195</v>
      </c>
      <c r="B29" s="419">
        <f>-PGL_Supplies!N7/1000</f>
        <v>0</v>
      </c>
      <c r="C29" s="419">
        <f>-NSG_Supplies!I7/1000</f>
        <v>0</v>
      </c>
      <c r="D29" s="315">
        <f>-PGL_Supplies!N7/1000</f>
        <v>0</v>
      </c>
      <c r="E29" s="315">
        <f>-NSG_Supplies!I7/1000</f>
        <v>0</v>
      </c>
      <c r="F29" s="315">
        <f>-PGL_Supplies!N7/1000</f>
        <v>0</v>
      </c>
      <c r="G29" s="315">
        <f>-NSG_Supplies!I7/1000</f>
        <v>0</v>
      </c>
      <c r="H29" s="320">
        <f>-PGL_Supplies!N7/1000</f>
        <v>0</v>
      </c>
      <c r="I29" s="321">
        <f>-NSG_Supplies!I7/1000</f>
        <v>0</v>
      </c>
    </row>
    <row r="30" spans="1:9" ht="17.100000000000001" customHeight="1">
      <c r="A30" s="319" t="s">
        <v>410</v>
      </c>
      <c r="B30" s="315">
        <f>-PGL_Supplies!O7/1000</f>
        <v>0</v>
      </c>
      <c r="C30" s="315">
        <f>-NSG_Supplies!J7/1000</f>
        <v>0</v>
      </c>
      <c r="D30" s="315">
        <f>-PGL_Supplies!O7/1000</f>
        <v>0</v>
      </c>
      <c r="E30" s="315">
        <f>-NSG_Supplies!J7/1000</f>
        <v>0</v>
      </c>
      <c r="F30" s="315">
        <f>-PGL_Supplies!O7/1000</f>
        <v>0</v>
      </c>
      <c r="G30" s="315">
        <f>-NSG_Supplies!J7/1000</f>
        <v>0</v>
      </c>
      <c r="H30" s="320">
        <f>-PGL_Supplies!O7/1000</f>
        <v>0</v>
      </c>
      <c r="I30" s="321">
        <f>-NSG_Supplies!J7/1000</f>
        <v>0</v>
      </c>
    </row>
    <row r="31" spans="1:9" ht="17.100000000000001" customHeight="1">
      <c r="A31" s="314" t="s">
        <v>196</v>
      </c>
      <c r="B31" s="420">
        <f>(PGL_Requirements!$Y$7+PGL_Requirements!$Z$7+PGL_Requirements!$AA$7)/1000+(NSG_Requirements!$Y$7+NSG_Requirements!$Z$7+NSG_Requirements!$AA$7)/1000</f>
        <v>0</v>
      </c>
      <c r="C31" s="420">
        <f>-(PGL_Requirements!$Y$7+PGL_Requirements!$Z$7+PGL_Requirements!$AA$7)/1000+(NSG_Requirements!$Y$7+NSG_Requirements!$Z$7+NSG_Requirements!$AA$7)/1000</f>
        <v>0</v>
      </c>
      <c r="D31" s="310">
        <f>+B31</f>
        <v>0</v>
      </c>
      <c r="E31" s="315">
        <f>+C31</f>
        <v>0</v>
      </c>
      <c r="F31" s="310">
        <f>+B31</f>
        <v>0</v>
      </c>
      <c r="G31" s="315">
        <f>+E31</f>
        <v>0</v>
      </c>
      <c r="H31" s="311">
        <f>+B31</f>
        <v>0</v>
      </c>
      <c r="I31" s="312">
        <f>+C31</f>
        <v>0</v>
      </c>
    </row>
    <row r="32" spans="1:9" ht="17.100000000000001" customHeight="1">
      <c r="A32" s="322" t="s">
        <v>197</v>
      </c>
      <c r="B32" s="315">
        <f>-PGL_Supplies!AC7/1000</f>
        <v>-276.72300000000001</v>
      </c>
      <c r="C32" s="315">
        <f>-NSG_Supplies!R7/1000</f>
        <v>-103.63200000000001</v>
      </c>
      <c r="D32" s="315">
        <f>B32</f>
        <v>-276.72300000000001</v>
      </c>
      <c r="E32" s="315">
        <f>C32</f>
        <v>-103.63200000000001</v>
      </c>
      <c r="F32" s="315">
        <f>B32</f>
        <v>-276.72300000000001</v>
      </c>
      <c r="G32" s="315">
        <f>C32</f>
        <v>-103.63200000000001</v>
      </c>
      <c r="H32" s="320">
        <f>B32</f>
        <v>-276.72300000000001</v>
      </c>
      <c r="I32" s="321">
        <f>C32</f>
        <v>-103.63200000000001</v>
      </c>
    </row>
    <row r="33" spans="1:9" ht="17.100000000000001" customHeight="1">
      <c r="A33" s="319" t="s">
        <v>394</v>
      </c>
      <c r="B33" s="315">
        <f>-PGL_Supplies!X7/1000</f>
        <v>0</v>
      </c>
      <c r="C33" s="315">
        <f>-NSG_Supplies!S7/1000</f>
        <v>-33.622999999999998</v>
      </c>
      <c r="D33" s="315">
        <f>B33</f>
        <v>0</v>
      </c>
      <c r="E33" s="315">
        <f>C33</f>
        <v>-33.622999999999998</v>
      </c>
      <c r="F33" s="315">
        <f>B33</f>
        <v>0</v>
      </c>
      <c r="G33" s="315">
        <f>C33</f>
        <v>-33.622999999999998</v>
      </c>
      <c r="H33" s="320">
        <f>B33</f>
        <v>0</v>
      </c>
      <c r="I33" s="321">
        <f>C33</f>
        <v>-33.622999999999998</v>
      </c>
    </row>
    <row r="34" spans="1:9" ht="17.100000000000001" customHeight="1">
      <c r="A34" s="309" t="s">
        <v>198</v>
      </c>
      <c r="B34" s="310">
        <f>PGL_Requirements!S7/1000</f>
        <v>0</v>
      </c>
      <c r="C34" s="310" t="s">
        <v>11</v>
      </c>
      <c r="D34" s="310">
        <f>+B34</f>
        <v>0</v>
      </c>
      <c r="E34" s="313"/>
      <c r="F34" s="310">
        <f>+D34</f>
        <v>0</v>
      </c>
      <c r="G34" s="313"/>
      <c r="H34" s="311">
        <f>+B34</f>
        <v>0</v>
      </c>
      <c r="I34" s="312" t="str">
        <f>+C34</f>
        <v xml:space="preserve"> </v>
      </c>
    </row>
    <row r="35" spans="1:9" ht="17.100000000000001" customHeight="1">
      <c r="A35" s="316" t="s">
        <v>199</v>
      </c>
      <c r="B35" s="310">
        <f>PGL_Requirements!O7/1000</f>
        <v>77.366</v>
      </c>
      <c r="C35" s="310">
        <f>NSG_Requirements!H7/1000</f>
        <v>20.619</v>
      </c>
      <c r="D35" s="313"/>
      <c r="E35" s="313"/>
      <c r="F35" s="313"/>
      <c r="G35" s="313"/>
      <c r="H35" s="317"/>
      <c r="I35" s="318"/>
    </row>
    <row r="36" spans="1:9" ht="17.100000000000001" customHeight="1">
      <c r="A36" s="316" t="s">
        <v>200</v>
      </c>
      <c r="B36" s="315">
        <f>-PGL_Supplies!L7/1000</f>
        <v>0</v>
      </c>
      <c r="C36" s="315">
        <f>-NSG_Supplies!F7/1000</f>
        <v>0</v>
      </c>
      <c r="D36" s="313"/>
      <c r="E36" s="313"/>
      <c r="F36" s="313"/>
      <c r="G36" s="313"/>
      <c r="H36" s="317"/>
      <c r="I36" s="318"/>
    </row>
    <row r="37" spans="1:9" ht="17.100000000000001" customHeight="1">
      <c r="A37" s="319" t="s">
        <v>411</v>
      </c>
      <c r="B37" s="310">
        <f>PGL_Requirements!M7/1000</f>
        <v>0</v>
      </c>
      <c r="C37" s="323" t="s">
        <v>11</v>
      </c>
      <c r="D37" s="310">
        <f>PGL_Requirements!M7/1000</f>
        <v>0</v>
      </c>
      <c r="E37" s="313"/>
      <c r="F37" s="310">
        <f>PGL_Requirements!M7/1000</f>
        <v>0</v>
      </c>
      <c r="G37" s="310" t="s">
        <v>11</v>
      </c>
      <c r="H37" s="317"/>
      <c r="I37" s="333"/>
    </row>
    <row r="38" spans="1:9" ht="17.100000000000001" customHeight="1" thickBot="1">
      <c r="A38" s="325" t="s">
        <v>201</v>
      </c>
      <c r="B38" s="310" t="e">
        <f>PGL_Requirements!#REF!/1000</f>
        <v>#REF!</v>
      </c>
      <c r="C38" s="315">
        <f>NSG_Supplies!K7/1000</f>
        <v>0</v>
      </c>
      <c r="D38" s="313"/>
      <c r="E38" s="313"/>
      <c r="F38" s="313"/>
      <c r="G38" s="313"/>
      <c r="H38" s="324" t="e">
        <f>B38</f>
        <v>#REF!</v>
      </c>
      <c r="I38" s="333"/>
    </row>
    <row r="39" spans="1:9" ht="17.100000000000001" customHeight="1" thickBot="1">
      <c r="A39" s="326" t="s">
        <v>11</v>
      </c>
      <c r="B39" s="487" t="s">
        <v>418</v>
      </c>
      <c r="C39" s="485"/>
      <c r="D39" s="486"/>
      <c r="E39" s="328"/>
      <c r="F39" s="329" t="s">
        <v>202</v>
      </c>
      <c r="G39" s="328"/>
      <c r="H39" s="330"/>
      <c r="I39" s="331"/>
    </row>
    <row r="40" spans="1:9" ht="17.100000000000001" customHeight="1">
      <c r="A40" s="332" t="s">
        <v>203</v>
      </c>
      <c r="B40" s="315">
        <f>PGL_Requirements!P7/1000</f>
        <v>0</v>
      </c>
      <c r="C40" s="315" t="s">
        <v>11</v>
      </c>
      <c r="D40" s="396"/>
      <c r="E40" s="333"/>
      <c r="F40" s="334" t="s">
        <v>204</v>
      </c>
      <c r="G40" s="313"/>
      <c r="H40" s="335"/>
      <c r="I40" s="336"/>
    </row>
    <row r="41" spans="1:9" ht="17.100000000000001" customHeight="1">
      <c r="A41" s="332" t="s">
        <v>205</v>
      </c>
      <c r="B41" s="324">
        <f>PGL_Supplies!M7/1000</f>
        <v>1.1299999999999999</v>
      </c>
      <c r="C41" s="315" t="s">
        <v>11</v>
      </c>
      <c r="D41" s="313"/>
      <c r="E41" s="333"/>
      <c r="F41" s="337" t="s">
        <v>206</v>
      </c>
      <c r="G41" s="313"/>
      <c r="H41" s="317"/>
      <c r="I41" s="336"/>
    </row>
    <row r="42" spans="1:9" ht="17.100000000000001" customHeight="1">
      <c r="A42" s="332" t="s">
        <v>207</v>
      </c>
      <c r="B42" s="315">
        <f>PGL_Requirements!B7/1000</f>
        <v>0</v>
      </c>
      <c r="C42" s="315" t="s">
        <v>11</v>
      </c>
      <c r="D42" s="313"/>
      <c r="E42" s="333"/>
      <c r="F42" s="337" t="s">
        <v>208</v>
      </c>
      <c r="G42" s="313"/>
      <c r="H42" s="317"/>
      <c r="I42" s="336"/>
    </row>
    <row r="43" spans="1:9" ht="17.100000000000001" customHeight="1">
      <c r="A43" s="332" t="s">
        <v>209</v>
      </c>
      <c r="B43" s="315">
        <f>PGL_Supplies!H7/1000</f>
        <v>1.6719999999999999</v>
      </c>
      <c r="C43" s="313"/>
      <c r="D43" s="313"/>
      <c r="E43" s="333"/>
      <c r="F43" s="338" t="s">
        <v>210</v>
      </c>
      <c r="G43" s="313"/>
      <c r="H43" s="317"/>
      <c r="I43" s="336"/>
    </row>
    <row r="44" spans="1:9" ht="17.100000000000001" customHeight="1">
      <c r="A44" s="332" t="s">
        <v>189</v>
      </c>
      <c r="B44" s="339">
        <f>+B48+B47+B45</f>
        <v>0</v>
      </c>
      <c r="C44" s="340"/>
      <c r="D44" s="313"/>
      <c r="E44" s="333"/>
      <c r="F44" s="337" t="s">
        <v>211</v>
      </c>
      <c r="G44" s="313"/>
      <c r="H44" s="317"/>
      <c r="I44" s="336"/>
    </row>
    <row r="45" spans="1:9" ht="17.100000000000001" customHeight="1">
      <c r="A45" s="332" t="s">
        <v>212</v>
      </c>
      <c r="B45" s="315">
        <f>PGL_Requirements!Q7/1000</f>
        <v>0</v>
      </c>
      <c r="C45" s="313"/>
      <c r="D45" s="313"/>
      <c r="E45" s="333"/>
      <c r="F45" s="342" t="s">
        <v>213</v>
      </c>
      <c r="G45" s="313"/>
      <c r="H45" s="317"/>
      <c r="I45" s="336"/>
    </row>
    <row r="46" spans="1:9" ht="17.100000000000001" customHeight="1">
      <c r="A46" s="322" t="s">
        <v>214</v>
      </c>
      <c r="B46" s="315">
        <f>+B47+B43+B41</f>
        <v>2.8019999999999996</v>
      </c>
      <c r="C46" s="313"/>
      <c r="D46" s="313"/>
      <c r="E46" s="333"/>
      <c r="F46" s="337" t="s">
        <v>215</v>
      </c>
      <c r="G46" s="313"/>
      <c r="H46" s="317"/>
      <c r="I46" s="336"/>
    </row>
    <row r="47" spans="1:9" ht="17.100000000000001" customHeight="1">
      <c r="A47" s="332" t="s">
        <v>216</v>
      </c>
      <c r="B47" s="341">
        <v>0</v>
      </c>
      <c r="C47" s="313"/>
      <c r="D47" s="313"/>
      <c r="E47" s="333"/>
      <c r="F47" s="337" t="s">
        <v>217</v>
      </c>
      <c r="G47" s="313"/>
      <c r="H47" s="317"/>
      <c r="I47" s="336"/>
    </row>
    <row r="48" spans="1:9" ht="17.100000000000001" customHeight="1" thickBot="1">
      <c r="A48" s="425" t="s">
        <v>218</v>
      </c>
      <c r="B48" s="343">
        <v>0</v>
      </c>
      <c r="C48" s="344"/>
      <c r="D48" s="344"/>
      <c r="E48" s="345"/>
      <c r="F48" s="338" t="s">
        <v>219</v>
      </c>
      <c r="G48" s="313"/>
      <c r="H48" s="317"/>
      <c r="I48" s="336"/>
    </row>
    <row r="49" spans="1:9" ht="17.100000000000001" customHeight="1" thickTop="1" thickBot="1">
      <c r="A49" s="346" t="s">
        <v>11</v>
      </c>
      <c r="B49" s="327" t="s">
        <v>371</v>
      </c>
      <c r="C49" s="347"/>
      <c r="D49" s="347"/>
      <c r="E49" s="347" t="s">
        <v>11</v>
      </c>
      <c r="F49" s="348" t="s">
        <v>220</v>
      </c>
      <c r="G49" s="349"/>
      <c r="H49" s="350"/>
      <c r="I49" s="336"/>
    </row>
    <row r="50" spans="1:9" ht="17.100000000000001" customHeight="1">
      <c r="A50" s="332" t="s">
        <v>415</v>
      </c>
      <c r="B50" s="324">
        <f>PGL_Supplies!V7/1000+PGL_Supplies!D7/1000</f>
        <v>296.28199999999998</v>
      </c>
      <c r="C50" s="313"/>
      <c r="D50" s="313"/>
      <c r="E50" s="313"/>
      <c r="F50" s="319" t="s">
        <v>407</v>
      </c>
      <c r="G50" s="351"/>
      <c r="H50" s="352"/>
      <c r="I50" s="336"/>
    </row>
    <row r="51" spans="1:9" ht="17.100000000000001" customHeight="1">
      <c r="A51" s="332" t="s">
        <v>221</v>
      </c>
      <c r="B51" s="324">
        <f>PGL_Supplies!AA7/1000</f>
        <v>137.73500000000001</v>
      </c>
      <c r="C51" s="340"/>
      <c r="D51" s="313"/>
      <c r="E51" s="313"/>
      <c r="F51" s="353" t="s">
        <v>222</v>
      </c>
      <c r="G51" s="351"/>
      <c r="H51" s="317"/>
      <c r="I51" s="336"/>
    </row>
    <row r="52" spans="1:9" ht="17.100000000000001" customHeight="1" thickBot="1">
      <c r="A52" s="332" t="s">
        <v>372</v>
      </c>
      <c r="B52" s="324">
        <f>NSG_Supplies!O7/1000+PGL_Supplies!Q7/1000</f>
        <v>0</v>
      </c>
      <c r="C52" s="313"/>
      <c r="D52" s="313"/>
      <c r="E52" s="313"/>
      <c r="F52" s="354" t="s">
        <v>223</v>
      </c>
      <c r="G52" s="355"/>
      <c r="H52" s="356"/>
      <c r="I52" s="336"/>
    </row>
    <row r="53" spans="1:9" ht="17.100000000000001" customHeight="1">
      <c r="A53" s="370" t="s">
        <v>233</v>
      </c>
      <c r="B53" s="324">
        <f>PGL_Requirements!J7/1000+NSG_Requirements!E7/1000</f>
        <v>0</v>
      </c>
      <c r="C53" s="313"/>
      <c r="D53" s="313"/>
      <c r="E53" s="313"/>
      <c r="F53" s="348" t="s">
        <v>224</v>
      </c>
      <c r="G53" s="357"/>
      <c r="H53" s="340"/>
      <c r="I53" s="336"/>
    </row>
    <row r="54" spans="1:9" ht="17.100000000000001" customHeight="1" thickBot="1">
      <c r="A54" s="322" t="s">
        <v>225</v>
      </c>
      <c r="B54" s="376">
        <f>SUM(B50+B51+B52-B53)</f>
        <v>434.017</v>
      </c>
      <c r="C54" s="324"/>
      <c r="D54" s="313"/>
      <c r="E54" s="313"/>
      <c r="F54" s="358" t="s">
        <v>226</v>
      </c>
      <c r="G54" s="359"/>
      <c r="H54" s="359"/>
      <c r="I54" s="360"/>
    </row>
    <row r="55" spans="1:9" ht="17.100000000000001" customHeight="1" thickBot="1">
      <c r="A55" s="346" t="s">
        <v>11</v>
      </c>
      <c r="B55" s="329" t="s">
        <v>68</v>
      </c>
      <c r="C55" s="347"/>
      <c r="D55" s="347"/>
      <c r="E55" s="347"/>
      <c r="F55" s="361" t="s">
        <v>227</v>
      </c>
      <c r="G55" s="313"/>
      <c r="H55" s="362"/>
      <c r="I55" s="321">
        <f>NSG_Supplies!P7/1000</f>
        <v>0</v>
      </c>
    </row>
    <row r="56" spans="1:9" ht="17.100000000000001" customHeight="1">
      <c r="A56" s="425" t="s">
        <v>394</v>
      </c>
      <c r="B56" s="324">
        <f>PGL_Supplies!U7/1000</f>
        <v>0</v>
      </c>
      <c r="C56" s="313"/>
      <c r="D56" s="313"/>
      <c r="E56" s="313"/>
      <c r="F56" s="361" t="s">
        <v>228</v>
      </c>
      <c r="G56" s="313"/>
      <c r="H56" s="363">
        <f>NSG_Requirements!B7/1000</f>
        <v>0</v>
      </c>
      <c r="I56" s="321">
        <f>NSG_Supplies!B7/1000</f>
        <v>0</v>
      </c>
    </row>
    <row r="57" spans="1:9" ht="17.100000000000001" customHeight="1">
      <c r="A57" s="332" t="s">
        <v>500</v>
      </c>
      <c r="B57" s="324">
        <f>PGL_Supplies!Z7/1000+PGL_Supplies!C7/1000-PGL_Requirements!C7/1000</f>
        <v>70</v>
      </c>
      <c r="C57" s="313"/>
      <c r="D57" s="313"/>
      <c r="E57" s="313"/>
      <c r="F57" s="361" t="s">
        <v>229</v>
      </c>
      <c r="G57" s="313"/>
      <c r="H57" s="363">
        <f>NSG_Requirements!S7/1000</f>
        <v>0</v>
      </c>
      <c r="I57" s="364"/>
    </row>
    <row r="58" spans="1:9" ht="17.100000000000001" customHeight="1">
      <c r="A58" s="332" t="s">
        <v>230</v>
      </c>
      <c r="B58" s="324">
        <f>PGL_Requirements!U7/1000</f>
        <v>0</v>
      </c>
      <c r="C58" s="313"/>
      <c r="D58" s="313"/>
      <c r="E58" s="313"/>
      <c r="F58" s="361" t="s">
        <v>231</v>
      </c>
      <c r="G58" s="313"/>
      <c r="H58" s="365"/>
      <c r="I58" s="366">
        <f>PGL_Requirements!V7/1000</f>
        <v>0</v>
      </c>
    </row>
    <row r="59" spans="1:9" ht="17.100000000000001" customHeight="1">
      <c r="A59" s="332" t="s">
        <v>232</v>
      </c>
      <c r="B59" s="324">
        <f>PGL_Supplies!R7/1000</f>
        <v>0</v>
      </c>
      <c r="C59" s="313"/>
      <c r="D59" s="313"/>
      <c r="E59" s="313"/>
      <c r="F59" s="367" t="s">
        <v>233</v>
      </c>
      <c r="G59" s="313"/>
      <c r="H59" s="368">
        <f>NSG_Requirements!D7/1000</f>
        <v>0</v>
      </c>
      <c r="I59" s="369"/>
    </row>
    <row r="60" spans="1:9" ht="17.100000000000001" customHeight="1">
      <c r="A60" s="370" t="s">
        <v>233</v>
      </c>
      <c r="B60" s="324">
        <f>PGL_Requirements!I7/1000</f>
        <v>0</v>
      </c>
      <c r="C60" s="313"/>
      <c r="D60" s="313"/>
      <c r="E60" s="313"/>
      <c r="F60" s="371" t="s">
        <v>234</v>
      </c>
      <c r="G60" s="351"/>
      <c r="H60" s="368">
        <f>NSG_Requirements!O7/1000</f>
        <v>0</v>
      </c>
      <c r="I60" s="321">
        <f>+NSG_Supplies!L7/1000</f>
        <v>50</v>
      </c>
    </row>
    <row r="61" spans="1:9" ht="17.100000000000001" customHeight="1" thickBot="1">
      <c r="A61" s="425" t="s">
        <v>420</v>
      </c>
      <c r="B61" s="372">
        <f>(NSG_Requirements!$S$7+NSG_Requirements!$T$7+NSG_Requirements!$U$7+NSG_Requirements!$N$7)/1000</f>
        <v>0</v>
      </c>
      <c r="C61" s="313"/>
      <c r="D61" s="313"/>
      <c r="E61" s="313"/>
      <c r="F61" s="373" t="s">
        <v>235</v>
      </c>
      <c r="G61" s="344"/>
      <c r="H61" s="374"/>
      <c r="I61" s="375">
        <f>NSG_Supplies!M7/1000</f>
        <v>0</v>
      </c>
    </row>
    <row r="62" spans="1:9" ht="17.100000000000001" customHeight="1" thickTop="1">
      <c r="A62" s="322" t="s">
        <v>225</v>
      </c>
      <c r="B62" s="376">
        <f>B56+B57-B58+B59-B60+B61</f>
        <v>70</v>
      </c>
      <c r="C62" s="377"/>
      <c r="D62" s="377"/>
      <c r="E62" s="377"/>
      <c r="F62" s="378" t="s">
        <v>236</v>
      </c>
      <c r="G62" s="313"/>
      <c r="H62" s="365"/>
      <c r="I62" s="379">
        <v>0</v>
      </c>
    </row>
    <row r="63" spans="1:9" ht="17.100000000000001" customHeight="1" thickBot="1">
      <c r="A63" s="346" t="s">
        <v>11</v>
      </c>
      <c r="B63" s="327"/>
      <c r="C63" s="327" t="s">
        <v>417</v>
      </c>
      <c r="D63" s="347"/>
      <c r="E63" s="483" t="s">
        <v>11</v>
      </c>
      <c r="F63" s="348" t="s">
        <v>237</v>
      </c>
      <c r="G63" s="313"/>
      <c r="H63" s="365"/>
      <c r="I63" s="312">
        <f>I58+I60+I56-H56</f>
        <v>50</v>
      </c>
    </row>
    <row r="64" spans="1:9" ht="17.100000000000001" customHeight="1" thickBot="1">
      <c r="A64" s="425" t="s">
        <v>394</v>
      </c>
      <c r="B64" s="324">
        <f>PGL_Supplies!Y7/1000</f>
        <v>257.91199999999998</v>
      </c>
      <c r="C64" s="313"/>
      <c r="D64" s="313"/>
      <c r="E64" s="380"/>
      <c r="F64" s="358" t="s">
        <v>238</v>
      </c>
      <c r="G64" s="359"/>
      <c r="H64" s="359"/>
      <c r="I64" s="360"/>
    </row>
    <row r="65" spans="1:10" ht="17.100000000000001" customHeight="1">
      <c r="A65" s="332" t="s">
        <v>499</v>
      </c>
      <c r="B65" s="324">
        <f>PGL_Supplies!AD7/1000+PGL_Supplies!G7/1000-PGL_Requirements!F7/1000</f>
        <v>101.2</v>
      </c>
      <c r="C65" s="381" t="s">
        <v>11</v>
      </c>
      <c r="D65" s="313"/>
      <c r="E65" s="382"/>
      <c r="F65" s="383" t="s">
        <v>239</v>
      </c>
      <c r="G65" s="384"/>
      <c r="H65" s="385"/>
      <c r="I65" s="386">
        <f>NSG_Supplies!O7/1000</f>
        <v>0</v>
      </c>
    </row>
    <row r="66" spans="1:10" ht="17.100000000000001" customHeight="1">
      <c r="A66" s="332" t="s">
        <v>240</v>
      </c>
      <c r="B66" s="324">
        <f>PGL_Supplies!AE7/1000</f>
        <v>0</v>
      </c>
      <c r="C66" s="381" t="s">
        <v>11</v>
      </c>
      <c r="D66" s="313"/>
      <c r="E66" s="382"/>
      <c r="F66" s="384" t="s">
        <v>241</v>
      </c>
      <c r="G66" s="384"/>
      <c r="H66" s="387">
        <f>NSG_Requirements!M7/1000</f>
        <v>0</v>
      </c>
      <c r="I66" s="364"/>
    </row>
    <row r="67" spans="1:10" ht="17.100000000000001" customHeight="1">
      <c r="A67" s="332" t="s">
        <v>242</v>
      </c>
      <c r="B67" s="388">
        <f>PGL_Requirements!T7/1000</f>
        <v>0</v>
      </c>
      <c r="C67" s="389" t="s">
        <v>11</v>
      </c>
      <c r="D67" s="313"/>
      <c r="E67" s="382"/>
      <c r="F67" s="384" t="s">
        <v>243</v>
      </c>
      <c r="G67" s="384"/>
      <c r="H67" s="390">
        <f>(NSG_Requirements!$Y$7+NSG_Requirements!$Z$7+NSG_Requirements!$AA$7)/1000</f>
        <v>0</v>
      </c>
      <c r="I67" s="391">
        <f>(PGL_Requirements!$AC$7+PGL_Requirements!$AD$7+PGL_Requirements!$AE$7)/1000</f>
        <v>0</v>
      </c>
    </row>
    <row r="68" spans="1:10" ht="17.100000000000001" customHeight="1" thickBot="1">
      <c r="A68" s="332" t="s">
        <v>244</v>
      </c>
      <c r="B68" s="324">
        <f>PGL_Supplies!P7/1000</f>
        <v>0</v>
      </c>
      <c r="C68" s="381" t="s">
        <v>11</v>
      </c>
      <c r="D68" s="313"/>
      <c r="E68" s="382"/>
      <c r="F68" s="392"/>
      <c r="G68" s="392"/>
      <c r="H68" s="393"/>
      <c r="I68" s="394"/>
    </row>
    <row r="69" spans="1:10" ht="17.100000000000001" customHeight="1">
      <c r="A69" s="370" t="s">
        <v>233</v>
      </c>
      <c r="B69" s="388">
        <f>PGL_Requirements!N7/1000</f>
        <v>0</v>
      </c>
      <c r="C69" s="389" t="s">
        <v>11</v>
      </c>
      <c r="D69" s="313"/>
      <c r="E69" s="492"/>
      <c r="F69" s="395" t="s">
        <v>245</v>
      </c>
      <c r="G69" s="385" t="s">
        <v>11</v>
      </c>
      <c r="H69" s="396" t="s">
        <v>399</v>
      </c>
      <c r="I69" s="382"/>
    </row>
    <row r="70" spans="1:10" ht="17.100000000000001" customHeight="1">
      <c r="A70" s="332" t="s">
        <v>246</v>
      </c>
      <c r="B70" s="388">
        <f>PGL_Requirements!P7/1000</f>
        <v>0</v>
      </c>
      <c r="C70" s="389" t="s">
        <v>11</v>
      </c>
      <c r="D70" s="313"/>
      <c r="E70" s="382"/>
      <c r="F70" s="395" t="s">
        <v>247</v>
      </c>
      <c r="G70" s="385" t="s">
        <v>11</v>
      </c>
      <c r="H70" s="424" t="s">
        <v>248</v>
      </c>
      <c r="I70" s="423"/>
    </row>
    <row r="71" spans="1:10" ht="17.100000000000001" customHeight="1">
      <c r="A71" s="332" t="s">
        <v>249</v>
      </c>
      <c r="B71" s="388">
        <f>PGL_Requirements!F7/1000</f>
        <v>0</v>
      </c>
      <c r="C71" s="381" t="s">
        <v>11</v>
      </c>
      <c r="D71" s="313"/>
      <c r="E71" s="382"/>
      <c r="F71" s="384" t="s">
        <v>250</v>
      </c>
      <c r="G71" s="385" t="s">
        <v>11</v>
      </c>
      <c r="H71" s="398"/>
      <c r="I71" s="382" t="s">
        <v>11</v>
      </c>
    </row>
    <row r="72" spans="1:10" ht="17.100000000000001" customHeight="1" thickBot="1">
      <c r="A72" s="399" t="s">
        <v>225</v>
      </c>
      <c r="B72" s="400">
        <f>+B65+B64+B66+B68-B67-B69-B70</f>
        <v>359.11199999999997</v>
      </c>
      <c r="C72" s="400" t="s">
        <v>11</v>
      </c>
      <c r="D72" s="401"/>
      <c r="E72" s="402"/>
      <c r="F72" s="397"/>
      <c r="G72" s="493"/>
      <c r="H72" s="403"/>
      <c r="I72" s="404"/>
    </row>
    <row r="73" spans="1:10" ht="17.100000000000001" customHeight="1" thickBot="1">
      <c r="A73" s="358" t="s">
        <v>251</v>
      </c>
      <c r="B73" s="359"/>
      <c r="C73" s="360"/>
      <c r="D73" s="340"/>
      <c r="E73" s="340"/>
      <c r="F73" s="422" t="s">
        <v>252</v>
      </c>
      <c r="G73" s="405" t="str">
        <f>CHOOSE(WEEKDAY(H73),"SUN","MON","TUE","WED","THU","FRI","SAT")</f>
        <v>WED</v>
      </c>
      <c r="H73" s="406">
        <f>Weather_Input!A5</f>
        <v>36957</v>
      </c>
      <c r="I73" s="407"/>
    </row>
    <row r="74" spans="1:10" ht="17.100000000000001" customHeight="1">
      <c r="A74" s="383" t="s">
        <v>253</v>
      </c>
      <c r="B74" s="313" t="s">
        <v>11</v>
      </c>
      <c r="C74" s="333"/>
      <c r="D74" s="408"/>
      <c r="E74" s="340"/>
      <c r="F74" s="340"/>
      <c r="G74" s="340"/>
      <c r="H74" s="340"/>
      <c r="I74" s="407"/>
    </row>
    <row r="75" spans="1:10" ht="17.100000000000001" customHeight="1">
      <c r="A75" s="361" t="s">
        <v>254</v>
      </c>
      <c r="B75" s="313"/>
      <c r="C75" s="333"/>
      <c r="D75" s="409"/>
      <c r="E75" s="384"/>
      <c r="F75" s="384"/>
      <c r="G75" s="384"/>
      <c r="H75" s="340"/>
      <c r="I75" s="407"/>
    </row>
    <row r="76" spans="1:10" ht="17.100000000000001" customHeight="1" thickBot="1">
      <c r="A76" s="410" t="s">
        <v>255</v>
      </c>
      <c r="B76" s="344"/>
      <c r="C76" s="345"/>
      <c r="D76" s="411" t="s">
        <v>256</v>
      </c>
      <c r="E76" s="412"/>
      <c r="F76" s="413" t="s">
        <v>257</v>
      </c>
      <c r="G76" s="414"/>
      <c r="H76" s="415" t="s">
        <v>258</v>
      </c>
      <c r="I76" s="416" t="s">
        <v>258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88" t="s">
        <v>425</v>
      </c>
      <c r="B90" s="589"/>
      <c r="C90" s="589"/>
      <c r="D90" s="589"/>
      <c r="E90" s="590" t="s">
        <v>173</v>
      </c>
      <c r="F90" s="591">
        <f>Weather_Input!L5</f>
        <v>1</v>
      </c>
      <c r="G90" s="592" t="s">
        <v>11</v>
      </c>
      <c r="H90" s="593"/>
      <c r="I90" s="594"/>
    </row>
    <row r="91" spans="1:9" ht="15.75">
      <c r="A91" s="258"/>
      <c r="B91" s="610" t="s">
        <v>422</v>
      </c>
      <c r="C91" s="269" t="s">
        <v>11</v>
      </c>
      <c r="D91" s="602" t="s">
        <v>493</v>
      </c>
      <c r="E91" s="609"/>
      <c r="F91" s="607" t="s">
        <v>494</v>
      </c>
      <c r="G91" s="608"/>
      <c r="H91" s="606" t="s">
        <v>174</v>
      </c>
      <c r="I91" s="260"/>
    </row>
    <row r="92" spans="1:9" ht="15">
      <c r="A92" s="494" t="s">
        <v>423</v>
      </c>
      <c r="B92" s="601" t="s">
        <v>414</v>
      </c>
      <c r="C92" s="261" t="s">
        <v>176</v>
      </c>
      <c r="D92" s="601" t="s">
        <v>23</v>
      </c>
      <c r="E92" s="261" t="s">
        <v>176</v>
      </c>
      <c r="F92" s="604" t="s">
        <v>23</v>
      </c>
      <c r="G92" s="261" t="s">
        <v>176</v>
      </c>
      <c r="H92" s="601" t="s">
        <v>23</v>
      </c>
      <c r="I92" s="495" t="s">
        <v>176</v>
      </c>
    </row>
    <row r="93" spans="1:9" ht="15.75">
      <c r="A93" s="258" t="s">
        <v>11</v>
      </c>
      <c r="B93" s="268"/>
      <c r="C93" s="266"/>
      <c r="D93" s="603"/>
      <c r="E93" s="603"/>
      <c r="F93" s="605"/>
      <c r="G93" s="269"/>
      <c r="H93" s="269"/>
      <c r="I93" s="267"/>
    </row>
    <row r="94" spans="1:9" ht="16.5" thickBot="1">
      <c r="A94" s="258" t="s">
        <v>424</v>
      </c>
      <c r="B94" s="502" t="s">
        <v>11</v>
      </c>
      <c r="C94" s="501" t="s">
        <v>11</v>
      </c>
      <c r="D94" s="496" t="s">
        <v>11</v>
      </c>
      <c r="E94" s="503"/>
      <c r="F94" s="504"/>
      <c r="G94" s="271"/>
      <c r="H94" s="504"/>
      <c r="I94" s="260"/>
    </row>
    <row r="95" spans="1:9" ht="16.5" thickBot="1">
      <c r="A95" s="497"/>
      <c r="B95" s="498" t="s">
        <v>11</v>
      </c>
      <c r="C95" s="498" t="s">
        <v>11</v>
      </c>
      <c r="D95" s="499"/>
      <c r="E95" s="499"/>
      <c r="F95" s="499"/>
      <c r="G95" s="499"/>
      <c r="H95" s="499"/>
      <c r="I95" s="500"/>
    </row>
    <row r="96" spans="1:9" ht="15">
      <c r="A96" s="494" t="s">
        <v>182</v>
      </c>
      <c r="B96" s="293" t="s">
        <v>11</v>
      </c>
      <c r="C96" s="624" t="e">
        <f>I150</f>
        <v>#REF!</v>
      </c>
      <c r="D96" s="620"/>
      <c r="E96" s="269"/>
      <c r="F96" s="620"/>
      <c r="G96" s="269"/>
      <c r="H96" s="620"/>
      <c r="I96" s="267" t="s">
        <v>11</v>
      </c>
    </row>
    <row r="97" spans="1:9" ht="15">
      <c r="A97" s="494" t="s">
        <v>68</v>
      </c>
      <c r="B97" s="282" t="s">
        <v>11</v>
      </c>
      <c r="C97" s="624">
        <f>B133</f>
        <v>147.36599999999999</v>
      </c>
      <c r="D97" s="603"/>
      <c r="E97" s="615">
        <f>+C97</f>
        <v>147.36599999999999</v>
      </c>
      <c r="F97" s="603"/>
      <c r="G97" s="615">
        <f>+C97</f>
        <v>147.36599999999999</v>
      </c>
      <c r="H97" s="603"/>
      <c r="I97" s="285">
        <f>+C97</f>
        <v>147.36599999999999</v>
      </c>
    </row>
    <row r="98" spans="1:9" ht="15">
      <c r="A98" s="494" t="s">
        <v>60</v>
      </c>
      <c r="B98" s="282" t="s">
        <v>11</v>
      </c>
      <c r="C98" s="624">
        <f>B149</f>
        <v>2.8019999999999996</v>
      </c>
      <c r="D98" s="603"/>
      <c r="E98" s="269"/>
      <c r="F98" s="603"/>
      <c r="G98" s="269"/>
      <c r="H98" s="603"/>
      <c r="I98" s="267"/>
    </row>
    <row r="99" spans="1:9" ht="15">
      <c r="A99" s="494" t="s">
        <v>69</v>
      </c>
      <c r="B99" s="282" t="s">
        <v>11</v>
      </c>
      <c r="C99" s="624">
        <f>B141</f>
        <v>-565.98299999999995</v>
      </c>
      <c r="D99" s="621"/>
      <c r="E99" s="269"/>
      <c r="F99" s="603"/>
      <c r="G99" s="269"/>
      <c r="H99" s="603"/>
      <c r="I99" s="267"/>
    </row>
    <row r="100" spans="1:9" ht="15">
      <c r="A100" s="494" t="s">
        <v>426</v>
      </c>
      <c r="B100" s="286" t="s">
        <v>11</v>
      </c>
      <c r="C100" s="624">
        <f>I157+I158</f>
        <v>0</v>
      </c>
      <c r="D100" s="603"/>
      <c r="E100" s="269"/>
      <c r="F100" s="603"/>
      <c r="G100" s="269"/>
      <c r="H100" s="603"/>
      <c r="I100" s="267"/>
    </row>
    <row r="101" spans="1:9" ht="15">
      <c r="A101" s="494" t="s">
        <v>427</v>
      </c>
      <c r="B101" s="282" t="s">
        <v>11</v>
      </c>
      <c r="C101" s="624" t="e">
        <f>I146</f>
        <v>#REF!</v>
      </c>
      <c r="D101" s="603" t="s">
        <v>11</v>
      </c>
      <c r="E101" s="269"/>
      <c r="F101" s="603"/>
      <c r="G101" s="269"/>
      <c r="H101" s="603"/>
      <c r="I101" s="267"/>
    </row>
    <row r="102" spans="1:9" ht="15">
      <c r="A102" s="494" t="s">
        <v>37</v>
      </c>
      <c r="B102" s="282" t="s">
        <v>172</v>
      </c>
      <c r="C102" s="624">
        <f>B162</f>
        <v>359.11199999999997</v>
      </c>
      <c r="D102" s="603"/>
      <c r="E102" s="269"/>
      <c r="F102" s="603"/>
      <c r="G102" s="269"/>
      <c r="H102" s="603"/>
      <c r="I102" s="267"/>
    </row>
    <row r="103" spans="1:9" ht="15">
      <c r="A103" s="494" t="s">
        <v>99</v>
      </c>
      <c r="B103" s="282" t="s">
        <v>11</v>
      </c>
      <c r="C103" s="624">
        <f>PGL_Requirements!G7/1000</f>
        <v>72.634</v>
      </c>
      <c r="D103" s="621"/>
      <c r="E103" s="269"/>
      <c r="F103" s="603"/>
      <c r="G103" s="269"/>
      <c r="H103" s="603"/>
      <c r="I103" s="267"/>
    </row>
    <row r="104" spans="1:9" ht="15.75" thickBot="1">
      <c r="A104" s="292" t="s">
        <v>110</v>
      </c>
      <c r="B104" s="616" t="s">
        <v>11</v>
      </c>
      <c r="C104" s="624">
        <f>PGL_Supplies!B7/1000</f>
        <v>0</v>
      </c>
      <c r="D104" s="602"/>
      <c r="E104" s="269"/>
      <c r="F104" s="603"/>
      <c r="G104" s="269"/>
      <c r="H104" s="603"/>
      <c r="I104" s="267"/>
    </row>
    <row r="105" spans="1:9" ht="16.5" thickBot="1">
      <c r="A105" s="617" t="s">
        <v>428</v>
      </c>
      <c r="B105" s="618" t="s">
        <v>11</v>
      </c>
      <c r="C105" s="512" t="s">
        <v>11</v>
      </c>
      <c r="D105" s="622" t="s">
        <v>11</v>
      </c>
      <c r="E105" s="619" t="s">
        <v>11</v>
      </c>
      <c r="F105" s="622" t="s">
        <v>11</v>
      </c>
      <c r="G105" s="619" t="s">
        <v>11</v>
      </c>
      <c r="H105" s="622" t="s">
        <v>11</v>
      </c>
      <c r="I105" s="623"/>
    </row>
    <row r="106" spans="1:9" ht="16.5" thickBot="1">
      <c r="A106" s="505" t="s">
        <v>38</v>
      </c>
      <c r="B106" s="506">
        <f>-PGL_Supplies!U7/1000</f>
        <v>0</v>
      </c>
      <c r="C106" s="507">
        <f>-NSG_Supplies!AF7/1000</f>
        <v>0</v>
      </c>
      <c r="D106" s="508"/>
      <c r="E106" s="509"/>
      <c r="F106" s="508"/>
      <c r="G106" s="509"/>
      <c r="H106" s="510"/>
      <c r="I106" s="511"/>
    </row>
    <row r="107" spans="1:9" ht="15">
      <c r="A107" s="494" t="s">
        <v>429</v>
      </c>
      <c r="B107" s="282" t="e">
        <f>B94+B105+B106</f>
        <v>#VALUE!</v>
      </c>
      <c r="C107" s="295" t="e">
        <f>C94+C105+C106</f>
        <v>#VALUE!</v>
      </c>
      <c r="D107" s="266"/>
      <c r="E107" s="268"/>
      <c r="F107" s="266"/>
      <c r="G107" s="268"/>
      <c r="H107" s="269"/>
      <c r="I107" s="260"/>
    </row>
    <row r="108" spans="1:9" ht="15">
      <c r="A108" s="494" t="s">
        <v>430</v>
      </c>
      <c r="B108" s="282">
        <v>0</v>
      </c>
      <c r="C108" s="268"/>
      <c r="D108" s="266"/>
      <c r="E108" s="268"/>
      <c r="F108" s="266"/>
      <c r="G108" s="268"/>
      <c r="H108" s="269"/>
      <c r="I108" s="296"/>
    </row>
    <row r="109" spans="1:9" ht="15">
      <c r="A109" s="494" t="s">
        <v>431</v>
      </c>
      <c r="B109" s="282">
        <f>+B129</f>
        <v>0</v>
      </c>
      <c r="C109" s="268"/>
      <c r="D109" s="266"/>
      <c r="E109" s="268"/>
      <c r="F109" s="297" t="s">
        <v>11</v>
      </c>
      <c r="G109" s="306"/>
      <c r="H109" s="298" t="s">
        <v>11</v>
      </c>
      <c r="I109" s="260"/>
    </row>
    <row r="110" spans="1:9" ht="15.75">
      <c r="A110" s="513" t="s">
        <v>432</v>
      </c>
      <c r="B110" s="300" t="e">
        <f>B107+B108+B109</f>
        <v>#VALUE!</v>
      </c>
      <c r="C110" s="301" t="e">
        <f>C107</f>
        <v>#VALUE!</v>
      </c>
      <c r="D110" s="266"/>
      <c r="E110" s="268"/>
      <c r="F110" s="302"/>
      <c r="G110" s="268"/>
      <c r="H110" s="303" t="s">
        <v>11</v>
      </c>
      <c r="I110" s="304" t="s">
        <v>11</v>
      </c>
    </row>
    <row r="111" spans="1:9" ht="16.5" thickBot="1">
      <c r="A111" s="514" t="s">
        <v>433</v>
      </c>
      <c r="B111" s="306">
        <f>-NSG_Requirements!$L$7/1000</f>
        <v>0</v>
      </c>
      <c r="C111" s="306">
        <f>NSG_Requirements!$L$7/1000</f>
        <v>0</v>
      </c>
      <c r="D111" s="307">
        <f>B111</f>
        <v>0</v>
      </c>
      <c r="E111" s="306">
        <f>C111</f>
        <v>0</v>
      </c>
      <c r="F111" s="307">
        <f>B111</f>
        <v>0</v>
      </c>
      <c r="G111" s="306">
        <f>C111</f>
        <v>0</v>
      </c>
      <c r="H111" s="452">
        <f>B111</f>
        <v>0</v>
      </c>
      <c r="I111" s="308">
        <f>C111</f>
        <v>0</v>
      </c>
    </row>
    <row r="112" spans="1:9" ht="15">
      <c r="A112" s="494" t="s">
        <v>434</v>
      </c>
      <c r="B112" s="306"/>
      <c r="C112" s="306"/>
      <c r="D112" s="307"/>
      <c r="E112" s="306"/>
      <c r="F112" s="307"/>
      <c r="G112" s="306"/>
      <c r="H112" s="515"/>
      <c r="I112" s="516"/>
    </row>
    <row r="113" spans="1:9" ht="15.75">
      <c r="A113" s="425" t="s">
        <v>435</v>
      </c>
      <c r="B113" s="310">
        <f>PGL_Requirements!V7/1000</f>
        <v>0</v>
      </c>
      <c r="C113" s="310">
        <f>NSG_Requirements!Q7/1000</f>
        <v>0</v>
      </c>
      <c r="D113" s="310">
        <f>B113</f>
        <v>0</v>
      </c>
      <c r="E113" s="310">
        <f>+C113</f>
        <v>0</v>
      </c>
      <c r="F113" s="310">
        <f>B113</f>
        <v>0</v>
      </c>
      <c r="G113" s="310">
        <f>+C113</f>
        <v>0</v>
      </c>
      <c r="H113" s="311">
        <f>B113</f>
        <v>0</v>
      </c>
      <c r="I113" s="312">
        <f>+C113</f>
        <v>0</v>
      </c>
    </row>
    <row r="114" spans="1:9" ht="15.75">
      <c r="A114" s="332" t="s">
        <v>436</v>
      </c>
      <c r="B114" s="310">
        <f>PGL_Requirements!AC7/1000</f>
        <v>0</v>
      </c>
      <c r="C114" s="310">
        <f>NSG_Requirements!AA7/1000</f>
        <v>0</v>
      </c>
      <c r="D114" s="310">
        <f>PGL_Requirements!AC7/1000</f>
        <v>0</v>
      </c>
      <c r="E114" s="310">
        <f>NSG_Requirements!AA7/1000</f>
        <v>0</v>
      </c>
      <c r="F114" s="310">
        <f>PGL_Requirements!AC7/1000</f>
        <v>0</v>
      </c>
      <c r="G114" s="310">
        <f>NSG_Requirements!AA7/1000</f>
        <v>0</v>
      </c>
      <c r="H114" s="311">
        <f>+B114</f>
        <v>0</v>
      </c>
      <c r="I114" s="312">
        <f>+C114</f>
        <v>0</v>
      </c>
    </row>
    <row r="115" spans="1:9" ht="15">
      <c r="A115" s="425" t="s">
        <v>437</v>
      </c>
      <c r="B115" s="315">
        <v>0</v>
      </c>
      <c r="C115" s="315">
        <v>0</v>
      </c>
      <c r="D115" s="315">
        <v>0</v>
      </c>
      <c r="E115" s="315">
        <v>0</v>
      </c>
      <c r="F115" s="315">
        <v>0</v>
      </c>
      <c r="G115" s="315">
        <f>C115</f>
        <v>0</v>
      </c>
      <c r="H115" s="320">
        <f>B115</f>
        <v>0</v>
      </c>
      <c r="I115" s="321">
        <f>C115</f>
        <v>0</v>
      </c>
    </row>
    <row r="116" spans="1:9" ht="15">
      <c r="A116" s="425" t="s">
        <v>438</v>
      </c>
      <c r="B116" s="419">
        <f>-PGL_Supplies!Z7/1000</f>
        <v>-70</v>
      </c>
      <c r="C116" s="419">
        <f>-NSG_Supplies!W7/1000</f>
        <v>0</v>
      </c>
      <c r="D116" s="315">
        <f>-PGL_Supplies!Z7/1000</f>
        <v>-70</v>
      </c>
      <c r="E116" s="315">
        <f>-NSG_Supplies!W7/1000</f>
        <v>0</v>
      </c>
      <c r="F116" s="315">
        <f>-PGL_Supplies!Z7/1000</f>
        <v>-70</v>
      </c>
      <c r="G116" s="315">
        <f>-NSG_Supplies!W7/1000</f>
        <v>0</v>
      </c>
      <c r="H116" s="320">
        <f>-PGL_Supplies!Z7/1000</f>
        <v>-70</v>
      </c>
      <c r="I116" s="321">
        <f>-NSG_Supplies!W7/1000</f>
        <v>0</v>
      </c>
    </row>
    <row r="117" spans="1:9" ht="15">
      <c r="A117" s="425" t="s">
        <v>439</v>
      </c>
      <c r="B117" s="315">
        <f>-PGL_Supplies!AA7/1000</f>
        <v>-137.73500000000001</v>
      </c>
      <c r="C117" s="315">
        <f>-NSG_Supplies!X7/1000</f>
        <v>0</v>
      </c>
      <c r="D117" s="315">
        <f>-PGL_Supplies!AA7/1000</f>
        <v>-137.73500000000001</v>
      </c>
      <c r="E117" s="315">
        <f>-NSG_Supplies!X7/1000</f>
        <v>0</v>
      </c>
      <c r="F117" s="315">
        <f>-PGL_Supplies!AA7/1000</f>
        <v>-137.73500000000001</v>
      </c>
      <c r="G117" s="315">
        <f>-NSG_Supplies!X7/1000</f>
        <v>0</v>
      </c>
      <c r="H117" s="320">
        <f>-PGL_Supplies!AA7/1000</f>
        <v>-137.73500000000001</v>
      </c>
      <c r="I117" s="321">
        <f>-NSG_Supplies!X7/1000</f>
        <v>0</v>
      </c>
    </row>
    <row r="118" spans="1:9" ht="15.75">
      <c r="A118" s="425" t="s">
        <v>441</v>
      </c>
      <c r="B118" s="420">
        <f>(PGL_Requirements!$Y$7+PGL_Requirements!$Z$7+PGL_Requirements!$AA$7)/1000+(NSG_Requirements!$V$7+NSG_Requirements!$W$7+NSG_Requirements!$X$7)/1000</f>
        <v>0</v>
      </c>
      <c r="C118" s="420">
        <f>-(PGL_Requirements!$Y$7+PGL_Requirements!$Z$7+PGL_Requirements!$AA$7)/1000+(NSG_Requirements!$V$7+NSG_Requirements!$W$7+NSG_Requirements!$X$7)/1000</f>
        <v>0</v>
      </c>
      <c r="D118" s="310">
        <f>+B118</f>
        <v>0</v>
      </c>
      <c r="E118" s="315">
        <f>+C118</f>
        <v>0</v>
      </c>
      <c r="F118" s="310">
        <f>+B118</f>
        <v>0</v>
      </c>
      <c r="G118" s="315">
        <f>+E118</f>
        <v>0</v>
      </c>
      <c r="H118" s="311">
        <f>+B118</f>
        <v>0</v>
      </c>
      <c r="I118" s="312">
        <f>+C118</f>
        <v>0</v>
      </c>
    </row>
    <row r="119" spans="1:9" ht="15">
      <c r="A119" s="425" t="s">
        <v>442</v>
      </c>
      <c r="B119" s="315">
        <f>-PGL_Supplies!AN7/1000</f>
        <v>0</v>
      </c>
      <c r="C119" s="315">
        <f>-NSG_Supplies!AD7/1000</f>
        <v>0</v>
      </c>
      <c r="D119" s="315">
        <f>B119</f>
        <v>0</v>
      </c>
      <c r="E119" s="315">
        <f>C119</f>
        <v>0</v>
      </c>
      <c r="F119" s="315">
        <f>B119</f>
        <v>0</v>
      </c>
      <c r="G119" s="315">
        <f>C119</f>
        <v>0</v>
      </c>
      <c r="H119" s="320">
        <f>B119</f>
        <v>0</v>
      </c>
      <c r="I119" s="321">
        <f>C119</f>
        <v>0</v>
      </c>
    </row>
    <row r="120" spans="1:9" ht="15">
      <c r="A120" s="425" t="s">
        <v>197</v>
      </c>
      <c r="B120" s="315">
        <f>-PGL_Supplies!AJ7/1000</f>
        <v>0</v>
      </c>
      <c r="C120" s="315">
        <f>-NSG_Supplies!AE7/1000</f>
        <v>0</v>
      </c>
      <c r="D120" s="315">
        <f>B120</f>
        <v>0</v>
      </c>
      <c r="E120" s="315">
        <f>C120</f>
        <v>0</v>
      </c>
      <c r="F120" s="315">
        <f>B120</f>
        <v>0</v>
      </c>
      <c r="G120" s="315">
        <f>C120</f>
        <v>0</v>
      </c>
      <c r="H120" s="320">
        <f>B120</f>
        <v>0</v>
      </c>
      <c r="I120" s="321">
        <f>C120</f>
        <v>0</v>
      </c>
    </row>
    <row r="121" spans="1:9" ht="15.75">
      <c r="A121" s="425" t="s">
        <v>440</v>
      </c>
      <c r="B121" s="310">
        <f>PGL_Requirements!AD7/1000</f>
        <v>0</v>
      </c>
      <c r="C121" s="310" t="s">
        <v>11</v>
      </c>
      <c r="D121" s="310">
        <f>+B121</f>
        <v>0</v>
      </c>
      <c r="E121" s="313"/>
      <c r="F121" s="310">
        <f>+D121</f>
        <v>0</v>
      </c>
      <c r="G121" s="313"/>
      <c r="H121" s="311">
        <f>+B121</f>
        <v>0</v>
      </c>
      <c r="I121" s="312" t="str">
        <f>+C121</f>
        <v xml:space="preserve"> </v>
      </c>
    </row>
    <row r="122" spans="1:9" ht="15.75">
      <c r="A122" s="425" t="s">
        <v>443</v>
      </c>
      <c r="B122" s="310">
        <f>PGL_Requirements!Y7/1000</f>
        <v>0</v>
      </c>
      <c r="C122" s="310">
        <f>NSG_Requirements!U7/1000</f>
        <v>0</v>
      </c>
      <c r="D122" s="313"/>
      <c r="E122" s="313"/>
      <c r="F122" s="313"/>
      <c r="G122" s="313"/>
      <c r="H122" s="317"/>
      <c r="I122" s="318"/>
    </row>
    <row r="123" spans="1:9" ht="15">
      <c r="A123" s="425" t="s">
        <v>444</v>
      </c>
      <c r="B123" s="315">
        <f>-PGL_Supplies!X7/1000</f>
        <v>0</v>
      </c>
      <c r="C123" s="315">
        <f>-NSG_Supplies!S7/1000</f>
        <v>-33.622999999999998</v>
      </c>
      <c r="D123" s="313"/>
      <c r="E123" s="313"/>
      <c r="F123" s="313"/>
      <c r="G123" s="313"/>
      <c r="H123" s="317"/>
      <c r="I123" s="318"/>
    </row>
    <row r="124" spans="1:9" ht="16.5" thickBot="1">
      <c r="A124" s="326" t="s">
        <v>11</v>
      </c>
      <c r="B124" s="487" t="s">
        <v>11</v>
      </c>
      <c r="C124" s="517" t="s">
        <v>68</v>
      </c>
      <c r="D124" s="486"/>
      <c r="E124" s="328"/>
      <c r="F124" s="329" t="s">
        <v>202</v>
      </c>
      <c r="G124" s="328"/>
      <c r="H124" s="330"/>
      <c r="I124" s="331"/>
    </row>
    <row r="125" spans="1:9" ht="15">
      <c r="A125" s="425" t="s">
        <v>445</v>
      </c>
      <c r="B125" s="315">
        <f>PGL_Requirements!U7/1000</f>
        <v>0</v>
      </c>
      <c r="F125" s="543" t="s">
        <v>11</v>
      </c>
      <c r="G125" s="544"/>
      <c r="H125" s="611"/>
      <c r="I125" s="336"/>
    </row>
    <row r="126" spans="1:9" ht="15">
      <c r="A126" s="425" t="s">
        <v>398</v>
      </c>
      <c r="B126" s="324">
        <f>PGL_Supplies!R7/1000</f>
        <v>0</v>
      </c>
      <c r="C126" s="315" t="s">
        <v>11</v>
      </c>
      <c r="D126" s="313"/>
      <c r="E126" s="333"/>
      <c r="F126" s="425" t="s">
        <v>465</v>
      </c>
      <c r="G126" s="545"/>
      <c r="H126" s="550"/>
      <c r="I126" s="336"/>
    </row>
    <row r="127" spans="1:9" ht="15">
      <c r="A127" s="425" t="s">
        <v>495</v>
      </c>
      <c r="B127" s="315">
        <f>PGL_Requirements!O7/1000</f>
        <v>77.366</v>
      </c>
      <c r="C127" s="315" t="s">
        <v>11</v>
      </c>
      <c r="D127" s="313"/>
      <c r="E127" s="333"/>
      <c r="F127" s="425" t="s">
        <v>466</v>
      </c>
      <c r="G127" s="545"/>
      <c r="H127" s="317"/>
      <c r="I127" s="336"/>
    </row>
    <row r="128" spans="1:9" ht="15">
      <c r="A128" s="425" t="s">
        <v>435</v>
      </c>
      <c r="B128" s="315">
        <f>PGL_Requirements!I7/1000</f>
        <v>0</v>
      </c>
      <c r="C128" s="315" t="s">
        <v>11</v>
      </c>
      <c r="D128" s="313"/>
      <c r="E128" s="333"/>
      <c r="F128" s="425" t="s">
        <v>467</v>
      </c>
      <c r="G128" s="545"/>
      <c r="H128" s="317"/>
      <c r="I128" s="336"/>
    </row>
    <row r="129" spans="1:9" ht="15">
      <c r="A129" s="425" t="s">
        <v>446</v>
      </c>
      <c r="B129" s="315">
        <f>PGL_Requirements!C7/1000</f>
        <v>0</v>
      </c>
      <c r="C129" s="313"/>
      <c r="D129" s="313"/>
      <c r="E129" s="333"/>
      <c r="F129" s="425" t="s">
        <v>468</v>
      </c>
      <c r="G129" s="545"/>
      <c r="H129" s="317"/>
      <c r="I129" s="336"/>
    </row>
    <row r="130" spans="1:9" ht="15">
      <c r="A130" s="425" t="s">
        <v>447</v>
      </c>
      <c r="B130" s="315">
        <f>PGL_Requirements!AA7/1000</f>
        <v>0</v>
      </c>
      <c r="C130" s="595"/>
      <c r="D130" s="313"/>
      <c r="E130" s="333"/>
      <c r="F130" s="425" t="s">
        <v>469</v>
      </c>
      <c r="G130" s="545"/>
      <c r="H130" s="317"/>
      <c r="I130" s="336"/>
    </row>
    <row r="131" spans="1:9" ht="15">
      <c r="A131" s="417" t="s">
        <v>109</v>
      </c>
      <c r="B131" s="324">
        <f>PGL_Supplies!Z7/1000</f>
        <v>70</v>
      </c>
      <c r="C131" s="313"/>
      <c r="D131" s="313"/>
      <c r="E131" s="333"/>
      <c r="F131" s="370" t="s">
        <v>470</v>
      </c>
      <c r="G131" s="545"/>
      <c r="H131" s="317"/>
      <c r="I131" s="336"/>
    </row>
    <row r="132" spans="1:9" ht="15.75" thickBot="1">
      <c r="A132" s="425" t="s">
        <v>394</v>
      </c>
      <c r="B132" s="324">
        <f>PGL_Supplies!U7/1000</f>
        <v>0</v>
      </c>
      <c r="C132" s="349"/>
      <c r="D132" s="349"/>
      <c r="E132" s="555"/>
      <c r="F132" s="425" t="s">
        <v>471</v>
      </c>
      <c r="G132" s="545"/>
      <c r="H132" s="317"/>
      <c r="I132" s="336"/>
    </row>
    <row r="133" spans="1:9" ht="16.5" thickBot="1">
      <c r="A133" s="560" t="s">
        <v>448</v>
      </c>
      <c r="B133" s="567">
        <f>B126+B127+B130+B131+B132-B125-B128-B129</f>
        <v>147.36599999999999</v>
      </c>
      <c r="C133" s="532"/>
      <c r="D133" s="532"/>
      <c r="E133" s="522"/>
      <c r="F133" s="425" t="s">
        <v>472</v>
      </c>
      <c r="G133" s="545"/>
      <c r="H133" s="317"/>
      <c r="I133" s="336"/>
    </row>
    <row r="134" spans="1:9" ht="15.75" thickBot="1">
      <c r="A134" s="556" t="s">
        <v>11</v>
      </c>
      <c r="B134" s="557" t="s">
        <v>11</v>
      </c>
      <c r="C134" s="558" t="s">
        <v>69</v>
      </c>
      <c r="D134" s="559"/>
      <c r="E134" s="559" t="s">
        <v>11</v>
      </c>
      <c r="F134" s="547" t="s">
        <v>473</v>
      </c>
      <c r="G134" s="546"/>
      <c r="H134" s="317"/>
      <c r="I134" s="336"/>
    </row>
    <row r="135" spans="1:9" ht="15">
      <c r="A135" s="425" t="s">
        <v>435</v>
      </c>
      <c r="B135" s="135">
        <f>PGL_Requirements!J7</f>
        <v>0</v>
      </c>
      <c r="C135" s="8"/>
      <c r="D135" s="8"/>
      <c r="E135" s="8"/>
      <c r="F135" s="548" t="s">
        <v>474</v>
      </c>
      <c r="G135" s="546"/>
      <c r="H135" s="350"/>
      <c r="I135" s="336"/>
    </row>
    <row r="136" spans="1:9" ht="15">
      <c r="A136" s="425" t="s">
        <v>449</v>
      </c>
      <c r="B136" s="324">
        <f>NSG_Supplies!O7/1011</f>
        <v>0</v>
      </c>
      <c r="C136" s="313"/>
      <c r="D136" s="313"/>
      <c r="E136" s="313"/>
      <c r="F136" s="425" t="s">
        <v>475</v>
      </c>
      <c r="G136" s="545"/>
      <c r="H136" s="352"/>
      <c r="I136" s="336"/>
    </row>
    <row r="137" spans="1:9" ht="15">
      <c r="A137" s="425" t="s">
        <v>450</v>
      </c>
      <c r="B137" s="324">
        <f>PGL_Supplies!AA7/1000</f>
        <v>137.73500000000001</v>
      </c>
      <c r="C137" s="595"/>
      <c r="D137" s="313"/>
      <c r="E137" s="313"/>
      <c r="F137" s="425" t="s">
        <v>476</v>
      </c>
      <c r="G137" s="545"/>
      <c r="H137" s="317"/>
      <c r="I137" s="336"/>
    </row>
    <row r="138" spans="1:9" ht="15">
      <c r="A138" s="425" t="s">
        <v>451</v>
      </c>
      <c r="B138" s="135">
        <f>PGL_Requirements!D7</f>
        <v>1000</v>
      </c>
      <c r="C138" s="313"/>
      <c r="D138" s="313"/>
      <c r="E138" s="313"/>
      <c r="F138" s="425" t="s">
        <v>408</v>
      </c>
      <c r="G138" s="545"/>
      <c r="H138" s="352"/>
      <c r="I138" s="336"/>
    </row>
    <row r="139" spans="1:9" ht="15">
      <c r="A139" s="425" t="s">
        <v>452</v>
      </c>
      <c r="B139" s="324">
        <f>PGL_Supplies!D7/1000</f>
        <v>0</v>
      </c>
      <c r="C139" s="313"/>
      <c r="D139" s="313"/>
      <c r="E139" s="313"/>
      <c r="F139" s="370" t="s">
        <v>477</v>
      </c>
      <c r="G139" s="549"/>
      <c r="H139" s="540"/>
      <c r="I139" s="336"/>
    </row>
    <row r="140" spans="1:9" ht="15.75" thickBot="1">
      <c r="A140" s="425" t="s">
        <v>394</v>
      </c>
      <c r="B140" s="324">
        <f>PGL_Supplies!V7/1000</f>
        <v>296.28199999999998</v>
      </c>
      <c r="C140" s="349"/>
      <c r="D140" s="349"/>
      <c r="E140" s="349"/>
      <c r="F140" s="370" t="s">
        <v>478</v>
      </c>
      <c r="G140" s="549"/>
      <c r="H140" s="551"/>
      <c r="I140" s="336"/>
    </row>
    <row r="141" spans="1:9" ht="16.5" thickBot="1">
      <c r="A141" s="560" t="s">
        <v>448</v>
      </c>
      <c r="B141" s="562">
        <f>-B135+B136+B137-B138+B139+B140</f>
        <v>-565.98299999999995</v>
      </c>
      <c r="C141" s="563"/>
      <c r="D141" s="532"/>
      <c r="E141" s="533"/>
      <c r="F141" s="552" t="s">
        <v>224</v>
      </c>
      <c r="G141" s="553"/>
      <c r="H141" s="554"/>
      <c r="I141" s="336"/>
    </row>
    <row r="142" spans="1:9" ht="16.5" thickBot="1">
      <c r="A142" s="556" t="s">
        <v>11</v>
      </c>
      <c r="B142" s="561" t="s">
        <v>11</v>
      </c>
      <c r="C142" s="558" t="s">
        <v>60</v>
      </c>
      <c r="D142" s="559"/>
      <c r="E142" s="559"/>
      <c r="F142" s="529" t="s">
        <v>11</v>
      </c>
      <c r="G142" s="530" t="s">
        <v>479</v>
      </c>
      <c r="H142" s="530" t="s">
        <v>11</v>
      </c>
      <c r="I142" s="360"/>
    </row>
    <row r="143" spans="1:9" ht="15">
      <c r="A143" s="425" t="s">
        <v>72</v>
      </c>
      <c r="B143" s="324">
        <f>PGL_Requirements!P7/1000</f>
        <v>0</v>
      </c>
      <c r="C143" s="313"/>
      <c r="D143" s="313"/>
      <c r="E143" s="313"/>
      <c r="F143" s="569" t="s">
        <v>431</v>
      </c>
      <c r="G143" s="542"/>
      <c r="H143" s="564" t="s">
        <v>11</v>
      </c>
      <c r="I143" s="366">
        <f>NSG_Supplies!AC7/1000</f>
        <v>0</v>
      </c>
    </row>
    <row r="144" spans="1:9" ht="15">
      <c r="A144" s="425" t="s">
        <v>453</v>
      </c>
      <c r="B144" s="324">
        <f>PGL_Supplies!M7/1000</f>
        <v>1.1299999999999999</v>
      </c>
      <c r="C144" s="313"/>
      <c r="D144" s="313"/>
      <c r="E144" s="313"/>
      <c r="F144" s="361" t="s">
        <v>480</v>
      </c>
      <c r="G144" s="313"/>
      <c r="H144" s="388" t="s">
        <v>11</v>
      </c>
      <c r="I144" s="366">
        <f>NSG_Supplies!O7/1000</f>
        <v>0</v>
      </c>
    </row>
    <row r="145" spans="1:9" ht="15.75" thickBot="1">
      <c r="A145" s="425" t="s">
        <v>454</v>
      </c>
      <c r="B145" s="324">
        <f>PGL_Requirements!B7/1000</f>
        <v>0</v>
      </c>
      <c r="C145" s="313"/>
      <c r="D145" s="313"/>
      <c r="E145" s="313"/>
      <c r="F145" s="538" t="s">
        <v>481</v>
      </c>
      <c r="G145" s="355"/>
      <c r="H145" s="527" t="s">
        <v>11</v>
      </c>
      <c r="I145" s="407"/>
    </row>
    <row r="146" spans="1:9" ht="15.75" thickBot="1">
      <c r="A146" s="425" t="s">
        <v>455</v>
      </c>
      <c r="B146" s="324">
        <f>PGL_Supplies!H7/1000</f>
        <v>1.6719999999999999</v>
      </c>
      <c r="C146" s="313"/>
      <c r="D146" s="313"/>
      <c r="E146" s="313"/>
      <c r="F146" s="566" t="s">
        <v>457</v>
      </c>
      <c r="G146" s="532"/>
      <c r="H146" s="567" t="s">
        <v>11</v>
      </c>
      <c r="I146" s="568" t="e">
        <f>PGL_Requirements!#REF!/1000</f>
        <v>#REF!</v>
      </c>
    </row>
    <row r="147" spans="1:9" ht="16.5" thickBot="1">
      <c r="A147" s="370" t="s">
        <v>432</v>
      </c>
      <c r="B147" s="324" t="s">
        <v>11</v>
      </c>
      <c r="C147" s="313"/>
      <c r="D147" s="313"/>
      <c r="E147" s="313"/>
      <c r="F147" s="358" t="s">
        <v>482</v>
      </c>
      <c r="G147" s="359"/>
      <c r="H147" s="359"/>
      <c r="I147" s="360"/>
    </row>
    <row r="148" spans="1:9" ht="15.75" thickBot="1">
      <c r="A148" s="425" t="s">
        <v>456</v>
      </c>
      <c r="B148" s="324">
        <f>PGL_Requirements!Q7/1000</f>
        <v>0</v>
      </c>
      <c r="C148" s="349"/>
      <c r="D148" s="349"/>
      <c r="E148" s="349"/>
      <c r="F148" s="543" t="s">
        <v>483</v>
      </c>
      <c r="G148" s="544"/>
      <c r="H148" s="570" t="s">
        <v>11</v>
      </c>
      <c r="I148" s="571">
        <f>+NSG_Supplies!Z7/1000</f>
        <v>0</v>
      </c>
    </row>
    <row r="149" spans="1:9" ht="16.5" thickBot="1">
      <c r="A149" s="519" t="s">
        <v>457</v>
      </c>
      <c r="B149" s="520">
        <f>B144+B146</f>
        <v>2.8019999999999996</v>
      </c>
      <c r="C149" s="521"/>
      <c r="D149" s="521"/>
      <c r="E149" s="522"/>
      <c r="F149" s="425" t="s">
        <v>11</v>
      </c>
      <c r="G149" s="545"/>
      <c r="H149" s="572" t="s">
        <v>11</v>
      </c>
      <c r="I149" s="573">
        <f>NSG_Supplies!AA7/1000</f>
        <v>0</v>
      </c>
    </row>
    <row r="150" spans="1:9" ht="15.75" thickBot="1">
      <c r="A150" s="425" t="s">
        <v>218</v>
      </c>
      <c r="B150" s="523">
        <f>PGL_Deliveries!AE5</f>
        <v>0</v>
      </c>
      <c r="C150" s="524"/>
      <c r="D150" s="524"/>
      <c r="E150" s="525"/>
      <c r="F150" s="566" t="s">
        <v>457</v>
      </c>
      <c r="G150" s="532"/>
      <c r="H150" s="567" t="s">
        <v>11</v>
      </c>
      <c r="I150" s="568" t="e">
        <f>PGL_Requirements!#REF!/1000</f>
        <v>#REF!</v>
      </c>
    </row>
    <row r="151" spans="1:9" ht="16.5" thickBot="1">
      <c r="A151" s="425" t="s">
        <v>216</v>
      </c>
      <c r="B151" s="523">
        <f>PGL_Deliveries!AG5</f>
        <v>0</v>
      </c>
      <c r="C151" s="377"/>
      <c r="D151" s="377"/>
      <c r="E151" s="377"/>
      <c r="F151" s="358" t="s">
        <v>426</v>
      </c>
      <c r="G151" s="359"/>
      <c r="H151" s="359"/>
      <c r="I151" s="360"/>
    </row>
    <row r="152" spans="1:9" ht="15.75" thickBot="1">
      <c r="A152" s="346" t="s">
        <v>11</v>
      </c>
      <c r="B152" s="327"/>
      <c r="C152" s="518" t="s">
        <v>37</v>
      </c>
      <c r="D152" s="347"/>
      <c r="E152" s="483" t="s">
        <v>11</v>
      </c>
      <c r="F152" s="543" t="s">
        <v>484</v>
      </c>
      <c r="G152" s="544"/>
      <c r="H152" s="575"/>
      <c r="I152" s="388">
        <f>PGL_Requirements!T7/1000</f>
        <v>0</v>
      </c>
    </row>
    <row r="153" spans="1:9" ht="15">
      <c r="A153" s="425" t="s">
        <v>458</v>
      </c>
      <c r="B153" s="388">
        <f>PGL_Requirements!N7/1000</f>
        <v>0</v>
      </c>
      <c r="C153" s="313"/>
      <c r="D153" s="313"/>
      <c r="E153" s="380"/>
      <c r="F153" s="539" t="s">
        <v>485</v>
      </c>
      <c r="G153" s="546"/>
      <c r="H153" s="541"/>
      <c r="I153" s="388">
        <f>PGL_Requirements!T7/1000</f>
        <v>0</v>
      </c>
    </row>
    <row r="154" spans="1:9" ht="15">
      <c r="A154" s="425" t="s">
        <v>459</v>
      </c>
      <c r="B154" s="324">
        <f>PGL_Supplies!AE7/1000</f>
        <v>0</v>
      </c>
      <c r="C154" s="381" t="s">
        <v>11</v>
      </c>
      <c r="D154" s="313"/>
      <c r="E154" s="382"/>
      <c r="F154" s="538" t="s">
        <v>486</v>
      </c>
      <c r="G154" s="545"/>
      <c r="H154" s="541"/>
      <c r="I154" s="324">
        <f>PGL_Supplies!AL7/1000</f>
        <v>0</v>
      </c>
    </row>
    <row r="155" spans="1:9" ht="15">
      <c r="A155" s="425" t="s">
        <v>460</v>
      </c>
      <c r="B155" s="388">
        <f>PGL_Requirements!F7/1000</f>
        <v>0</v>
      </c>
      <c r="C155" s="381" t="s">
        <v>11</v>
      </c>
      <c r="D155" s="313"/>
      <c r="E155" s="382"/>
      <c r="F155" s="425" t="s">
        <v>109</v>
      </c>
      <c r="G155" s="574"/>
      <c r="H155" s="541"/>
      <c r="I155" s="324">
        <f>PGL_Supplies!AL8/1000</f>
        <v>0</v>
      </c>
    </row>
    <row r="156" spans="1:9" ht="15.75" thickBot="1">
      <c r="A156" s="425" t="s">
        <v>461</v>
      </c>
      <c r="B156" s="324">
        <f>PGL_Supplies!G7/1000</f>
        <v>0</v>
      </c>
      <c r="C156" s="389" t="s">
        <v>11</v>
      </c>
      <c r="D156" s="313"/>
      <c r="E156" s="382"/>
      <c r="F156" s="370" t="s">
        <v>394</v>
      </c>
      <c r="G156" s="574"/>
      <c r="H156" s="551"/>
      <c r="I156" s="324">
        <f>PGL_Supplies!AL9/1000</f>
        <v>0</v>
      </c>
    </row>
    <row r="157" spans="1:9" ht="15.75">
      <c r="A157" s="425" t="s">
        <v>462</v>
      </c>
      <c r="B157" s="388">
        <f>PGL_Requirements!T7/1000</f>
        <v>0</v>
      </c>
      <c r="C157" s="381" t="s">
        <v>11</v>
      </c>
      <c r="D157" s="313"/>
      <c r="E157" s="382"/>
      <c r="F157" s="576" t="s">
        <v>487</v>
      </c>
      <c r="G157" s="577"/>
      <c r="H157" s="575"/>
      <c r="I157" s="578">
        <v>0</v>
      </c>
    </row>
    <row r="158" spans="1:9" ht="15.75" thickBot="1">
      <c r="A158" s="425" t="s">
        <v>463</v>
      </c>
      <c r="B158" s="324">
        <f>PGL_Supplies!P7/1000</f>
        <v>0</v>
      </c>
      <c r="C158" s="389" t="s">
        <v>11</v>
      </c>
      <c r="D158" s="313"/>
      <c r="E158" s="492"/>
      <c r="F158" s="579" t="s">
        <v>488</v>
      </c>
      <c r="G158" s="392"/>
      <c r="H158" s="580"/>
      <c r="I158" s="581">
        <v>0</v>
      </c>
    </row>
    <row r="159" spans="1:9" ht="16.5" thickBot="1">
      <c r="A159" s="425" t="s">
        <v>109</v>
      </c>
      <c r="B159" s="324">
        <f>PGL_Supplies!AD7/1000</f>
        <v>101.2</v>
      </c>
      <c r="C159" s="389" t="s">
        <v>11</v>
      </c>
      <c r="D159" s="313"/>
      <c r="E159" s="382"/>
      <c r="F159" s="529" t="s">
        <v>251</v>
      </c>
      <c r="G159" s="530"/>
      <c r="H159" s="531"/>
      <c r="I159" s="360"/>
    </row>
    <row r="160" spans="1:9" ht="15.75" thickBot="1">
      <c r="A160" s="425" t="s">
        <v>394</v>
      </c>
      <c r="B160" s="612">
        <f>PGL_Supplies!Y7/1000</f>
        <v>257.91199999999998</v>
      </c>
      <c r="C160" s="528" t="s">
        <v>11</v>
      </c>
      <c r="D160" s="349"/>
      <c r="E160" s="526"/>
      <c r="F160" s="582" t="s">
        <v>489</v>
      </c>
      <c r="G160" s="542" t="s">
        <v>11</v>
      </c>
      <c r="H160" s="524"/>
      <c r="I160" s="587"/>
    </row>
    <row r="161" spans="1:9" ht="16.5" thickBot="1">
      <c r="A161" s="596" t="s">
        <v>464</v>
      </c>
      <c r="B161" s="614"/>
      <c r="C161" s="534" t="s">
        <v>11</v>
      </c>
      <c r="D161" s="535"/>
      <c r="E161" s="536"/>
      <c r="F161" s="565" t="s">
        <v>490</v>
      </c>
      <c r="G161" s="349"/>
      <c r="H161" s="585"/>
      <c r="I161" s="586" t="s">
        <v>11</v>
      </c>
    </row>
    <row r="162" spans="1:9" ht="16.5" thickBot="1">
      <c r="A162" s="399" t="s">
        <v>457</v>
      </c>
      <c r="B162" s="613">
        <f>B154+B156+B158+B159+B160-B153-B155-B157-B161</f>
        <v>359.11199999999997</v>
      </c>
      <c r="C162" s="400"/>
      <c r="D162" s="401"/>
      <c r="E162" s="537"/>
      <c r="F162" s="583" t="s">
        <v>255</v>
      </c>
      <c r="G162" s="532"/>
      <c r="H162" s="521"/>
      <c r="I162" s="584"/>
    </row>
    <row r="163" spans="1:9" ht="12.75" thickBot="1">
      <c r="A163" s="597"/>
      <c r="B163" s="598" t="s">
        <v>491</v>
      </c>
      <c r="C163" s="598"/>
      <c r="D163" s="598" t="s">
        <v>492</v>
      </c>
      <c r="E163" s="598"/>
      <c r="F163" s="598"/>
      <c r="G163" s="598"/>
      <c r="H163" s="599" t="s">
        <v>258</v>
      </c>
      <c r="I163" s="600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75">
      <c r="D11" s="197" t="s">
        <v>264</v>
      </c>
    </row>
    <row r="12" spans="1:10" ht="15.75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1:9" ht="15.75">
      <c r="B17" s="6" t="s">
        <v>268</v>
      </c>
      <c r="C17" s="195"/>
      <c r="D17" s="6"/>
      <c r="E17" s="6"/>
      <c r="F17" s="6"/>
      <c r="G17" s="6"/>
      <c r="H17" s="6"/>
      <c r="I17" s="6"/>
    </row>
    <row r="18" spans="1:9" ht="15.75">
      <c r="B18" s="195" t="s">
        <v>269</v>
      </c>
      <c r="C18" s="195"/>
      <c r="D18" s="6"/>
      <c r="E18" s="6"/>
      <c r="F18" s="6"/>
      <c r="G18" s="6"/>
      <c r="H18" s="6"/>
      <c r="I18" s="6"/>
    </row>
    <row r="19" spans="1:9" ht="15.75" thickBot="1"/>
    <row r="20" spans="1:9" ht="21" thickBot="1">
      <c r="B20" s="194" t="s">
        <v>270</v>
      </c>
      <c r="C20" s="193"/>
      <c r="D20" s="193"/>
      <c r="E20" s="193"/>
      <c r="F20" s="193"/>
      <c r="G20" s="193"/>
      <c r="H20" s="193"/>
      <c r="I20" s="192"/>
    </row>
    <row r="22" spans="1:9">
      <c r="B22" s="164" t="s">
        <v>271</v>
      </c>
      <c r="D22" s="166">
        <f ca="1">NOW()</f>
        <v>36958.447950462963</v>
      </c>
      <c r="F22" s="164" t="s">
        <v>272</v>
      </c>
      <c r="G22" s="191">
        <f ca="1">NOW()</f>
        <v>36958.447950462963</v>
      </c>
    </row>
    <row r="24" spans="1:9">
      <c r="B24" s="164" t="s">
        <v>273</v>
      </c>
      <c r="D24" s="229" t="s">
        <v>412</v>
      </c>
      <c r="F24" s="164" t="s">
        <v>274</v>
      </c>
      <c r="G24" s="165" t="s">
        <v>275</v>
      </c>
    </row>
    <row r="25" spans="1:9" ht="15.75" thickBot="1"/>
    <row r="26" spans="1:9" ht="15.75" thickBot="1">
      <c r="B26" s="209" t="s">
        <v>11</v>
      </c>
      <c r="C26" s="164" t="s">
        <v>276</v>
      </c>
    </row>
    <row r="27" spans="1:9" ht="15.75" thickBot="1">
      <c r="B27" s="209" t="s">
        <v>11</v>
      </c>
      <c r="C27" s="164" t="s">
        <v>277</v>
      </c>
    </row>
    <row r="28" spans="1:9" ht="15.75" thickBot="1">
      <c r="B28" s="209" t="s">
        <v>413</v>
      </c>
      <c r="C28" s="125" t="s">
        <v>389</v>
      </c>
    </row>
    <row r="29" spans="1:9">
      <c r="C29" s="164" t="s">
        <v>390</v>
      </c>
    </row>
    <row r="30" spans="1:9">
      <c r="C30" s="164" t="s">
        <v>11</v>
      </c>
    </row>
    <row r="32" spans="1:9">
      <c r="A32" t="s">
        <v>11</v>
      </c>
      <c r="B32" s="164" t="s">
        <v>278</v>
      </c>
      <c r="E32" s="449">
        <v>35915</v>
      </c>
    </row>
    <row r="34" spans="2:8" ht="15.75">
      <c r="B34" s="164" t="s">
        <v>279</v>
      </c>
      <c r="E34" s="190">
        <v>0</v>
      </c>
      <c r="F34" t="s">
        <v>280</v>
      </c>
    </row>
    <row r="36" spans="2:8" ht="15.75">
      <c r="B36" s="164" t="s">
        <v>281</v>
      </c>
      <c r="E36" s="190">
        <v>15000</v>
      </c>
      <c r="F36" t="s">
        <v>280</v>
      </c>
    </row>
    <row r="38" spans="2:8" ht="15.75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75">
      <c r="E39" s="166">
        <f>+E38+1</f>
        <v>35917</v>
      </c>
      <c r="F39" s="190">
        <v>0</v>
      </c>
      <c r="G39" t="s">
        <v>280</v>
      </c>
    </row>
    <row r="40" spans="2:8" ht="15.75">
      <c r="E40" s="166">
        <f>+E39+1</f>
        <v>35918</v>
      </c>
      <c r="F40" s="190">
        <v>0</v>
      </c>
      <c r="G40" t="s">
        <v>280</v>
      </c>
    </row>
    <row r="41" spans="2:8" ht="15.75">
      <c r="E41" s="166">
        <f>+E40+1</f>
        <v>35919</v>
      </c>
      <c r="F41" s="190">
        <v>0</v>
      </c>
      <c r="G41" t="s">
        <v>280</v>
      </c>
    </row>
    <row r="42" spans="2:8" ht="15.75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 t="s">
        <v>403</v>
      </c>
      <c r="E44" s="105"/>
      <c r="F44" s="105"/>
      <c r="G44" s="105"/>
      <c r="H44" s="105"/>
    </row>
    <row r="45" spans="2:8">
      <c r="D45" s="105" t="s">
        <v>404</v>
      </c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442" t="s">
        <v>400</v>
      </c>
    </row>
    <row r="51" spans="2:4">
      <c r="B51" s="188"/>
      <c r="C51" s="442" t="s">
        <v>401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11</v>
      </c>
    </row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75">
      <c r="D11" s="197" t="s">
        <v>264</v>
      </c>
    </row>
    <row r="12" spans="1:10" ht="15.75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268</v>
      </c>
      <c r="C17" s="195"/>
      <c r="D17" s="6"/>
      <c r="E17" s="6"/>
      <c r="F17" s="6"/>
      <c r="G17" s="6"/>
      <c r="H17" s="6"/>
      <c r="I17" s="6"/>
    </row>
    <row r="18" spans="2:9" ht="15.75">
      <c r="B18" s="195" t="s">
        <v>269</v>
      </c>
      <c r="C18" s="195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94" t="s">
        <v>392</v>
      </c>
      <c r="C20" s="193"/>
      <c r="D20" s="193"/>
      <c r="E20" s="193"/>
      <c r="F20" s="193"/>
      <c r="G20" s="193"/>
      <c r="H20" s="193"/>
      <c r="I20" s="192"/>
    </row>
    <row r="22" spans="2:9">
      <c r="B22" s="164" t="s">
        <v>271</v>
      </c>
      <c r="D22" s="166">
        <f ca="1">NOW()</f>
        <v>36958.447950462963</v>
      </c>
      <c r="F22" s="164" t="s">
        <v>272</v>
      </c>
      <c r="G22" s="191">
        <f ca="1">NOW()</f>
        <v>36958.447950462963</v>
      </c>
    </row>
    <row r="24" spans="2:9">
      <c r="B24" s="164" t="s">
        <v>273</v>
      </c>
      <c r="D24" s="229" t="s">
        <v>412</v>
      </c>
      <c r="E24" t="s">
        <v>11</v>
      </c>
      <c r="F24" s="164" t="s">
        <v>274</v>
      </c>
      <c r="G24" s="165" t="s">
        <v>275</v>
      </c>
    </row>
    <row r="25" spans="2:9" ht="15.75" thickBot="1"/>
    <row r="26" spans="2:9" ht="15.75" thickBot="1">
      <c r="B26" s="209" t="s">
        <v>11</v>
      </c>
      <c r="C26" s="164" t="s">
        <v>276</v>
      </c>
    </row>
    <row r="27" spans="2:9" ht="15.75" thickBot="1">
      <c r="B27" s="209" t="s">
        <v>11</v>
      </c>
      <c r="C27" s="164" t="s">
        <v>277</v>
      </c>
    </row>
    <row r="28" spans="2:9" ht="15.75" thickBot="1">
      <c r="B28" s="209" t="s">
        <v>413</v>
      </c>
      <c r="C28" s="125" t="s">
        <v>389</v>
      </c>
    </row>
    <row r="29" spans="2:9">
      <c r="B29" t="s">
        <v>11</v>
      </c>
      <c r="C29" s="164" t="s">
        <v>390</v>
      </c>
    </row>
    <row r="30" spans="2:9">
      <c r="C30" s="164" t="s">
        <v>11</v>
      </c>
    </row>
    <row r="32" spans="2:9">
      <c r="B32" s="164" t="s">
        <v>278</v>
      </c>
      <c r="E32" s="449">
        <v>35915</v>
      </c>
    </row>
    <row r="34" spans="2:8" ht="15.75">
      <c r="B34" s="164" t="s">
        <v>279</v>
      </c>
      <c r="E34" s="190">
        <v>0</v>
      </c>
      <c r="F34" t="s">
        <v>280</v>
      </c>
    </row>
    <row r="36" spans="2:8" ht="15.75">
      <c r="B36" s="164" t="s">
        <v>281</v>
      </c>
      <c r="E36" s="190">
        <v>0</v>
      </c>
      <c r="F36" t="s">
        <v>280</v>
      </c>
    </row>
    <row r="38" spans="2:8" ht="15.75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75">
      <c r="E39" s="166">
        <f>+E38+1</f>
        <v>35917</v>
      </c>
      <c r="F39" s="190">
        <v>0</v>
      </c>
      <c r="G39" t="s">
        <v>280</v>
      </c>
    </row>
    <row r="40" spans="2:8" ht="15.75">
      <c r="E40" s="166">
        <f>+E39+1</f>
        <v>35918</v>
      </c>
      <c r="F40" s="190">
        <v>0</v>
      </c>
      <c r="G40" t="s">
        <v>280</v>
      </c>
    </row>
    <row r="41" spans="2:8" ht="15.75">
      <c r="E41" s="166">
        <f>+E40+1</f>
        <v>35919</v>
      </c>
      <c r="F41" s="190">
        <v>0</v>
      </c>
      <c r="G41" t="s">
        <v>280</v>
      </c>
    </row>
    <row r="42" spans="2:8" ht="15.75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187" t="s">
        <v>285</v>
      </c>
    </row>
    <row r="51" spans="2:4">
      <c r="B51" s="188"/>
      <c r="C51" s="187" t="s">
        <v>286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287</v>
      </c>
      <c r="E4" s="90"/>
      <c r="F4" s="90" t="s">
        <v>288</v>
      </c>
      <c r="G4" s="90"/>
      <c r="H4" s="93"/>
      <c r="I4" s="92" t="s">
        <v>289</v>
      </c>
    </row>
    <row r="5" spans="1:109" ht="15">
      <c r="A5" s="18" t="str">
        <f>CHOOSE(WEEKDAY(B5),"Sunday","Monday","Tuesday","Wednesday","Thursday","Friday","Saturday")</f>
        <v>Wednesday</v>
      </c>
      <c r="B5" s="21">
        <f>Weather_Input!A5</f>
        <v>36957</v>
      </c>
      <c r="C5" s="15"/>
      <c r="D5" s="22" t="s">
        <v>290</v>
      </c>
      <c r="E5" s="23">
        <f>Weather_Input!B5</f>
        <v>44</v>
      </c>
      <c r="F5" s="24" t="s">
        <v>291</v>
      </c>
      <c r="G5" s="25">
        <f>Weather_Input!H5</f>
        <v>32</v>
      </c>
      <c r="H5" s="26" t="s">
        <v>292</v>
      </c>
      <c r="I5" s="27">
        <f ca="1">G5-(VLOOKUP(B5,DD_Normal_Data,CELL("Col",B6),FALSE))</f>
        <v>1</v>
      </c>
    </row>
    <row r="6" spans="1:109" ht="15">
      <c r="A6" s="18"/>
      <c r="B6" s="21"/>
      <c r="C6" s="15"/>
      <c r="D6" s="22" t="s">
        <v>176</v>
      </c>
      <c r="E6" s="23">
        <f>Weather_Input!C5</f>
        <v>30</v>
      </c>
      <c r="F6" s="24" t="s">
        <v>293</v>
      </c>
      <c r="G6" s="25">
        <f>Weather_Input!F5</f>
        <v>239</v>
      </c>
      <c r="H6" s="26" t="s">
        <v>294</v>
      </c>
      <c r="I6" s="27">
        <f ca="1">G6-(VLOOKUP(B5,DD_Normal_Data,CELL("Col",C7),FALSE))</f>
        <v>16</v>
      </c>
      <c r="J6" s="28"/>
      <c r="DE6" s="14" t="s">
        <v>16</v>
      </c>
    </row>
    <row r="7" spans="1:109" ht="15">
      <c r="A7" s="18"/>
      <c r="B7" s="21"/>
      <c r="C7" s="15"/>
      <c r="D7" s="22" t="s">
        <v>295</v>
      </c>
      <c r="E7" s="29">
        <f>IF(Weather_Input!E5="N/A",(Weather_Input!C5+Weather_Input!B5)/2,Weather_Input!E5)</f>
        <v>34.1</v>
      </c>
      <c r="F7" s="24" t="s">
        <v>296</v>
      </c>
      <c r="G7" s="25">
        <f>Weather_Input!G5</f>
        <v>5324</v>
      </c>
      <c r="H7" s="26" t="s">
        <v>296</v>
      </c>
      <c r="I7" s="123">
        <f ca="1">G7-(VLOOKUP(B5,DD_Normal_Data,CELL("Col",D4),FALSE))</f>
        <v>306</v>
      </c>
      <c r="J7" s="123"/>
    </row>
    <row r="8" spans="1:109" ht="15">
      <c r="A8" s="18"/>
      <c r="B8" s="20"/>
      <c r="C8" s="15"/>
      <c r="D8" s="32" t="str">
        <f>IF(Weather_Input!I5=""," ",Weather_Input!I5)</f>
        <v xml:space="preserve">   PARTLY   SUNNY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  BECOMING CLOUDY.    WINDS NW 10 TO 15 MPH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Thursday</v>
      </c>
      <c r="B10" s="21">
        <f>Weather_Input!A6</f>
        <v>36958</v>
      </c>
      <c r="C10" s="15"/>
      <c r="D10" s="153" t="s">
        <v>290</v>
      </c>
      <c r="E10" s="23">
        <f>Weather_Input!B6</f>
        <v>33</v>
      </c>
      <c r="F10" s="24" t="s">
        <v>291</v>
      </c>
      <c r="G10" s="25">
        <f>IF(E12&lt;65,65-(Weather_Input!B6+Weather_Input!C6)/2,0)</f>
        <v>37.5</v>
      </c>
      <c r="H10" s="26" t="s">
        <v>292</v>
      </c>
      <c r="I10" s="27">
        <f ca="1">G10-(VLOOKUP(B10,DD_Normal_Data,CELL("Col",B11),FALSE))</f>
        <v>7.5</v>
      </c>
    </row>
    <row r="11" spans="1:109" ht="15">
      <c r="A11" s="18"/>
      <c r="B11" s="21"/>
      <c r="C11" s="15"/>
      <c r="D11" s="22" t="s">
        <v>176</v>
      </c>
      <c r="E11" s="23">
        <f>Weather_Input!C6</f>
        <v>22</v>
      </c>
      <c r="F11" s="24" t="s">
        <v>293</v>
      </c>
      <c r="G11" s="25">
        <f>IF(DAY(B10)=1,G10,G6+G10)</f>
        <v>276.5</v>
      </c>
      <c r="H11" s="30" t="s">
        <v>294</v>
      </c>
      <c r="I11" s="27">
        <f ca="1">G11-(VLOOKUP(B10,DD_Normal_Data,CELL("Col",C12),FALSE))</f>
        <v>23.5</v>
      </c>
      <c r="DE11" s="14" t="s">
        <v>297</v>
      </c>
    </row>
    <row r="12" spans="1:109" ht="15">
      <c r="A12" s="18"/>
      <c r="B12" s="20"/>
      <c r="C12" s="15"/>
      <c r="D12" s="22" t="s">
        <v>295</v>
      </c>
      <c r="E12" s="23">
        <f>(Weather_Input!C6+Weather_Input!B6)/2</f>
        <v>27.5</v>
      </c>
      <c r="F12" s="24" t="s">
        <v>296</v>
      </c>
      <c r="G12" s="25">
        <f>IF(AND(DAY(B10)=1,MONTH(B10)=8),G10,G7+G10)</f>
        <v>5361.5</v>
      </c>
      <c r="H12" s="26" t="s">
        <v>296</v>
      </c>
      <c r="I12" s="27">
        <f ca="1">G12-(VLOOKUP(B10,DD_Normal_Data,CELL("Col",D9),FALSE))</f>
        <v>313.5</v>
      </c>
    </row>
    <row r="13" spans="1:109" ht="15">
      <c r="A13" s="18"/>
      <c r="B13" s="21"/>
      <c r="C13" s="15"/>
      <c r="D13" s="32" t="str">
        <f>IF(Weather_Input!I6=""," ",Weather_Input!I6)</f>
        <v xml:space="preserve">MOSTLY CLOUDY… WITH A CHANCE OF SNOW FLURRIES IN THE MORNING. HIGH IN 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>THE 30S.CLOUDY AND COLD AT NIGHT. LOWS IN THE MIDDLE 20S. NW WINDS 8 12 MPH.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Friday</v>
      </c>
      <c r="B15" s="21">
        <f>Weather_Input!A7</f>
        <v>36959</v>
      </c>
      <c r="C15" s="15"/>
      <c r="D15" s="22" t="s">
        <v>290</v>
      </c>
      <c r="E15" s="23">
        <f>Weather_Input!B7</f>
        <v>35</v>
      </c>
      <c r="F15" s="24" t="s">
        <v>291</v>
      </c>
      <c r="G15" s="25">
        <f>IF(E17&lt;65,65-(Weather_Input!B7+Weather_Input!C7)/2,0)</f>
        <v>37.5</v>
      </c>
      <c r="H15" s="26" t="s">
        <v>292</v>
      </c>
      <c r="I15" s="27">
        <f ca="1">G15-(VLOOKUP(B15,DD_Normal_Data,CELL("Col",B16),FALSE))</f>
        <v>7.5</v>
      </c>
    </row>
    <row r="16" spans="1:109" ht="15">
      <c r="A16" s="18"/>
      <c r="B16" s="20"/>
      <c r="C16" s="15"/>
      <c r="D16" s="22" t="s">
        <v>176</v>
      </c>
      <c r="E16" s="23">
        <f>Weather_Input!C7</f>
        <v>20</v>
      </c>
      <c r="F16" s="24" t="s">
        <v>293</v>
      </c>
      <c r="G16" s="25">
        <f>IF(DAY(B15)=1,G15,G11+G15)</f>
        <v>314</v>
      </c>
      <c r="H16" s="30" t="s">
        <v>294</v>
      </c>
      <c r="I16" s="27">
        <f ca="1">G16-(VLOOKUP(B15,DD_Normal_Data,CELL("Col",C17),FALSE))</f>
        <v>31</v>
      </c>
      <c r="DE16" s="14" t="s">
        <v>34</v>
      </c>
    </row>
    <row r="17" spans="1:109" ht="15">
      <c r="A17" s="18"/>
      <c r="B17" s="21"/>
      <c r="C17" s="15"/>
      <c r="D17" s="22" t="s">
        <v>295</v>
      </c>
      <c r="E17" s="23">
        <f>(Weather_Input!C7+Weather_Input!B7)/2</f>
        <v>27.5</v>
      </c>
      <c r="F17" s="24" t="s">
        <v>296</v>
      </c>
      <c r="G17" s="25">
        <f>IF(AND(DAY(B15)=1,MONTH(B15)=8),G15,G12+G15)</f>
        <v>5399</v>
      </c>
      <c r="H17" s="26" t="s">
        <v>296</v>
      </c>
      <c r="I17" s="27">
        <f ca="1">G17-(VLOOKUP(B15,DD_Normal_Data,CELL("Col",D14),FALSE))</f>
        <v>321</v>
      </c>
    </row>
    <row r="18" spans="1:109" ht="15">
      <c r="A18" s="18"/>
      <c r="B18" s="20"/>
      <c r="C18" s="15"/>
      <c r="D18" s="32" t="str">
        <f>IF(Weather_Input!I7=""," ",Weather_Input!I7)</f>
        <v xml:space="preserve">CLOUDY AND COLD . HIGHS IN THE MIDDLE 30S. AND COLDER AT NIGHT .. LOWS IN 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>THE MIDDLE 20S.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Saturday</v>
      </c>
      <c r="B20" s="21">
        <f>Weather_Input!A8</f>
        <v>36960</v>
      </c>
      <c r="C20" s="15"/>
      <c r="D20" s="22" t="s">
        <v>290</v>
      </c>
      <c r="E20" s="23">
        <f>Weather_Input!B8</f>
        <v>43</v>
      </c>
      <c r="F20" s="24" t="s">
        <v>291</v>
      </c>
      <c r="G20" s="25">
        <f>IF(E22&lt;65,65-(Weather_Input!B8+Weather_Input!C8)/2,0)</f>
        <v>29.5</v>
      </c>
      <c r="H20" s="26" t="s">
        <v>292</v>
      </c>
      <c r="I20" s="27">
        <f ca="1">G20-(VLOOKUP(B20,DD_Normal_Data,CELL("Col",B21),FALSE))</f>
        <v>-0.5</v>
      </c>
    </row>
    <row r="21" spans="1:109" ht="15">
      <c r="A21" s="18"/>
      <c r="B21" s="21"/>
      <c r="C21" s="15"/>
      <c r="D21" s="22" t="s">
        <v>176</v>
      </c>
      <c r="E21" s="23">
        <f>Weather_Input!C8</f>
        <v>28</v>
      </c>
      <c r="F21" s="24" t="s">
        <v>293</v>
      </c>
      <c r="G21" s="25">
        <f>IF(DAY(B20)=1,G20,G16+G20)</f>
        <v>343.5</v>
      </c>
      <c r="H21" s="30" t="s">
        <v>294</v>
      </c>
      <c r="I21" s="27">
        <f ca="1">G21-(VLOOKUP(B20,DD_Normal_Data,CELL("Col",C22),FALSE))</f>
        <v>30.5</v>
      </c>
      <c r="DE21" s="14" t="s">
        <v>298</v>
      </c>
    </row>
    <row r="22" spans="1:109" ht="15">
      <c r="A22" s="18"/>
      <c r="B22" s="21"/>
      <c r="C22" s="15"/>
      <c r="D22" s="22" t="s">
        <v>295</v>
      </c>
      <c r="E22" s="23">
        <f>(Weather_Input!C8+Weather_Input!B8)/2</f>
        <v>35.5</v>
      </c>
      <c r="F22" s="24" t="s">
        <v>296</v>
      </c>
      <c r="G22" s="25">
        <f>IF(AND(DAY(B20)=1,MONTH(B20)=8),G20,G17+G20)</f>
        <v>5428.5</v>
      </c>
      <c r="H22" s="26" t="s">
        <v>296</v>
      </c>
      <c r="I22" s="27">
        <f ca="1">G22-(VLOOKUP(B20,DD_Normal_Data,CELL("Col",D19),FALSE))</f>
        <v>320.5</v>
      </c>
    </row>
    <row r="23" spans="1:109" ht="15">
      <c r="A23" s="18"/>
      <c r="B23" s="21"/>
      <c r="C23" s="15"/>
      <c r="D23" s="32" t="str">
        <f>IF(Weather_Input!I8=""," ",Weather_Input!I8)</f>
        <v>CLOUDY WITH HIGHS IN THE LOW 40S.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Sunday</v>
      </c>
      <c r="B25" s="21">
        <f>Weather_Input!A9</f>
        <v>36961</v>
      </c>
      <c r="C25" s="15"/>
      <c r="D25" s="22" t="s">
        <v>290</v>
      </c>
      <c r="E25" s="23">
        <f>Weather_Input!B9</f>
        <v>45</v>
      </c>
      <c r="F25" s="24" t="s">
        <v>291</v>
      </c>
      <c r="G25" s="25">
        <f>IF(E27&lt;65,65-(Weather_Input!B9+Weather_Input!C9)/2,0)</f>
        <v>27</v>
      </c>
      <c r="H25" s="26" t="s">
        <v>292</v>
      </c>
      <c r="I25" s="27">
        <f ca="1">G25-(VLOOKUP(B25,DD_Normal_Data,CELL("Col",B26),FALSE))</f>
        <v>-3</v>
      </c>
    </row>
    <row r="26" spans="1:109" ht="15">
      <c r="A26" s="18"/>
      <c r="B26" s="21"/>
      <c r="C26" s="15"/>
      <c r="D26" s="22" t="s">
        <v>176</v>
      </c>
      <c r="E26" s="23">
        <f>Weather_Input!C9</f>
        <v>31</v>
      </c>
      <c r="F26" s="24" t="s">
        <v>293</v>
      </c>
      <c r="G26" s="25">
        <f>IF(DAY(B25)=1,G25,G21+G25)</f>
        <v>370.5</v>
      </c>
      <c r="H26" s="30" t="s">
        <v>294</v>
      </c>
      <c r="I26" s="27">
        <f ca="1">G26-(VLOOKUP(B25,DD_Normal_Data,CELL("Col",C27),FALSE))</f>
        <v>27.5</v>
      </c>
      <c r="DE26" s="14" t="s">
        <v>299</v>
      </c>
    </row>
    <row r="27" spans="1:109" ht="15">
      <c r="A27" s="18"/>
      <c r="B27" s="20"/>
      <c r="C27" s="15"/>
      <c r="D27" s="22" t="s">
        <v>295</v>
      </c>
      <c r="E27" s="23">
        <f>(Weather_Input!C9+Weather_Input!B9)/2</f>
        <v>38</v>
      </c>
      <c r="F27" s="24" t="s">
        <v>296</v>
      </c>
      <c r="G27" s="25">
        <f>IF(AND(DAY(B25)=1,MONTH(B25)=8),G25,G22+G25)</f>
        <v>5455.5</v>
      </c>
      <c r="H27" s="26" t="s">
        <v>296</v>
      </c>
      <c r="I27" s="27">
        <f ca="1">G27-(VLOOKUP(B25,DD_Normal_Data,CELL("Col",D24),FALSE))</f>
        <v>317.5</v>
      </c>
    </row>
    <row r="28" spans="1:109" ht="15">
      <c r="A28" s="18"/>
      <c r="B28" s="20"/>
      <c r="C28" s="15"/>
      <c r="D28" s="32" t="str">
        <f>IF(Weather_Input!I9=""," ",Weather_Input!I9)</f>
        <v xml:space="preserve">CLOUDY WITH A CHANE OF RAIN EARLY. LOW IN THE MIDDLE 30S. HIGH IN THE 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>LOW 40S.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Monday</v>
      </c>
      <c r="B30" s="21">
        <f>Weather_Input!A10</f>
        <v>36962</v>
      </c>
      <c r="C30" s="15"/>
      <c r="D30" s="22" t="s">
        <v>290</v>
      </c>
      <c r="E30" s="23">
        <f>Weather_Input!B10</f>
        <v>48</v>
      </c>
      <c r="F30" s="24" t="s">
        <v>291</v>
      </c>
      <c r="G30" s="25">
        <f>IF(E32&lt;65,65-(Weather_Input!B10+Weather_Input!C10)/2,0)</f>
        <v>23.5</v>
      </c>
      <c r="H30" s="26" t="s">
        <v>292</v>
      </c>
      <c r="I30" s="27">
        <f ca="1">G30-(VLOOKUP(B30,DD_Normal_Data,CELL("Col",B31),FALSE))</f>
        <v>-5.5</v>
      </c>
    </row>
    <row r="31" spans="1:109" ht="15">
      <c r="A31" s="15"/>
      <c r="B31" s="15"/>
      <c r="C31" s="15"/>
      <c r="D31" s="22" t="s">
        <v>176</v>
      </c>
      <c r="E31" s="23">
        <f>Weather_Input!C10</f>
        <v>35</v>
      </c>
      <c r="F31" s="24" t="s">
        <v>293</v>
      </c>
      <c r="G31" s="25">
        <f>IF(DAY(B30)=1,G30,G26+G30)</f>
        <v>394</v>
      </c>
      <c r="H31" s="30" t="s">
        <v>294</v>
      </c>
      <c r="I31" s="27">
        <f ca="1">G31-(VLOOKUP(B30,DD_Normal_Data,CELL("Col",C32),FALSE))</f>
        <v>22</v>
      </c>
      <c r="DE31" s="14" t="s">
        <v>33</v>
      </c>
    </row>
    <row r="32" spans="1:109" ht="15">
      <c r="A32" s="15"/>
      <c r="B32" s="15"/>
      <c r="C32" s="15"/>
      <c r="D32" s="22" t="s">
        <v>295</v>
      </c>
      <c r="E32" s="23">
        <f>(Weather_Input!C10+Weather_Input!B10)/2</f>
        <v>41.5</v>
      </c>
      <c r="F32" s="24" t="s">
        <v>296</v>
      </c>
      <c r="G32" s="25">
        <f>IF(AND(DAY(B30)=1,MONTH(B30)=8),G30,G27+G30)</f>
        <v>5479</v>
      </c>
      <c r="H32" s="26" t="s">
        <v>296</v>
      </c>
      <c r="I32" s="27">
        <f ca="1">G32-(VLOOKUP(B30,DD_Normal_Data,CELL("Col",D29),FALSE))</f>
        <v>312</v>
      </c>
    </row>
    <row r="33" spans="1:9" ht="15">
      <c r="A33" s="15"/>
      <c r="B33" s="34"/>
      <c r="C33" s="15"/>
      <c r="D33" s="32" t="str">
        <f>IF(Weather_Input!I10=""," ",Weather_Input!I10)</f>
        <v xml:space="preserve">  A  CHANCE  OF   RAIN  HIGH IN THE MIDDLE 40S. LOW IN THE MIDDLE 30S AT NIGHT.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1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300</v>
      </c>
      <c r="B35" s="18" t="s">
        <v>163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36957</v>
      </c>
      <c r="C36" s="91">
        <f>B10</f>
        <v>36958</v>
      </c>
      <c r="D36" s="91">
        <f>B15</f>
        <v>36959</v>
      </c>
      <c r="E36" s="91">
        <f xml:space="preserve">       B20</f>
        <v>36960</v>
      </c>
      <c r="F36" s="91">
        <f>B25</f>
        <v>36961</v>
      </c>
      <c r="G36" s="91">
        <f>B30</f>
        <v>36962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955</v>
      </c>
      <c r="C37" s="41">
        <f ca="1">(VLOOKUP(C36,PGL_Sendouts,(CELL("COL",PGL_Deliveries!C7))))/1000</f>
        <v>1045</v>
      </c>
      <c r="D37" s="41">
        <f ca="1">(VLOOKUP(D36,PGL_Sendouts,(CELL("COL",PGL_Deliveries!C8))))/1000</f>
        <v>1040</v>
      </c>
      <c r="E37" s="41">
        <f ca="1">(VLOOKUP(E36,PGL_Sendouts,(CELL("COL",PGL_Deliveries!C9))))/1000</f>
        <v>900</v>
      </c>
      <c r="F37" s="41">
        <f ca="1">(VLOOKUP(F36,PGL_Sendouts,(CELL("COL",PGL_Deliveries!C10))))/1000</f>
        <v>865</v>
      </c>
      <c r="G37" s="41">
        <f ca="1">(VLOOKUP(G36,PGL_Sendouts,(CELL("COL",PGL_Deliveries!C10))))/1000</f>
        <v>795</v>
      </c>
      <c r="H37" s="14"/>
      <c r="I37" s="15"/>
    </row>
    <row r="38" spans="1:9" ht="15">
      <c r="A38" s="15" t="s">
        <v>301</v>
      </c>
      <c r="B38" s="41">
        <f>PGL_6_Day_Report!D30</f>
        <v>1106.3800000000001</v>
      </c>
      <c r="C38" s="41">
        <f>PGL_6_Day_Report!E30</f>
        <v>1125.6300000000001</v>
      </c>
      <c r="D38" s="41">
        <f>PGL_6_Day_Report!F30</f>
        <v>1294.4100000000001</v>
      </c>
      <c r="E38" s="41">
        <f>PGL_6_Day_Report!G30</f>
        <v>1154.4100000000001</v>
      </c>
      <c r="F38" s="41">
        <f>PGL_6_Day_Report!H30</f>
        <v>1119.4100000000001</v>
      </c>
      <c r="G38" s="41">
        <f>PGL_6_Day_Report!I30</f>
        <v>1049.4100000000001</v>
      </c>
      <c r="H38" s="14"/>
      <c r="I38" s="15"/>
    </row>
    <row r="39" spans="1:9" ht="15">
      <c r="A39" s="42" t="s">
        <v>109</v>
      </c>
      <c r="B39" s="41">
        <f>SUM(PGL_Supplies!Z7:AE7)/1000</f>
        <v>847.64700000000005</v>
      </c>
      <c r="C39" s="41">
        <f>SUM(PGL_Supplies!Z8:AE8)/1000</f>
        <v>798.05799999999999</v>
      </c>
      <c r="D39" s="41">
        <f>SUM(PGL_Supplies!Z9:AE9)/1000</f>
        <v>798.05799999999999</v>
      </c>
      <c r="E39" s="41">
        <f>SUM(PGL_Supplies!Z10:AE10)/1000</f>
        <v>798.05799999999999</v>
      </c>
      <c r="F39" s="41">
        <f>SUM(PGL_Supplies!Z11:AE11)/1000</f>
        <v>798.05799999999999</v>
      </c>
      <c r="G39" s="41">
        <f>SUM(PGL_Supplies!Z12:AE12)/1000</f>
        <v>798.05799999999999</v>
      </c>
      <c r="H39" s="14"/>
      <c r="I39" s="15"/>
    </row>
    <row r="40" spans="1:9" ht="15">
      <c r="A40" s="42" t="s">
        <v>302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303</v>
      </c>
      <c r="B41" s="41">
        <f>SUM(PGL_Requirements!R7:U7)/1000</f>
        <v>0.38</v>
      </c>
      <c r="C41" s="41">
        <f>SUM(PGL_Requirements!R7:U7)/1000</f>
        <v>0.38</v>
      </c>
      <c r="D41" s="41">
        <f>SUM(PGL_Requirements!R7:U7)/1000</f>
        <v>0.38</v>
      </c>
      <c r="E41" s="41">
        <f>SUM(PGL_Requirements!R7:U7)/1000</f>
        <v>0.38</v>
      </c>
      <c r="F41" s="41">
        <f>SUM(PGL_Requirements!R7:U7)/1000</f>
        <v>0.38</v>
      </c>
      <c r="G41" s="41">
        <f>SUM(PGL_Requirements!R7:U7)/1000</f>
        <v>0.38</v>
      </c>
      <c r="H41" s="14"/>
      <c r="I41" s="15"/>
    </row>
    <row r="42" spans="1:9" ht="15">
      <c r="A42" s="15" t="s">
        <v>132</v>
      </c>
      <c r="B42" s="41">
        <f>PGL_Supplies!V7/1000</f>
        <v>296.28199999999998</v>
      </c>
      <c r="C42" s="41">
        <f>PGL_Supplies!V8/1000</f>
        <v>309.83100000000002</v>
      </c>
      <c r="D42" s="41">
        <f>PGL_Supplies!V9/1000</f>
        <v>309.83100000000002</v>
      </c>
      <c r="E42" s="41">
        <f>PGL_Supplies!V10/1000</f>
        <v>309.83100000000002</v>
      </c>
      <c r="F42" s="41">
        <f>PGL_Supplies!V11/1000</f>
        <v>309.83100000000002</v>
      </c>
      <c r="G42" s="41">
        <f>PGL_Supplies!V12/1000</f>
        <v>309.83100000000002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36957</v>
      </c>
      <c r="C44" s="91">
        <f t="shared" si="0"/>
        <v>36958</v>
      </c>
      <c r="D44" s="91">
        <f t="shared" si="0"/>
        <v>36959</v>
      </c>
      <c r="E44" s="91">
        <f t="shared" si="0"/>
        <v>36960</v>
      </c>
      <c r="F44" s="91">
        <f t="shared" si="0"/>
        <v>36961</v>
      </c>
      <c r="G44" s="91">
        <f t="shared" si="0"/>
        <v>36962</v>
      </c>
      <c r="H44" s="14"/>
      <c r="I44" s="15"/>
    </row>
    <row r="45" spans="1:9" ht="15">
      <c r="A45" s="15" t="s">
        <v>56</v>
      </c>
      <c r="B45" s="41">
        <f ca="1">NSG_6_Day_Report!D6</f>
        <v>152</v>
      </c>
      <c r="C45" s="41">
        <f ca="1">NSG_6_Day_Report!E6</f>
        <v>165</v>
      </c>
      <c r="D45" s="41">
        <f ca="1">NSG_6_Day_Report!F6</f>
        <v>165</v>
      </c>
      <c r="E45" s="41">
        <f ca="1">NSG_6_Day_Report!G6</f>
        <v>138</v>
      </c>
      <c r="F45" s="41">
        <f ca="1">NSG_6_Day_Report!H6</f>
        <v>131</v>
      </c>
      <c r="G45" s="41">
        <f ca="1">NSG_6_Day_Report!I6</f>
        <v>116</v>
      </c>
      <c r="H45" s="14"/>
      <c r="I45" s="15"/>
    </row>
    <row r="46" spans="1:9" ht="15">
      <c r="A46" s="42" t="s">
        <v>301</v>
      </c>
      <c r="B46" s="41">
        <f ca="1">NSG_6_Day_Report!D19</f>
        <v>177.54300000000001</v>
      </c>
      <c r="C46" s="41">
        <f ca="1">NSG_6_Day_Report!E19</f>
        <v>173.66</v>
      </c>
      <c r="D46" s="41">
        <f ca="1">NSG_6_Day_Report!F19</f>
        <v>165</v>
      </c>
      <c r="E46" s="41">
        <f ca="1">NSG_6_Day_Report!G19</f>
        <v>138</v>
      </c>
      <c r="F46" s="41">
        <f ca="1">NSG_6_Day_Report!H19</f>
        <v>131</v>
      </c>
      <c r="G46" s="41">
        <f ca="1">NSG_6_Day_Report!I19</f>
        <v>116</v>
      </c>
      <c r="H46" s="14"/>
      <c r="I46" s="15"/>
    </row>
    <row r="47" spans="1:9" ht="15">
      <c r="A47" s="42" t="s">
        <v>109</v>
      </c>
      <c r="B47" s="41">
        <f>SUM(NSG_Supplies!P7:R7)/1000</f>
        <v>123.63200000000001</v>
      </c>
      <c r="C47" s="41">
        <f>SUM(NSG_Supplies!P8:R8)/1000</f>
        <v>123.657</v>
      </c>
      <c r="D47" s="41">
        <f>SUM(NSG_Supplies!P9:R9)/1000</f>
        <v>123.657</v>
      </c>
      <c r="E47" s="41">
        <f>SUM(NSG_Supplies!P10:R10)/1000</f>
        <v>123.657</v>
      </c>
      <c r="F47" s="41">
        <f>SUM(NSG_Supplies!P11:R11)/1000</f>
        <v>123.657</v>
      </c>
      <c r="G47" s="41">
        <f>SUM(NSG_Supplies!P12:R12)/1000</f>
        <v>123.657</v>
      </c>
      <c r="H47" s="14"/>
      <c r="I47" s="15"/>
    </row>
    <row r="48" spans="1:9" ht="15">
      <c r="A48" s="42" t="s">
        <v>302</v>
      </c>
      <c r="B48" s="41">
        <f>SUM(NSG_Supplies!I7:M7)/1000</f>
        <v>50</v>
      </c>
      <c r="C48" s="41">
        <f>SUM(NSG_Supplies!I8:M8)/1000</f>
        <v>50</v>
      </c>
      <c r="D48" s="41">
        <f>SUM(NSG_Supplies!I9:M9)/1000</f>
        <v>40</v>
      </c>
      <c r="E48" s="41">
        <f>SUM(NSG_Supplies!I10:M10)/1000</f>
        <v>20</v>
      </c>
      <c r="F48" s="41">
        <f>SUM(NSG_Supplies!I11:M11)/1000</f>
        <v>20</v>
      </c>
      <c r="G48" s="41">
        <f>SUM(NSG_Supplies!I12:M12)/1000</f>
        <v>20</v>
      </c>
      <c r="H48" s="14"/>
      <c r="I48" s="15"/>
    </row>
    <row r="49" spans="1:9" ht="15">
      <c r="A49" s="45" t="s">
        <v>303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132</v>
      </c>
      <c r="B50" s="41">
        <f>NSG_Supplies!S7/1000</f>
        <v>33.622999999999998</v>
      </c>
      <c r="C50" s="41">
        <f>NSG_Supplies!S8/1000</f>
        <v>33.648000000000003</v>
      </c>
      <c r="D50" s="41">
        <f>NSG_Supplies!S9/1000</f>
        <v>33.648000000000003</v>
      </c>
      <c r="E50" s="41">
        <f>NSG_Supplies!S10/1000</f>
        <v>33.648000000000003</v>
      </c>
      <c r="F50" s="41">
        <f>NSG_Supplies!S11/1000</f>
        <v>33.648000000000003</v>
      </c>
      <c r="G50" s="41">
        <f>NSG_Supplies!S12/1000</f>
        <v>33.648000000000003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304</v>
      </c>
      <c r="B52" s="91">
        <f t="shared" ref="B52:G52" si="1">B36</f>
        <v>36957</v>
      </c>
      <c r="C52" s="91">
        <f t="shared" si="1"/>
        <v>36958</v>
      </c>
      <c r="D52" s="91">
        <f t="shared" si="1"/>
        <v>36959</v>
      </c>
      <c r="E52" s="91">
        <f t="shared" si="1"/>
        <v>36960</v>
      </c>
      <c r="F52" s="91">
        <f t="shared" si="1"/>
        <v>36961</v>
      </c>
      <c r="G52" s="91">
        <f t="shared" si="1"/>
        <v>36962</v>
      </c>
      <c r="H52" s="14"/>
      <c r="I52" s="15"/>
    </row>
    <row r="53" spans="1:9" ht="15">
      <c r="A53" s="94" t="s">
        <v>305</v>
      </c>
      <c r="B53" s="41">
        <f>PGL_Requirements!P7/1000</f>
        <v>0</v>
      </c>
      <c r="C53" s="41">
        <f>PGL_Requirements!P8/1000</f>
        <v>0</v>
      </c>
      <c r="D53" s="41">
        <f>PGL_Requirements!P9/1000</f>
        <v>250</v>
      </c>
      <c r="E53" s="41">
        <f>PGL_Requirements!P10/1000</f>
        <v>250</v>
      </c>
      <c r="F53" s="41">
        <f>PGL_Requirements!P11/1000</f>
        <v>250</v>
      </c>
      <c r="G53" s="41">
        <f>PGL_Requirements!P12/1000</f>
        <v>250</v>
      </c>
      <c r="H53" s="14"/>
      <c r="I53" s="15"/>
    </row>
    <row r="54" spans="1:9" ht="15">
      <c r="A54" s="15" t="s">
        <v>306</v>
      </c>
      <c r="B54" s="41">
        <f>PGL_Supplies!M7/1000</f>
        <v>1.1299999999999999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10" t="s">
        <v>744</v>
      </c>
    </row>
    <row r="57" spans="1:9">
      <c r="A57" s="158" t="s">
        <v>307</v>
      </c>
    </row>
    <row r="58" spans="1:9">
      <c r="A58" s="158" t="s">
        <v>308</v>
      </c>
      <c r="G58" s="159"/>
    </row>
    <row r="59" spans="1:9">
      <c r="A59" s="158" t="s">
        <v>309</v>
      </c>
    </row>
    <row r="60" spans="1:9">
      <c r="A60" s="158" t="s">
        <v>310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78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>
      <selection activeCell="B17" sqref="B17"/>
    </sheetView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60" t="s">
        <v>11</v>
      </c>
      <c r="B1" s="97"/>
      <c r="C1" s="97" t="s">
        <v>11</v>
      </c>
      <c r="D1" s="97"/>
      <c r="E1" s="97"/>
      <c r="F1" s="6"/>
    </row>
    <row r="2" spans="1:8" ht="15.75">
      <c r="A2" t="s">
        <v>11</v>
      </c>
      <c r="C2" s="96"/>
      <c r="D2" s="96"/>
      <c r="E2" s="96"/>
      <c r="F2" s="1142"/>
    </row>
    <row r="3" spans="1:8" ht="15.75" thickBot="1">
      <c r="A3" s="98" t="s">
        <v>311</v>
      </c>
    </row>
    <row r="4" spans="1:8">
      <c r="A4" s="99"/>
      <c r="B4" s="1143" t="str">
        <f>Six_Day_Summary!A10</f>
        <v>Thursday</v>
      </c>
      <c r="C4" s="1144" t="str">
        <f>Six_Day_Summary!A15</f>
        <v>Friday</v>
      </c>
      <c r="D4" s="1144" t="str">
        <f>Six_Day_Summary!A20</f>
        <v>Saturday</v>
      </c>
      <c r="E4" s="1144" t="str">
        <f>Six_Day_Summary!A25</f>
        <v>Sunday</v>
      </c>
      <c r="F4" s="1145" t="str">
        <f>Six_Day_Summary!A30</f>
        <v>Monday</v>
      </c>
      <c r="G4" s="100"/>
    </row>
    <row r="5" spans="1:8">
      <c r="A5" s="103" t="s">
        <v>312</v>
      </c>
      <c r="B5" s="1146">
        <f>Weather_Input!A6</f>
        <v>36958</v>
      </c>
      <c r="C5" s="1147">
        <f>Weather_Input!A7</f>
        <v>36959</v>
      </c>
      <c r="D5" s="1147">
        <f>Weather_Input!A8</f>
        <v>36960</v>
      </c>
      <c r="E5" s="1147">
        <f>Weather_Input!A9</f>
        <v>36961</v>
      </c>
      <c r="F5" s="1148">
        <f>Weather_Input!A10</f>
        <v>36962</v>
      </c>
      <c r="G5" s="100"/>
    </row>
    <row r="6" spans="1:8">
      <c r="A6" s="100" t="s">
        <v>313</v>
      </c>
      <c r="B6" s="1149">
        <f>PGL_Supplies!AC8/1000+PGL_Supplies!L8/1000-PGL_Requirements!O8/1000+B15-PGL_Requirements!T8/1000+B8</f>
        <v>230.91900000000001</v>
      </c>
      <c r="C6" s="1149">
        <f>PGL_Supplies!AC9/1000+PGL_Supplies!L9/1000-PGL_Requirements!O9/1000+C15-PGL_Requirements!T9/1000</f>
        <v>265.88900000000001</v>
      </c>
      <c r="D6" s="1149">
        <f>PGL_Supplies!AC10/1000+PGL_Supplies!L10/1000-PGL_Requirements!O10/1000+D15-PGL_Requirements!T10/1000</f>
        <v>265.88900000000001</v>
      </c>
      <c r="E6" s="1149">
        <f>PGL_Supplies!AC11/1000+PGL_Supplies!L11/1000-PGL_Requirements!O11/1000+E15-PGL_Requirements!T11/1000</f>
        <v>265.88900000000001</v>
      </c>
      <c r="F6" s="1150">
        <f>PGL_Supplies!AC12/1000+PGL_Supplies!L12/1000-PGL_Requirements!O12/1000+F15-PGL_Requirements!T12/1000</f>
        <v>265.88900000000001</v>
      </c>
      <c r="G6" s="100"/>
      <c r="H6" t="s">
        <v>11</v>
      </c>
    </row>
    <row r="7" spans="1:8">
      <c r="A7" s="100" t="s">
        <v>314</v>
      </c>
      <c r="B7" s="1149">
        <f>PGL_Supplies!N8/1000</f>
        <v>0</v>
      </c>
      <c r="C7" s="1149">
        <f>PGL_Supplies!N9/1000</f>
        <v>0</v>
      </c>
      <c r="D7" s="1149">
        <f>PGL_Supplies!N10/1000</f>
        <v>0</v>
      </c>
      <c r="E7" s="1149">
        <f>PGL_Supplies!N11/1000</f>
        <v>0</v>
      </c>
      <c r="F7" s="1151">
        <f>PGL_Supplies!N12/1000</f>
        <v>0</v>
      </c>
      <c r="G7" s="100"/>
    </row>
    <row r="8" spans="1:8">
      <c r="A8" s="100" t="s">
        <v>315</v>
      </c>
      <c r="B8" s="1149">
        <f>PGL_Supplies!O8/1000</f>
        <v>0</v>
      </c>
      <c r="C8" s="1149">
        <f>PGL_Supplies!O9/1000</f>
        <v>0</v>
      </c>
      <c r="D8" s="1149">
        <f>PGL_Supplies!O10/1000</f>
        <v>0</v>
      </c>
      <c r="E8" s="1149">
        <f>PGL_Supplies!O11/1000</f>
        <v>0</v>
      </c>
      <c r="F8" s="1151">
        <f>PGL_Supplies!O12/1000</f>
        <v>0</v>
      </c>
      <c r="G8" s="100"/>
    </row>
    <row r="9" spans="1:8">
      <c r="A9" s="100" t="s">
        <v>316</v>
      </c>
      <c r="B9" s="1149">
        <v>0</v>
      </c>
      <c r="C9" s="1149">
        <v>0</v>
      </c>
      <c r="D9" s="1149">
        <v>0</v>
      </c>
      <c r="E9" s="1149">
        <v>0</v>
      </c>
      <c r="F9" s="1151">
        <v>0</v>
      </c>
      <c r="G9" s="100"/>
    </row>
    <row r="10" spans="1:8">
      <c r="A10" s="101"/>
      <c r="B10" s="1152"/>
      <c r="C10" s="1152"/>
      <c r="D10" s="1152"/>
      <c r="E10" s="1152"/>
      <c r="F10" s="1153"/>
      <c r="G10" s="100"/>
    </row>
    <row r="11" spans="1:8">
      <c r="A11" s="100" t="s">
        <v>317</v>
      </c>
      <c r="B11" s="1149">
        <v>0</v>
      </c>
      <c r="C11" s="1149">
        <v>0</v>
      </c>
      <c r="D11" s="1149">
        <v>0</v>
      </c>
      <c r="E11" s="1149">
        <v>0</v>
      </c>
      <c r="F11" s="1151">
        <v>0</v>
      </c>
      <c r="G11" s="100"/>
      <c r="H11" s="122" t="s">
        <v>11</v>
      </c>
    </row>
    <row r="12" spans="1:8">
      <c r="A12" s="100" t="s">
        <v>318</v>
      </c>
      <c r="B12" s="1149">
        <f>PGL_Requirements!S8/1000</f>
        <v>0</v>
      </c>
      <c r="C12" s="1149">
        <f>PGL_Requirements!S9/1000</f>
        <v>0</v>
      </c>
      <c r="D12" s="1149">
        <f>PGL_Requirements!S10/1000</f>
        <v>0</v>
      </c>
      <c r="E12" s="1149">
        <f>PGL_Requirements!S11/1000</f>
        <v>0</v>
      </c>
      <c r="F12" s="1151">
        <f>PGL_Requirements!S12/1000</f>
        <v>0</v>
      </c>
      <c r="G12" s="100"/>
    </row>
    <row r="13" spans="1:8">
      <c r="A13" s="100" t="s">
        <v>319</v>
      </c>
      <c r="B13" s="1149">
        <v>0</v>
      </c>
      <c r="C13" s="1149">
        <v>0</v>
      </c>
      <c r="D13" s="1149">
        <v>0</v>
      </c>
      <c r="E13" s="1149">
        <v>0</v>
      </c>
      <c r="F13" s="1151">
        <v>0</v>
      </c>
      <c r="G13" s="100"/>
    </row>
    <row r="14" spans="1:8">
      <c r="A14" s="100" t="s">
        <v>189</v>
      </c>
      <c r="B14" s="1149">
        <v>100</v>
      </c>
      <c r="C14" s="1155"/>
      <c r="D14" s="1155"/>
      <c r="E14" s="1155"/>
      <c r="F14" s="1151"/>
      <c r="G14" s="100"/>
    </row>
    <row r="15" spans="1:8">
      <c r="A15" s="100" t="s">
        <v>727</v>
      </c>
      <c r="B15" s="1154">
        <v>0</v>
      </c>
      <c r="C15" s="1154">
        <v>0</v>
      </c>
      <c r="D15" s="1154">
        <v>0</v>
      </c>
      <c r="E15" s="1154">
        <v>0</v>
      </c>
      <c r="F15" s="1192">
        <v>0</v>
      </c>
      <c r="G15" s="122"/>
    </row>
    <row r="16" spans="1:8">
      <c r="A16" s="100" t="s">
        <v>320</v>
      </c>
      <c r="B16" s="1154">
        <v>0</v>
      </c>
      <c r="C16" s="1155"/>
      <c r="D16" s="1155"/>
      <c r="E16" s="1155"/>
      <c r="F16" s="1151"/>
      <c r="G16" s="100"/>
    </row>
    <row r="17" spans="1:7" ht="15.75" thickBot="1">
      <c r="A17" s="102" t="s">
        <v>542</v>
      </c>
      <c r="B17" s="1156">
        <v>100</v>
      </c>
      <c r="C17" s="1157"/>
      <c r="D17" s="1157"/>
      <c r="E17" s="1157"/>
      <c r="F17" s="1158"/>
      <c r="G17" s="100"/>
    </row>
    <row r="20" spans="1:7" ht="15.75" thickBot="1">
      <c r="A20" s="106" t="s">
        <v>321</v>
      </c>
      <c r="B20" s="105"/>
      <c r="C20" s="105"/>
      <c r="D20" s="105"/>
      <c r="E20" s="105"/>
      <c r="F20" s="105"/>
    </row>
    <row r="21" spans="1:7">
      <c r="A21" s="99"/>
      <c r="B21" s="1159" t="str">
        <f t="shared" ref="B21:F22" si="0">B4</f>
        <v>Thursday</v>
      </c>
      <c r="C21" s="1159" t="str">
        <f t="shared" si="0"/>
        <v>Friday</v>
      </c>
      <c r="D21" s="1159" t="str">
        <f t="shared" si="0"/>
        <v>Saturday</v>
      </c>
      <c r="E21" s="1159" t="str">
        <f t="shared" si="0"/>
        <v>Sunday</v>
      </c>
      <c r="F21" s="1160" t="str">
        <f t="shared" si="0"/>
        <v>Monday</v>
      </c>
      <c r="G21" s="100"/>
    </row>
    <row r="22" spans="1:7">
      <c r="A22" s="107" t="s">
        <v>312</v>
      </c>
      <c r="B22" s="1161">
        <f t="shared" si="0"/>
        <v>36958</v>
      </c>
      <c r="C22" s="1161">
        <f t="shared" si="0"/>
        <v>36959</v>
      </c>
      <c r="D22" s="1161">
        <f t="shared" si="0"/>
        <v>36960</v>
      </c>
      <c r="E22" s="1161">
        <f t="shared" si="0"/>
        <v>36961</v>
      </c>
      <c r="F22" s="1162">
        <f t="shared" si="0"/>
        <v>36962</v>
      </c>
      <c r="G22" s="100"/>
    </row>
    <row r="23" spans="1:7">
      <c r="A23" s="100" t="s">
        <v>313</v>
      </c>
      <c r="B23" s="1155">
        <f>NSG_Supplies!R8/1000+NSG_Supplies!F8/1000-NSG_Requirements!H8/1000</f>
        <v>94.997</v>
      </c>
      <c r="C23" s="1155">
        <f>NSG_Supplies!R9/1000+NSG_Supplies!F9/1000-NSG_Requirements!H9/1000</f>
        <v>103.657</v>
      </c>
      <c r="D23" s="1155">
        <f>NSG_Supplies!R10/1000+NSG_Supplies!F10/1000-NSG_Requirements!H10/1000</f>
        <v>103.657</v>
      </c>
      <c r="E23" s="1155">
        <f>NSG_Supplies!R12/1000+NSG_Supplies!F11/1000-NSG_Requirements!H11/1000</f>
        <v>103.657</v>
      </c>
      <c r="F23" s="1150">
        <f>NSG_Supplies!R12/1000+NSG_Supplies!F12/1000-NSG_Requirements!H12/1000</f>
        <v>103.657</v>
      </c>
      <c r="G23" s="100"/>
    </row>
    <row r="24" spans="1:7">
      <c r="A24" s="100" t="s">
        <v>322</v>
      </c>
      <c r="B24" s="1155">
        <f>NSG_Supplies!H8/1000</f>
        <v>0</v>
      </c>
      <c r="C24" s="1155">
        <f>NSG_Supplies!H9/1000</f>
        <v>0</v>
      </c>
      <c r="D24" s="1155">
        <f>NSG_Supplies!H10/1000</f>
        <v>0</v>
      </c>
      <c r="E24" s="1155">
        <f>NSG_Supplies!H11/1000</f>
        <v>0</v>
      </c>
      <c r="F24" s="1151">
        <f>NSG_Supplies!H12/1000</f>
        <v>0</v>
      </c>
      <c r="G24" s="100"/>
    </row>
    <row r="25" spans="1:7">
      <c r="A25" s="100" t="s">
        <v>314</v>
      </c>
      <c r="B25" s="1155">
        <f>NSG_Supplies!I8/1000</f>
        <v>0</v>
      </c>
      <c r="C25" s="1155">
        <f>NSG_Supplies!I9/1000</f>
        <v>0</v>
      </c>
      <c r="D25" s="1155">
        <f>NSG_Supplies!I10/1000</f>
        <v>0</v>
      </c>
      <c r="E25" s="1155">
        <f>NSG_Supplies!I11/1000</f>
        <v>0</v>
      </c>
      <c r="F25" s="1151">
        <f>NSG_Supplies!I12/1000</f>
        <v>0</v>
      </c>
      <c r="G25" s="100"/>
    </row>
    <row r="26" spans="1:7">
      <c r="A26" s="104" t="s">
        <v>315</v>
      </c>
      <c r="B26" s="1155">
        <f>NSG_Supplies!J8/1000</f>
        <v>0</v>
      </c>
      <c r="C26" s="1155">
        <f>NSG_Supplies!J9/1000</f>
        <v>0</v>
      </c>
      <c r="D26" s="1155">
        <f>NSG_Supplies!J10/1000</f>
        <v>0</v>
      </c>
      <c r="E26" s="1155">
        <f>NSG_Supplies!J11/1000</f>
        <v>0</v>
      </c>
      <c r="F26" s="1151">
        <f>NSG_Supplies!J12/1000</f>
        <v>0</v>
      </c>
      <c r="G26" s="100"/>
    </row>
    <row r="27" spans="1:7">
      <c r="A27" s="100" t="s">
        <v>316</v>
      </c>
      <c r="B27" s="1155">
        <f>NSG_Supplies!K8/1000</f>
        <v>0</v>
      </c>
      <c r="C27" s="1155">
        <f>NSG_Supplies!K9/1000</f>
        <v>0</v>
      </c>
      <c r="D27" s="1155">
        <f>NSG_Supplies!K10/1000</f>
        <v>0</v>
      </c>
      <c r="E27" s="1155">
        <f>NSG_Supplies!K11/1000</f>
        <v>0</v>
      </c>
      <c r="F27" s="1151">
        <f>NSG_Supplies!K12/1000</f>
        <v>0</v>
      </c>
      <c r="G27" s="100"/>
    </row>
    <row r="28" spans="1:7">
      <c r="A28" s="100" t="s">
        <v>323</v>
      </c>
      <c r="B28" s="1155" t="s">
        <v>11</v>
      </c>
      <c r="C28" s="1155"/>
      <c r="D28" s="1155"/>
      <c r="E28" s="1155"/>
      <c r="F28" s="1151"/>
      <c r="G28" s="100"/>
    </row>
    <row r="29" spans="1:7">
      <c r="A29" s="101"/>
      <c r="B29" s="1152"/>
      <c r="C29" s="1152"/>
      <c r="D29" s="1152"/>
      <c r="E29" s="1152"/>
      <c r="F29" s="1153"/>
      <c r="G29" s="100"/>
    </row>
    <row r="30" spans="1:7">
      <c r="A30" s="100" t="s">
        <v>317</v>
      </c>
      <c r="B30" s="1155">
        <f>NSG_Requirements!P8/1000</f>
        <v>0</v>
      </c>
      <c r="C30" s="1155">
        <f>NSG_Requirements!P9/1000</f>
        <v>0</v>
      </c>
      <c r="D30" s="1155">
        <f>NSG_Requirements!P10/1000</f>
        <v>0</v>
      </c>
      <c r="E30" s="1155">
        <f>NSG_Requirements!P11/1000</f>
        <v>0</v>
      </c>
      <c r="F30" s="1151">
        <f>NSG_Supplies!K12/1000</f>
        <v>0</v>
      </c>
      <c r="G30" s="100"/>
    </row>
    <row r="31" spans="1:7">
      <c r="A31" s="100" t="s">
        <v>318</v>
      </c>
      <c r="B31" s="1155">
        <f>NSG_Requirements!R8/1000</f>
        <v>0</v>
      </c>
      <c r="C31" s="1155">
        <f>NSG_Requirements!R9/1000</f>
        <v>0</v>
      </c>
      <c r="D31" s="1155">
        <f>NSG_Requirements!R10/1000</f>
        <v>0</v>
      </c>
      <c r="E31" s="1155">
        <f>NSG_Requirements!R11/1000</f>
        <v>0</v>
      </c>
      <c r="F31" s="1151">
        <f>NSG_Supplies!M12/1000</f>
        <v>0</v>
      </c>
      <c r="G31" s="100"/>
    </row>
    <row r="32" spans="1:7">
      <c r="A32" s="100" t="s">
        <v>319</v>
      </c>
      <c r="B32" s="1155">
        <f>NSG_Requirements!Q8/1000</f>
        <v>0</v>
      </c>
      <c r="C32" s="1155">
        <f>NSG_Requirements!Q9/1000</f>
        <v>0</v>
      </c>
      <c r="D32" s="1155">
        <f>NSG_Requirements!Q10/1000</f>
        <v>0</v>
      </c>
      <c r="E32" s="1155">
        <f>NSG_Requirements!Q11/1000</f>
        <v>0</v>
      </c>
      <c r="F32" s="1151">
        <f>NSG_Requirements!Q12/1000</f>
        <v>0</v>
      </c>
      <c r="G32" s="100"/>
    </row>
    <row r="33" spans="1:7" ht="15.75" thickBot="1">
      <c r="A33" s="102" t="s">
        <v>324</v>
      </c>
      <c r="B33" s="1157">
        <f>NSG_Requirements!L8/1000</f>
        <v>0</v>
      </c>
      <c r="C33" s="1157">
        <f>NSG_Requirements!L9/1000</f>
        <v>0</v>
      </c>
      <c r="D33" s="1157">
        <f>NSG_Requirements!L10/1000</f>
        <v>0</v>
      </c>
      <c r="E33" s="1157">
        <f>NSG_Requirements!L11/1000</f>
        <v>0</v>
      </c>
      <c r="F33" s="1158">
        <f>NSG_Requirements!L12/1000</f>
        <v>0</v>
      </c>
      <c r="G33" s="100"/>
    </row>
    <row r="37" spans="1:7">
      <c r="A37" s="125"/>
      <c r="B37" s="125"/>
      <c r="C37" s="125"/>
      <c r="D37" s="125"/>
      <c r="E37" s="125"/>
      <c r="F37" s="125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>
      <selection sqref="A1:I33"/>
    </sheetView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55"/>
      <c r="B1" s="811" t="s">
        <v>382</v>
      </c>
      <c r="C1" s="910">
        <f>Weather_Input!A6</f>
        <v>36958</v>
      </c>
      <c r="D1" s="911" t="s">
        <v>373</v>
      </c>
      <c r="E1" s="812"/>
      <c r="F1" s="1081"/>
      <c r="G1" s="430"/>
      <c r="H1" s="430"/>
      <c r="I1" s="1082"/>
    </row>
    <row r="2" spans="1:11" ht="15.75" customHeight="1" thickBot="1">
      <c r="A2" s="433"/>
      <c r="B2" s="1079" t="s">
        <v>653</v>
      </c>
      <c r="E2" s="161"/>
      <c r="I2" s="161"/>
    </row>
    <row r="3" spans="1:11" ht="15.75" customHeight="1" thickTop="1">
      <c r="B3" s="172" t="s">
        <v>109</v>
      </c>
      <c r="C3" s="905">
        <f>NSG_Supplies!Q8/1000</f>
        <v>20</v>
      </c>
      <c r="E3" s="161"/>
      <c r="F3" s="791" t="s">
        <v>166</v>
      </c>
      <c r="G3" s="790"/>
      <c r="H3" s="805" t="s">
        <v>579</v>
      </c>
      <c r="I3" s="804" t="s">
        <v>578</v>
      </c>
    </row>
    <row r="4" spans="1:11" ht="15.75" customHeight="1" thickBot="1">
      <c r="A4" t="s">
        <v>11</v>
      </c>
      <c r="B4" s="100" t="s">
        <v>654</v>
      </c>
      <c r="C4" s="1139">
        <f>NSG_Supplies!E8/1000</f>
        <v>0</v>
      </c>
      <c r="D4" s="135">
        <f>NSG_Requirements!J8/1000</f>
        <v>0</v>
      </c>
      <c r="E4" s="803"/>
      <c r="F4" s="172" t="s">
        <v>552</v>
      </c>
      <c r="G4" s="60"/>
      <c r="H4" s="154">
        <f>PGL_Requirements!P8/1000</f>
        <v>0</v>
      </c>
      <c r="I4" s="176">
        <f>AVERAGE(H4/1.025)</f>
        <v>0</v>
      </c>
      <c r="J4" t="s">
        <v>11</v>
      </c>
    </row>
    <row r="5" spans="1:11" ht="15.75" customHeight="1" thickTop="1" thickBot="1">
      <c r="B5" s="437" t="s">
        <v>655</v>
      </c>
      <c r="C5" s="448">
        <f>C3+C4-D4</f>
        <v>20</v>
      </c>
      <c r="D5" s="438"/>
      <c r="E5" s="440">
        <f>AVERAGE(C5/24)</f>
        <v>0.83333333333333337</v>
      </c>
      <c r="F5" s="170" t="s">
        <v>453</v>
      </c>
      <c r="G5" s="210">
        <f>PGL_Supplies!M8/1000</f>
        <v>0</v>
      </c>
      <c r="H5" s="168"/>
      <c r="I5" s="1021">
        <f>AVERAGE(G5/1.025)</f>
        <v>0</v>
      </c>
      <c r="K5" t="s">
        <v>11</v>
      </c>
    </row>
    <row r="6" spans="1:11" ht="15.75" customHeight="1" thickTop="1" thickBot="1">
      <c r="B6" s="908" t="s">
        <v>393</v>
      </c>
      <c r="C6" s="909"/>
      <c r="D6" s="122"/>
      <c r="E6" s="802"/>
      <c r="F6" t="s">
        <v>787</v>
      </c>
      <c r="G6" s="909">
        <f>AVERAGE(G5/24)</f>
        <v>0</v>
      </c>
      <c r="H6" s="430"/>
      <c r="I6" s="1082"/>
    </row>
    <row r="7" spans="1:11" ht="15.75" customHeight="1">
      <c r="B7" s="172" t="s">
        <v>374</v>
      </c>
      <c r="C7" s="154">
        <f>NSG_Supplies!L8/1000</f>
        <v>50</v>
      </c>
      <c r="D7" s="60"/>
      <c r="E7" s="450"/>
      <c r="F7" s="1079" t="s">
        <v>633</v>
      </c>
      <c r="G7" s="1080"/>
      <c r="H7" s="60"/>
      <c r="I7" s="161"/>
    </row>
    <row r="8" spans="1:11" ht="15.75" customHeight="1">
      <c r="B8" s="172" t="s">
        <v>532</v>
      </c>
      <c r="C8" s="154">
        <f>PGL_Requirements!V8/1000</f>
        <v>0</v>
      </c>
      <c r="D8" s="60"/>
      <c r="E8" s="450"/>
      <c r="F8" s="172" t="s">
        <v>632</v>
      </c>
      <c r="G8" s="154">
        <f>PGL_Supplies!T8/1000</f>
        <v>0</v>
      </c>
      <c r="H8" s="60"/>
      <c r="I8" s="161"/>
    </row>
    <row r="9" spans="1:11" ht="15.75" customHeight="1" thickBot="1">
      <c r="B9" s="172" t="s">
        <v>777</v>
      </c>
      <c r="C9" s="154">
        <f>NSG_Requirements!B8/1000</f>
        <v>0</v>
      </c>
      <c r="D9" s="60"/>
      <c r="E9" s="450"/>
      <c r="F9" s="1" t="s">
        <v>723</v>
      </c>
      <c r="G9" s="154">
        <f>PGL_Supplies!U8/1000</f>
        <v>0</v>
      </c>
      <c r="I9" s="161"/>
    </row>
    <row r="10" spans="1:11" ht="15.75" customHeight="1" thickTop="1" thickBot="1">
      <c r="B10" s="437" t="s">
        <v>557</v>
      </c>
      <c r="C10" s="448">
        <f>C7+C8-C9</f>
        <v>50</v>
      </c>
      <c r="D10" s="438"/>
      <c r="E10" s="440">
        <f>AVERAGE(C10/24)</f>
        <v>2.0833333333333335</v>
      </c>
      <c r="F10" s="172" t="s">
        <v>450</v>
      </c>
      <c r="G10" s="154">
        <f>PGL_Supplies!AB8/1000</f>
        <v>219.327</v>
      </c>
      <c r="H10" s="154" t="s">
        <v>11</v>
      </c>
      <c r="I10" s="161"/>
    </row>
    <row r="11" spans="1:11" ht="15.75" customHeight="1" thickTop="1">
      <c r="A11" t="s">
        <v>11</v>
      </c>
      <c r="B11" s="1131" t="s">
        <v>760</v>
      </c>
      <c r="C11" s="154">
        <f>PGL_Supplies!Y8/1000</f>
        <v>324.56799999999998</v>
      </c>
      <c r="D11" s="790"/>
      <c r="E11" s="1132"/>
      <c r="F11" s="435" t="s">
        <v>379</v>
      </c>
      <c r="G11" s="447">
        <f>G8+G10</f>
        <v>219.327</v>
      </c>
      <c r="H11" s="434"/>
      <c r="I11" s="436"/>
    </row>
    <row r="12" spans="1:11" ht="15.75" customHeight="1">
      <c r="B12" s="249" t="s">
        <v>757</v>
      </c>
      <c r="C12" s="154">
        <f>PGL_Supplies!X8/1000</f>
        <v>0</v>
      </c>
      <c r="D12" s="122"/>
      <c r="E12" s="161"/>
      <c r="F12" s="173" t="s">
        <v>535</v>
      </c>
      <c r="G12" s="154">
        <f>PGL_Supplies!E8/1000</f>
        <v>0</v>
      </c>
      <c r="H12" s="60"/>
      <c r="I12" s="450"/>
    </row>
    <row r="13" spans="1:11" ht="15.75" customHeight="1" thickBot="1">
      <c r="B13" s="249" t="s">
        <v>761</v>
      </c>
      <c r="C13" s="122"/>
      <c r="D13" s="154">
        <f>PGL_Requirements!J8/1000</f>
        <v>0</v>
      </c>
      <c r="E13" s="161"/>
      <c r="F13" s="173" t="s">
        <v>536</v>
      </c>
      <c r="G13" s="60"/>
      <c r="H13" s="154">
        <f>PGL_Requirements!E8/1000</f>
        <v>0</v>
      </c>
      <c r="I13" s="161"/>
    </row>
    <row r="14" spans="1:11" ht="15.75" customHeight="1" thickTop="1" thickBot="1">
      <c r="B14" s="1133" t="s">
        <v>768</v>
      </c>
      <c r="C14" s="448">
        <f>C11+C12-D13</f>
        <v>324.56799999999998</v>
      </c>
      <c r="D14" s="438"/>
      <c r="E14" s="440">
        <f>AVERAGE(C14/24)</f>
        <v>13.523666666666665</v>
      </c>
      <c r="F14" s="783" t="s">
        <v>555</v>
      </c>
      <c r="G14" s="448">
        <v>0</v>
      </c>
      <c r="H14" s="438"/>
      <c r="I14" s="440">
        <f>AVERAGE(G14/24)</f>
        <v>0</v>
      </c>
    </row>
    <row r="15" spans="1:11" ht="15.75" customHeight="1" thickTop="1" thickBot="1">
      <c r="B15" s="172" t="s">
        <v>766</v>
      </c>
      <c r="C15" s="154">
        <f>PGL_Supplies!Z8/1000</f>
        <v>55</v>
      </c>
      <c r="D15" s="60"/>
      <c r="E15" s="161"/>
      <c r="F15" s="783" t="s">
        <v>564</v>
      </c>
      <c r="G15" s="447">
        <f>G8+G10</f>
        <v>219.327</v>
      </c>
      <c r="H15" s="438"/>
      <c r="I15" s="440">
        <f>AVERAGE(G15/24)</f>
        <v>9.1386249999999993</v>
      </c>
    </row>
    <row r="16" spans="1:11" ht="15.75" customHeight="1" thickTop="1" thickBot="1">
      <c r="B16" s="172" t="s">
        <v>719</v>
      </c>
      <c r="C16" s="154">
        <f>PGL_Supplies!R8/1000</f>
        <v>0</v>
      </c>
      <c r="D16" s="154">
        <f>PGL_Requirements!U8/1000</f>
        <v>20</v>
      </c>
      <c r="E16" s="161"/>
      <c r="F16" s="783" t="s">
        <v>575</v>
      </c>
      <c r="G16" s="448">
        <f>PGL_Requirements!H8/1000</f>
        <v>0</v>
      </c>
      <c r="H16" s="448" t="s">
        <v>11</v>
      </c>
      <c r="I16" s="440">
        <f>AVERAGE(G16/24)</f>
        <v>0</v>
      </c>
    </row>
    <row r="17" spans="1:9" ht="15.75" customHeight="1" thickTop="1" thickBot="1">
      <c r="B17" s="435" t="s">
        <v>379</v>
      </c>
      <c r="C17" s="447">
        <f>SUM(C15:C16)-SUM(D15:D16)</f>
        <v>35</v>
      </c>
      <c r="D17" s="434"/>
      <c r="E17" s="436"/>
      <c r="F17" s="1092" t="s">
        <v>724</v>
      </c>
      <c r="G17" s="1182">
        <v>0</v>
      </c>
      <c r="H17" s="1091"/>
      <c r="I17" s="1183">
        <f>AVERAGE(G17/24)</f>
        <v>0</v>
      </c>
    </row>
    <row r="18" spans="1:9" ht="15.75" customHeight="1">
      <c r="B18" s="172" t="s">
        <v>375</v>
      </c>
      <c r="C18" s="154">
        <f>PGL_Supplies!C8/1000</f>
        <v>0</v>
      </c>
      <c r="D18" s="60"/>
      <c r="E18" s="161"/>
      <c r="F18" s="1090" t="s">
        <v>553</v>
      </c>
      <c r="G18" s="60" t="s">
        <v>11</v>
      </c>
      <c r="H18" s="60"/>
      <c r="I18" s="161"/>
    </row>
    <row r="19" spans="1:9" ht="15.75" customHeight="1" thickBot="1">
      <c r="B19" s="172" t="s">
        <v>376</v>
      </c>
      <c r="C19" s="60"/>
      <c r="D19" s="154">
        <f>PGL_Requirements!C8/1000</f>
        <v>0</v>
      </c>
      <c r="E19" s="161"/>
      <c r="F19" s="170" t="s">
        <v>554</v>
      </c>
      <c r="G19" s="168"/>
      <c r="H19" s="210">
        <f>PGL_Requirements!I8/1000</f>
        <v>5</v>
      </c>
      <c r="I19" s="443"/>
    </row>
    <row r="20" spans="1:9" ht="15.75" customHeight="1" thickTop="1" thickBot="1">
      <c r="B20" s="437" t="s">
        <v>559</v>
      </c>
      <c r="C20" s="448">
        <f>C17+C18-D19</f>
        <v>35</v>
      </c>
      <c r="D20" s="441" t="s">
        <v>11</v>
      </c>
      <c r="E20" s="440">
        <f>AVERAGE(C20/24)</f>
        <v>1.4583333333333333</v>
      </c>
      <c r="F20" s="439" t="s">
        <v>183</v>
      </c>
      <c r="G20" s="60">
        <v>0</v>
      </c>
      <c r="H20" s="154" t="s">
        <v>11</v>
      </c>
      <c r="I20" s="161"/>
    </row>
    <row r="21" spans="1:9" ht="15.75" customHeight="1" thickTop="1">
      <c r="B21" s="172" t="s">
        <v>767</v>
      </c>
      <c r="C21" s="154">
        <f>PGL_Supplies!AA8/1000</f>
        <v>146.643</v>
      </c>
      <c r="D21" s="154" t="s">
        <v>11</v>
      </c>
      <c r="E21" s="161"/>
      <c r="F21" s="172" t="s">
        <v>109</v>
      </c>
      <c r="G21" s="154">
        <f>PGL_Supplies!AD8/1000</f>
        <v>111.199</v>
      </c>
      <c r="H21" s="154" t="s">
        <v>11</v>
      </c>
      <c r="I21" s="161"/>
    </row>
    <row r="22" spans="1:9" ht="15.75" customHeight="1">
      <c r="B22" s="435" t="s">
        <v>379</v>
      </c>
      <c r="C22" s="447">
        <f>SUM(C21:C21)-SUM(D21)</f>
        <v>146.643</v>
      </c>
      <c r="D22" s="434"/>
      <c r="E22" s="436"/>
      <c r="F22" s="435" t="s">
        <v>379</v>
      </c>
      <c r="G22" s="447">
        <f>G21</f>
        <v>111.199</v>
      </c>
      <c r="H22" s="434"/>
      <c r="I22" s="436"/>
    </row>
    <row r="23" spans="1:9" ht="15.75" customHeight="1">
      <c r="B23" s="172" t="s">
        <v>377</v>
      </c>
      <c r="C23" s="154">
        <f>PGL_Supplies!D8/1000</f>
        <v>0</v>
      </c>
      <c r="D23" s="60"/>
      <c r="E23" s="161"/>
      <c r="F23" s="172" t="s">
        <v>380</v>
      </c>
      <c r="G23" s="154">
        <f>PGL_Supplies!G8/1000</f>
        <v>0</v>
      </c>
      <c r="H23" s="60"/>
      <c r="I23" s="161"/>
    </row>
    <row r="24" spans="1:9" ht="15.75" customHeight="1" thickBot="1">
      <c r="B24" s="172" t="s">
        <v>378</v>
      </c>
      <c r="C24" s="60">
        <v>0</v>
      </c>
      <c r="D24" s="154">
        <f>PGL_Requirements!D8/1000</f>
        <v>0</v>
      </c>
      <c r="E24" s="161"/>
      <c r="F24" s="172" t="s">
        <v>381</v>
      </c>
      <c r="G24" s="60"/>
      <c r="H24" s="154">
        <f>PGL_Requirements!F8/1000</f>
        <v>0</v>
      </c>
      <c r="I24" s="161"/>
    </row>
    <row r="25" spans="1:9" ht="15.75" customHeight="1" thickTop="1" thickBot="1">
      <c r="B25" s="437" t="s">
        <v>558</v>
      </c>
      <c r="C25" s="448">
        <f>C22+C23-D24</f>
        <v>146.643</v>
      </c>
      <c r="D25" s="438"/>
      <c r="E25" s="440">
        <f>AVERAGE(C25/24)</f>
        <v>6.110125</v>
      </c>
      <c r="F25" s="552" t="s">
        <v>556</v>
      </c>
      <c r="G25" s="906">
        <f>G22+G23-H24+G20</f>
        <v>111.199</v>
      </c>
      <c r="H25" s="430"/>
      <c r="I25" s="907">
        <f>AVERAGE(G25/24)</f>
        <v>4.6332916666666666</v>
      </c>
    </row>
    <row r="26" spans="1:9" ht="15.75" customHeight="1" thickTop="1">
      <c r="B26" t="s">
        <v>721</v>
      </c>
    </row>
    <row r="27" spans="1:9" ht="15.75" customHeight="1">
      <c r="B27" t="s">
        <v>720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656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5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RowHeight="11.25"/>
  <cols>
    <col min="1" max="1" width="8.6640625" style="1047" customWidth="1"/>
    <col min="2" max="2" width="8.109375" style="1047" customWidth="1"/>
    <col min="3" max="3" width="7.88671875" style="1047" customWidth="1"/>
    <col min="4" max="4" width="5.88671875" style="1047" customWidth="1"/>
    <col min="5" max="5" width="4.44140625" style="1047" customWidth="1"/>
    <col min="6" max="6" width="5.21875" style="1047" customWidth="1"/>
    <col min="7" max="7" width="9" style="1047" customWidth="1"/>
    <col min="8" max="11" width="8.88671875" style="1047"/>
    <col min="12" max="12" width="14.88671875" style="1047" customWidth="1"/>
    <col min="13" max="13" width="5.6640625" style="1047" customWidth="1"/>
    <col min="14" max="16384" width="8.88671875" style="1047"/>
  </cols>
  <sheetData>
    <row r="1" spans="1:22" ht="22.5">
      <c r="A1" s="940"/>
      <c r="B1" s="936"/>
      <c r="C1" s="947" t="s">
        <v>660</v>
      </c>
      <c r="D1" s="944"/>
      <c r="E1" s="944" t="s">
        <v>661</v>
      </c>
      <c r="F1" s="944"/>
      <c r="G1" s="1045" t="s">
        <v>325</v>
      </c>
      <c r="H1" s="1046">
        <f>Weather_Input!A6</f>
        <v>36958</v>
      </c>
      <c r="I1" s="933"/>
      <c r="J1" s="935"/>
      <c r="K1" s="935"/>
    </row>
    <row r="2" spans="1:22" ht="16.5" customHeight="1">
      <c r="A2" s="953" t="s">
        <v>688</v>
      </c>
      <c r="C2" s="1048">
        <v>221</v>
      </c>
      <c r="F2" s="1049">
        <v>29</v>
      </c>
      <c r="H2" s="935"/>
      <c r="I2" s="933" t="s">
        <v>690</v>
      </c>
      <c r="J2" s="955">
        <f>NSG_Supplies!Q8/1000</f>
        <v>20</v>
      </c>
    </row>
    <row r="3" spans="1:22" ht="16.5" customHeight="1">
      <c r="A3" s="1050">
        <f>PGL_Supplies!J8/1000</f>
        <v>0</v>
      </c>
      <c r="C3" s="1047" t="s">
        <v>11</v>
      </c>
      <c r="G3" s="933"/>
      <c r="H3" s="935"/>
    </row>
    <row r="4" spans="1:22" ht="16.5" customHeight="1">
      <c r="A4" s="943" t="s">
        <v>662</v>
      </c>
      <c r="G4" s="961"/>
      <c r="H4" s="935"/>
      <c r="I4" s="933"/>
      <c r="J4" s="933" t="s">
        <v>686</v>
      </c>
      <c r="K4" s="955">
        <f>Billy_Sheet!C5</f>
        <v>20</v>
      </c>
      <c r="N4" s="955"/>
    </row>
    <row r="5" spans="1:22" ht="16.5" customHeight="1">
      <c r="A5" s="1051">
        <f>PGL_Supplies!K7/1000</f>
        <v>0</v>
      </c>
      <c r="B5" s="1052"/>
      <c r="G5" s="936"/>
      <c r="H5" s="955"/>
      <c r="U5" s="935"/>
      <c r="V5" s="935"/>
    </row>
    <row r="6" spans="1:22" ht="16.5" customHeight="1">
      <c r="A6" s="942" t="s">
        <v>658</v>
      </c>
      <c r="G6" s="936"/>
      <c r="H6" s="955"/>
      <c r="U6" s="935"/>
      <c r="V6" s="955"/>
    </row>
    <row r="7" spans="1:22" ht="18.75" customHeight="1">
      <c r="A7" s="955">
        <f>Billy_Sheet!G14</f>
        <v>0</v>
      </c>
      <c r="G7" s="936"/>
      <c r="H7" s="934"/>
      <c r="U7" s="935"/>
      <c r="V7" s="934"/>
    </row>
    <row r="8" spans="1:22" ht="14.45" customHeight="1">
      <c r="A8" s="933" t="s">
        <v>74</v>
      </c>
      <c r="G8" s="936"/>
      <c r="H8" s="933" t="s">
        <v>178</v>
      </c>
      <c r="I8" s="933"/>
      <c r="K8" s="933"/>
      <c r="L8" s="933"/>
      <c r="N8" s="933"/>
      <c r="O8" s="933"/>
      <c r="U8" s="935"/>
      <c r="V8" s="955"/>
    </row>
    <row r="9" spans="1:22" ht="14.45" customHeight="1">
      <c r="A9" s="955">
        <f>PGL_Supplies!I8/1000</f>
        <v>3</v>
      </c>
      <c r="H9" s="955">
        <v>0</v>
      </c>
      <c r="I9" s="1053"/>
      <c r="K9" s="933" t="s">
        <v>692</v>
      </c>
      <c r="L9" s="955">
        <f>NSG_Deliveries!C6/1000</f>
        <v>165</v>
      </c>
      <c r="N9" s="933"/>
      <c r="O9" s="955"/>
      <c r="U9" s="935"/>
      <c r="V9" s="955"/>
    </row>
    <row r="10" spans="1:22" ht="18" customHeight="1">
      <c r="A10" s="933" t="s">
        <v>68</v>
      </c>
      <c r="H10" s="962" t="s">
        <v>691</v>
      </c>
      <c r="U10" s="935"/>
      <c r="V10" s="955"/>
    </row>
    <row r="11" spans="1:22" ht="14.45" customHeight="1">
      <c r="A11" s="955">
        <f>Billy_Sheet!C20</f>
        <v>35</v>
      </c>
      <c r="B11" s="1053"/>
      <c r="H11" s="955">
        <f>NSG_Supplies!U8/1000</f>
        <v>0</v>
      </c>
      <c r="K11" s="936" t="s">
        <v>693</v>
      </c>
      <c r="L11" s="961">
        <f>SUM(K4+K17+K19+H11+H9-L9)</f>
        <v>-2.9999999999859028E-3</v>
      </c>
      <c r="N11" s="936"/>
      <c r="O11" s="961"/>
      <c r="U11" s="935"/>
      <c r="V11" s="949"/>
    </row>
    <row r="12" spans="1:22" ht="14.45" customHeight="1">
      <c r="A12" s="933" t="s">
        <v>754</v>
      </c>
      <c r="H12" s="955"/>
      <c r="U12" s="935"/>
      <c r="V12" s="955"/>
    </row>
    <row r="13" spans="1:22" ht="14.45" customHeight="1">
      <c r="A13" s="1051">
        <f>PGL_Supplies!Y8/1000</f>
        <v>324.56799999999998</v>
      </c>
      <c r="H13" s="955"/>
      <c r="U13" s="935"/>
      <c r="V13" s="955"/>
    </row>
    <row r="14" spans="1:22" ht="14.45" customHeight="1">
      <c r="H14" s="955"/>
      <c r="U14" s="935"/>
      <c r="V14" s="955"/>
    </row>
    <row r="15" spans="1:22" ht="15.6" customHeight="1">
      <c r="B15" s="1047" t="s">
        <v>11</v>
      </c>
      <c r="C15" s="1054">
        <v>410</v>
      </c>
      <c r="F15" s="1054">
        <v>84</v>
      </c>
      <c r="H15" s="961"/>
      <c r="U15" s="945"/>
      <c r="V15" s="961"/>
    </row>
    <row r="16" spans="1:22" ht="42.75" customHeight="1">
      <c r="A16" s="946"/>
      <c r="B16" s="961"/>
      <c r="C16" s="1055"/>
      <c r="D16" s="1056"/>
      <c r="E16" s="1056"/>
      <c r="F16" s="1055"/>
    </row>
    <row r="17" spans="1:17" ht="38.25" customHeight="1">
      <c r="B17" s="1056"/>
      <c r="C17" s="1056"/>
      <c r="D17" s="1057"/>
      <c r="E17" s="1056"/>
      <c r="F17" s="1056"/>
      <c r="G17" s="1056"/>
      <c r="J17" s="933" t="s">
        <v>327</v>
      </c>
      <c r="K17" s="955">
        <f>NSG_Supplies!L8/1000</f>
        <v>50</v>
      </c>
      <c r="N17" s="955"/>
    </row>
    <row r="18" spans="1:17" ht="15" customHeight="1">
      <c r="A18" s="941"/>
      <c r="C18" s="1054">
        <v>458</v>
      </c>
      <c r="D18" s="1056"/>
      <c r="E18" s="1056"/>
      <c r="F18" s="1049">
        <v>84</v>
      </c>
    </row>
    <row r="19" spans="1:17">
      <c r="A19" s="942" t="s">
        <v>659</v>
      </c>
      <c r="C19" s="1047" t="s">
        <v>11</v>
      </c>
      <c r="J19" s="933" t="s">
        <v>687</v>
      </c>
      <c r="K19" s="955">
        <f>NSG_Supplies!R8/1000+NSG_Supplies!F8/1000-NSG_Requirements!H8/1000</f>
        <v>94.997</v>
      </c>
      <c r="N19" s="1059"/>
    </row>
    <row r="20" spans="1:17" ht="17.25" customHeight="1">
      <c r="A20" s="955">
        <f>Billy_Sheet!G15</f>
        <v>219.327</v>
      </c>
      <c r="G20" s="433"/>
      <c r="J20" s="933"/>
    </row>
    <row r="21" spans="1:17" ht="11.25" customHeight="1">
      <c r="G21" s="934"/>
      <c r="H21" s="934"/>
      <c r="I21" s="936"/>
      <c r="J21" s="961"/>
    </row>
    <row r="22" spans="1:17">
      <c r="A22" s="935" t="s">
        <v>181</v>
      </c>
      <c r="G22" s="933"/>
      <c r="I22" s="936"/>
      <c r="J22" s="933"/>
      <c r="M22" s="936"/>
      <c r="N22" s="961"/>
    </row>
    <row r="23" spans="1:17">
      <c r="A23" s="955">
        <f>Billy_Sheet!C25</f>
        <v>146.643</v>
      </c>
      <c r="G23" s="933" t="s">
        <v>769</v>
      </c>
      <c r="H23" s="935"/>
      <c r="I23" s="936"/>
      <c r="J23" s="961"/>
      <c r="M23" s="933"/>
      <c r="N23" s="961"/>
      <c r="Q23" s="1060"/>
    </row>
    <row r="24" spans="1:17" ht="9" customHeight="1">
      <c r="G24" s="961">
        <v>0</v>
      </c>
      <c r="H24" s="936"/>
      <c r="I24" s="936"/>
      <c r="J24" s="936"/>
    </row>
    <row r="25" spans="1:17" ht="10.5" customHeight="1">
      <c r="A25" s="935" t="s">
        <v>183</v>
      </c>
      <c r="B25" s="935"/>
      <c r="C25" s="935"/>
      <c r="D25" s="935"/>
      <c r="F25" s="935"/>
      <c r="G25" s="933" t="s">
        <v>695</v>
      </c>
      <c r="H25" s="936"/>
      <c r="I25" s="936"/>
      <c r="J25" s="936"/>
    </row>
    <row r="26" spans="1:17" ht="14.25" customHeight="1">
      <c r="A26" s="955">
        <f>Billy_Sheet!G25</f>
        <v>111.199</v>
      </c>
      <c r="B26" s="935"/>
      <c r="C26" s="936"/>
      <c r="D26" s="936"/>
      <c r="F26" s="936"/>
      <c r="G26" s="1058">
        <v>0</v>
      </c>
      <c r="H26" s="936"/>
      <c r="I26" s="936"/>
      <c r="J26" s="936" t="s">
        <v>580</v>
      </c>
      <c r="K26" s="1061">
        <f>PGL_Deliveries!C6/1000</f>
        <v>1045</v>
      </c>
      <c r="L26" s="933" t="s">
        <v>692</v>
      </c>
      <c r="M26" s="955">
        <f>NSG_Deliveries!C6/1000</f>
        <v>165</v>
      </c>
      <c r="N26" s="955"/>
    </row>
    <row r="27" spans="1:17" ht="8.25" customHeight="1">
      <c r="A27" s="936"/>
      <c r="B27" s="957"/>
      <c r="C27" s="936"/>
      <c r="D27" s="936"/>
      <c r="F27" s="936"/>
      <c r="G27" s="936"/>
      <c r="H27" s="937"/>
      <c r="I27" s="936"/>
      <c r="J27" s="937"/>
    </row>
    <row r="28" spans="1:17" ht="12.75" customHeight="1">
      <c r="A28" s="944" t="s">
        <v>663</v>
      </c>
      <c r="B28" s="955"/>
      <c r="C28" s="935"/>
      <c r="D28" s="936"/>
      <c r="F28" s="933"/>
      <c r="G28" s="945" t="s">
        <v>668</v>
      </c>
      <c r="H28" s="433"/>
      <c r="J28" s="936" t="s">
        <v>694</v>
      </c>
      <c r="K28" s="961">
        <f>SUM(A42)</f>
        <v>840.73699999999997</v>
      </c>
      <c r="L28" s="936" t="s">
        <v>746</v>
      </c>
      <c r="M28" s="961">
        <f>SUM(J2+K17+K19+H11+H9-M26)</f>
        <v>-2.9999999999859028E-3</v>
      </c>
      <c r="N28" s="961"/>
    </row>
    <row r="29" spans="1:17">
      <c r="A29" s="955">
        <f>PGL_Supplies!M8/1000</f>
        <v>0</v>
      </c>
      <c r="B29" s="955"/>
      <c r="C29" s="936"/>
      <c r="D29" s="1062"/>
      <c r="F29" s="1114">
        <f>PGL_Requirements!A7</f>
        <v>36957</v>
      </c>
      <c r="G29" s="955">
        <f>PGL_Requirements!H7/1000</f>
        <v>0</v>
      </c>
      <c r="H29" s="934"/>
      <c r="J29" s="936" t="s">
        <v>696</v>
      </c>
      <c r="K29" s="955">
        <f>PGL_Supplies!AC8/1000+PGL_Supplies!L8/1000-PGL_Requirements!O8/1000</f>
        <v>230.91900000000001</v>
      </c>
    </row>
    <row r="30" spans="1:17" ht="10.5" customHeight="1">
      <c r="A30" s="938"/>
      <c r="B30" s="955"/>
      <c r="C30" s="936"/>
      <c r="D30" s="955"/>
      <c r="F30" s="1114">
        <f>PGL_Requirements!A8</f>
        <v>36958</v>
      </c>
      <c r="G30" s="955">
        <f>PGL_Requirements!H8/1000</f>
        <v>0</v>
      </c>
    </row>
    <row r="31" spans="1:17" ht="17.25" customHeight="1">
      <c r="A31" s="944" t="s">
        <v>665</v>
      </c>
      <c r="B31" s="1063"/>
      <c r="C31" s="939"/>
      <c r="D31" s="961"/>
      <c r="G31" s="945" t="s">
        <v>666</v>
      </c>
      <c r="H31" s="961"/>
      <c r="J31" s="936" t="s">
        <v>693</v>
      </c>
      <c r="K31" s="961">
        <f>SUM(K28+K29-K26)</f>
        <v>26.655999999999949</v>
      </c>
    </row>
    <row r="32" spans="1:17">
      <c r="A32" s="955">
        <f>PGL_Supplies!H8/1000</f>
        <v>1</v>
      </c>
      <c r="G32" s="955">
        <f>PGL_Requirements!P8/1000</f>
        <v>0</v>
      </c>
    </row>
    <row r="33" spans="1:11" ht="6.75" customHeight="1"/>
    <row r="34" spans="1:11">
      <c r="A34" s="933" t="s">
        <v>664</v>
      </c>
      <c r="G34" s="936" t="s">
        <v>667</v>
      </c>
    </row>
    <row r="35" spans="1:11">
      <c r="A35" s="1058">
        <v>0</v>
      </c>
      <c r="G35" s="955">
        <f>PGL_Requirements!B8/1000</f>
        <v>0</v>
      </c>
    </row>
    <row r="36" spans="1:11">
      <c r="G36" s="955"/>
    </row>
    <row r="37" spans="1:11">
      <c r="C37" s="933" t="s">
        <v>670</v>
      </c>
      <c r="F37" s="933" t="s">
        <v>671</v>
      </c>
      <c r="G37" s="955"/>
    </row>
    <row r="38" spans="1:11">
      <c r="C38" s="1054">
        <v>603</v>
      </c>
      <c r="F38" s="1054">
        <v>145</v>
      </c>
    </row>
    <row r="39" spans="1:11">
      <c r="A39" s="953" t="s">
        <v>745</v>
      </c>
      <c r="E39" s="935" t="s">
        <v>669</v>
      </c>
      <c r="F39" s="935"/>
    </row>
    <row r="40" spans="1:11">
      <c r="A40" s="961">
        <f>SUM(A3:A35)</f>
        <v>840.73699999999997</v>
      </c>
      <c r="B40" s="949"/>
      <c r="C40" s="948"/>
      <c r="D40" s="949"/>
      <c r="E40" s="949"/>
      <c r="F40" s="1064"/>
      <c r="G40" s="1064">
        <f>SUM(G30:G35)</f>
        <v>0</v>
      </c>
      <c r="H40" s="951"/>
      <c r="I40" s="950"/>
    </row>
    <row r="41" spans="1:11">
      <c r="A41" s="952" t="s">
        <v>685</v>
      </c>
      <c r="B41" s="955"/>
      <c r="C41" s="949"/>
      <c r="D41" s="949"/>
      <c r="E41" s="949"/>
      <c r="F41" s="949"/>
      <c r="G41" s="949"/>
      <c r="H41" s="949"/>
      <c r="I41" s="948"/>
    </row>
    <row r="42" spans="1:11">
      <c r="A42" s="955">
        <f>SUM(A40-G40)</f>
        <v>840.73699999999997</v>
      </c>
      <c r="B42" s="955"/>
      <c r="C42" s="949"/>
      <c r="D42" s="949"/>
      <c r="E42" s="949"/>
      <c r="F42" s="958"/>
      <c r="G42" s="960" t="s">
        <v>689</v>
      </c>
      <c r="H42" s="1065"/>
      <c r="I42" s="1066"/>
      <c r="J42" s="1065"/>
      <c r="K42" s="1056"/>
    </row>
    <row r="43" spans="1:11" ht="14.25" customHeight="1">
      <c r="A43" s="955"/>
      <c r="B43" s="955"/>
      <c r="C43" s="955"/>
      <c r="D43" s="955"/>
      <c r="E43" s="958"/>
      <c r="F43" s="957" t="s">
        <v>684</v>
      </c>
      <c r="G43" s="958" t="s">
        <v>683</v>
      </c>
      <c r="I43" s="955"/>
    </row>
    <row r="44" spans="1:11" ht="12.75" customHeight="1">
      <c r="A44" s="952" t="s">
        <v>672</v>
      </c>
      <c r="B44" s="955" t="s">
        <v>677</v>
      </c>
      <c r="C44" s="955" t="s">
        <v>678</v>
      </c>
      <c r="D44" s="955" t="s">
        <v>679</v>
      </c>
      <c r="E44" s="956"/>
      <c r="F44" s="956" t="s">
        <v>680</v>
      </c>
      <c r="G44" s="949" t="s">
        <v>682</v>
      </c>
      <c r="H44" s="935" t="s">
        <v>681</v>
      </c>
      <c r="I44" s="955"/>
      <c r="K44" s="935"/>
    </row>
    <row r="45" spans="1:11">
      <c r="A45" s="952" t="s">
        <v>676</v>
      </c>
      <c r="B45" s="1067">
        <v>20</v>
      </c>
      <c r="C45" s="1067">
        <v>155</v>
      </c>
      <c r="D45" s="1068">
        <f>SUM(F2+F15)/2</f>
        <v>56.5</v>
      </c>
      <c r="E45" s="1069"/>
      <c r="F45" s="1070">
        <v>6.7000000000000004E-2</v>
      </c>
      <c r="G45" s="1071">
        <f>(C45-D45)*F45</f>
        <v>6.5995000000000008</v>
      </c>
      <c r="H45" s="1071">
        <f>(D45-B45)*F45</f>
        <v>2.4455</v>
      </c>
      <c r="I45" s="955"/>
      <c r="J45" s="1072"/>
    </row>
    <row r="46" spans="1:11">
      <c r="A46" s="935" t="s">
        <v>673</v>
      </c>
      <c r="B46" s="1073">
        <v>20</v>
      </c>
      <c r="C46" s="1067">
        <v>155</v>
      </c>
      <c r="D46" s="1068">
        <f>SUM(F18+F38)/2</f>
        <v>114.5</v>
      </c>
      <c r="E46" s="1069"/>
      <c r="F46" s="1070">
        <v>0.13900000000000001</v>
      </c>
      <c r="G46" s="1071">
        <f>(C46-D46)*F46</f>
        <v>5.6295000000000002</v>
      </c>
      <c r="H46" s="1071">
        <f>(D46-B46)*F46</f>
        <v>13.1355</v>
      </c>
      <c r="I46" s="955"/>
    </row>
    <row r="47" spans="1:11">
      <c r="A47" s="935" t="s">
        <v>674</v>
      </c>
      <c r="B47" s="1073">
        <v>250</v>
      </c>
      <c r="C47" s="1067">
        <v>500</v>
      </c>
      <c r="D47" s="1068">
        <f>SUM(C2+C15)/2</f>
        <v>315.5</v>
      </c>
      <c r="E47" s="1069"/>
      <c r="F47" s="1070">
        <v>0.14099999999999999</v>
      </c>
      <c r="G47" s="1071">
        <f>(C47-D47)*F47</f>
        <v>26.014499999999998</v>
      </c>
      <c r="H47" s="1071">
        <f>(D47-B47)*F47</f>
        <v>9.2354999999999983</v>
      </c>
      <c r="I47" s="955"/>
    </row>
    <row r="48" spans="1:11">
      <c r="A48" s="935" t="s">
        <v>675</v>
      </c>
      <c r="B48" s="1073">
        <v>400</v>
      </c>
      <c r="C48" s="1067">
        <v>800</v>
      </c>
      <c r="D48" s="1068">
        <f>SUM(C18+C38)/2</f>
        <v>530.5</v>
      </c>
      <c r="E48" s="1069"/>
      <c r="F48" s="1070">
        <v>0.161</v>
      </c>
      <c r="G48" s="1071">
        <f>(C48-D48)*F48</f>
        <v>43.389499999999998</v>
      </c>
      <c r="H48" s="1071">
        <f>(D48-B48)*F48</f>
        <v>21.0105</v>
      </c>
    </row>
    <row r="49" spans="1:8">
      <c r="B49" s="1053"/>
      <c r="C49" s="1053"/>
      <c r="D49" s="1053"/>
      <c r="E49" s="1053"/>
      <c r="F49" s="959" t="s">
        <v>360</v>
      </c>
      <c r="G49" s="1071">
        <f>SUM(G45:G48)</f>
        <v>81.632999999999996</v>
      </c>
      <c r="H49" s="1071">
        <f>SUM(H45:H48)</f>
        <v>45.826999999999998</v>
      </c>
    </row>
    <row r="55" spans="1:8">
      <c r="A55" s="1074"/>
      <c r="G55" s="1074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>
      <selection activeCell="F5" sqref="F5"/>
    </sheetView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50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36957</v>
      </c>
      <c r="B5" s="11">
        <v>44</v>
      </c>
      <c r="C5" s="49">
        <v>30</v>
      </c>
      <c r="D5" s="49">
        <v>12.5</v>
      </c>
      <c r="E5" s="11">
        <v>34.1</v>
      </c>
      <c r="F5" s="11">
        <v>239</v>
      </c>
      <c r="G5" s="11">
        <v>5324</v>
      </c>
      <c r="H5" s="11">
        <v>32</v>
      </c>
      <c r="I5" s="1194" t="s">
        <v>793</v>
      </c>
      <c r="J5" s="1194" t="s">
        <v>794</v>
      </c>
      <c r="K5" s="11">
        <v>3</v>
      </c>
      <c r="L5" s="11">
        <v>1</v>
      </c>
      <c r="N5" s="15" t="str">
        <f>I5&amp;" "&amp;I5</f>
        <v xml:space="preserve">   PARTLY   SUNNY    PARTLY   SUNNY</v>
      </c>
      <c r="AE5" s="15">
        <v>1</v>
      </c>
      <c r="AH5" s="15" t="s">
        <v>34</v>
      </c>
    </row>
    <row r="6" spans="1:34" ht="16.5" customHeight="1">
      <c r="A6" s="88">
        <f>A5+1</f>
        <v>36958</v>
      </c>
      <c r="B6" s="11">
        <v>33</v>
      </c>
      <c r="C6" s="49">
        <v>22</v>
      </c>
      <c r="D6" s="49">
        <v>13</v>
      </c>
      <c r="E6" s="11" t="s">
        <v>11</v>
      </c>
      <c r="F6" s="11" t="s">
        <v>11</v>
      </c>
      <c r="G6" s="11"/>
      <c r="H6" s="11" t="s">
        <v>11</v>
      </c>
      <c r="I6" s="912" t="s">
        <v>795</v>
      </c>
      <c r="J6" s="1194" t="s">
        <v>796</v>
      </c>
      <c r="K6" s="11">
        <v>4</v>
      </c>
      <c r="L6" s="11" t="s">
        <v>634</v>
      </c>
      <c r="N6" s="15" t="str">
        <f>I6&amp;" "&amp;J6</f>
        <v>MOSTLY CLOUDY… WITH A CHANCE OF SNOW FLURRIES IN THE MORNING. HIGH IN  THE 30S.CLOUDY AND COLD AT NIGHT. LOWS IN THE MIDDLE 20S. NW WINDS 8 12 MPH.</v>
      </c>
      <c r="AE6" s="15">
        <v>1</v>
      </c>
      <c r="AH6" s="15" t="s">
        <v>35</v>
      </c>
    </row>
    <row r="7" spans="1:34" ht="16.5" customHeight="1">
      <c r="A7" s="88">
        <f>A6+1</f>
        <v>36959</v>
      </c>
      <c r="B7" s="11">
        <v>35</v>
      </c>
      <c r="C7" s="49">
        <v>20</v>
      </c>
      <c r="D7" s="49">
        <v>8</v>
      </c>
      <c r="E7" s="11" t="s">
        <v>11</v>
      </c>
      <c r="F7" s="11" t="s">
        <v>11</v>
      </c>
      <c r="G7" s="11"/>
      <c r="H7" s="11" t="s">
        <v>11</v>
      </c>
      <c r="I7" s="912" t="s">
        <v>797</v>
      </c>
      <c r="J7" s="912" t="s">
        <v>798</v>
      </c>
      <c r="K7" s="11">
        <v>2</v>
      </c>
      <c r="L7" s="11" t="s">
        <v>22</v>
      </c>
      <c r="N7" s="15" t="str">
        <f>I7&amp;" "&amp;J7</f>
        <v>CLOUDY AND COLD . HIGHS IN THE MIDDLE 30S. AND COLDER AT NIGHT .. LOWS IN  THE MIDDLE 20S.</v>
      </c>
    </row>
    <row r="8" spans="1:34" ht="16.5" customHeight="1">
      <c r="A8" s="88">
        <f>A7+1</f>
        <v>36960</v>
      </c>
      <c r="B8" s="11">
        <v>43</v>
      </c>
      <c r="C8" s="49">
        <v>28</v>
      </c>
      <c r="D8" s="49">
        <v>10</v>
      </c>
      <c r="E8" s="11" t="s">
        <v>11</v>
      </c>
      <c r="F8" s="11" t="s">
        <v>11</v>
      </c>
      <c r="G8" s="11"/>
      <c r="H8" s="11" t="s">
        <v>11</v>
      </c>
      <c r="I8" s="912" t="s">
        <v>799</v>
      </c>
      <c r="J8" s="912" t="s">
        <v>11</v>
      </c>
      <c r="K8" s="11">
        <v>2</v>
      </c>
      <c r="L8" s="11">
        <v>0</v>
      </c>
      <c r="N8" s="15" t="str">
        <f>I8&amp;" "&amp;J8</f>
        <v xml:space="preserve">CLOUDY WITH HIGHS IN THE LOW 40S.  </v>
      </c>
    </row>
    <row r="9" spans="1:34" ht="16.5" customHeight="1">
      <c r="A9" s="88">
        <f>A8+1</f>
        <v>36961</v>
      </c>
      <c r="B9" s="11">
        <v>45</v>
      </c>
      <c r="C9" s="49">
        <v>31</v>
      </c>
      <c r="D9" s="49">
        <v>8</v>
      </c>
      <c r="E9" s="11" t="s">
        <v>11</v>
      </c>
      <c r="F9" s="11" t="s">
        <v>11</v>
      </c>
      <c r="G9" s="11"/>
      <c r="H9" s="11" t="s">
        <v>11</v>
      </c>
      <c r="I9" s="912" t="s">
        <v>800</v>
      </c>
      <c r="J9" s="912" t="s">
        <v>801</v>
      </c>
      <c r="K9" s="11">
        <v>5</v>
      </c>
      <c r="L9" s="11">
        <v>0</v>
      </c>
      <c r="M9" s="89"/>
      <c r="N9" s="15" t="str">
        <f>I10&amp;" "&amp;J9</f>
        <v xml:space="preserve">  A  CHANCE  OF   RAIN  HIGH IN THE MIDDLE 40S. LOW IN THE MIDDLE 30S AT NIGHT. LOW 40S.</v>
      </c>
    </row>
    <row r="10" spans="1:34" ht="16.5" customHeight="1">
      <c r="A10" s="88">
        <f>A9+1</f>
        <v>36962</v>
      </c>
      <c r="B10" s="11">
        <v>48</v>
      </c>
      <c r="C10" s="49">
        <v>35</v>
      </c>
      <c r="D10" s="49">
        <v>10</v>
      </c>
      <c r="E10" s="11" t="s">
        <v>11</v>
      </c>
      <c r="F10" s="11" t="s">
        <v>11</v>
      </c>
      <c r="G10" s="11"/>
      <c r="H10" s="11" t="s">
        <v>11</v>
      </c>
      <c r="I10" s="1194" t="s">
        <v>802</v>
      </c>
      <c r="J10" s="912" t="s">
        <v>11</v>
      </c>
      <c r="K10" s="11">
        <v>5</v>
      </c>
      <c r="L10" s="11" t="s">
        <v>419</v>
      </c>
    </row>
    <row r="11" spans="1:34" ht="16.5" customHeight="1">
      <c r="G11"/>
    </row>
    <row r="12" spans="1:34" ht="15.75">
      <c r="E12" s="85"/>
      <c r="F12" s="85"/>
      <c r="G12" s="464"/>
      <c r="H12" s="85"/>
      <c r="I12" s="85"/>
      <c r="J12" s="85"/>
    </row>
    <row r="13" spans="1:34" ht="15">
      <c r="E13" s="85"/>
      <c r="F13" s="85"/>
      <c r="G13" s="482" t="s">
        <v>11</v>
      </c>
      <c r="H13" s="85"/>
      <c r="I13" s="85"/>
      <c r="J13" s="85"/>
    </row>
    <row r="14" spans="1:34" ht="15">
      <c r="E14" s="85"/>
      <c r="F14" s="85"/>
      <c r="G14" s="465"/>
      <c r="H14" s="85"/>
      <c r="I14" s="85"/>
      <c r="J14" s="85"/>
    </row>
    <row r="15" spans="1:34">
      <c r="E15" s="85"/>
      <c r="F15" s="85"/>
      <c r="G15" s="481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>
      <selection sqref="A1:F54"/>
    </sheetView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11</v>
      </c>
      <c r="H1"/>
      <c r="I1"/>
      <c r="J1"/>
      <c r="K1"/>
      <c r="L1"/>
      <c r="M1"/>
    </row>
    <row r="2" spans="1:13" ht="16.5" thickBot="1">
      <c r="A2" s="124" t="s">
        <v>580</v>
      </c>
      <c r="B2" s="186">
        <f>PGL_Deliveries!U5/1000</f>
        <v>951.81299999999999</v>
      </c>
      <c r="C2" s="60"/>
      <c r="D2" s="121" t="s">
        <v>325</v>
      </c>
      <c r="E2" s="426">
        <f>Weather_Input!A5</f>
        <v>36957</v>
      </c>
      <c r="F2" s="60"/>
      <c r="H2"/>
      <c r="I2"/>
      <c r="J2"/>
      <c r="K2"/>
      <c r="L2"/>
      <c r="M2"/>
    </row>
    <row r="3" spans="1:13" ht="15">
      <c r="A3" s="99" t="s">
        <v>581</v>
      </c>
      <c r="B3" s="633">
        <f>PGL_Supplies!J7/1000</f>
        <v>0</v>
      </c>
      <c r="C3" s="185"/>
      <c r="D3" s="1130" t="s">
        <v>778</v>
      </c>
      <c r="E3" s="808">
        <f>PGL_Deliveries!T5/1000</f>
        <v>0</v>
      </c>
      <c r="F3" s="184"/>
      <c r="H3"/>
      <c r="I3"/>
      <c r="J3"/>
      <c r="K3"/>
      <c r="L3"/>
      <c r="M3"/>
    </row>
    <row r="4" spans="1:13" ht="15.75" thickBot="1">
      <c r="A4" s="102"/>
      <c r="B4" s="163"/>
      <c r="C4" s="160"/>
      <c r="D4" s="789"/>
      <c r="E4" s="168"/>
      <c r="F4" s="167"/>
      <c r="H4"/>
      <c r="I4"/>
      <c r="J4"/>
      <c r="K4"/>
      <c r="L4"/>
      <c r="M4"/>
    </row>
    <row r="5" spans="1:13" ht="15">
      <c r="A5" s="183" t="s">
        <v>584</v>
      </c>
      <c r="B5" s="154">
        <f>PGL_Deliveries!D5/1000</f>
        <v>0</v>
      </c>
      <c r="C5" s="64"/>
      <c r="D5" s="59" t="s">
        <v>582</v>
      </c>
      <c r="E5" s="154">
        <f>PGL_Deliveries!O5/1000</f>
        <v>0</v>
      </c>
      <c r="F5" s="171"/>
      <c r="H5"/>
      <c r="I5"/>
      <c r="J5"/>
      <c r="K5"/>
      <c r="L5"/>
      <c r="M5"/>
    </row>
    <row r="6" spans="1:13" ht="15.75" thickBot="1">
      <c r="A6" s="182" t="s">
        <v>254</v>
      </c>
      <c r="B6" s="154">
        <f>PGL_Deliveries!I5/1000</f>
        <v>752.48099999999999</v>
      </c>
      <c r="C6" s="169"/>
      <c r="D6" s="59" t="s">
        <v>583</v>
      </c>
      <c r="E6" s="154">
        <f>PGL_Deliveries!P5/1000</f>
        <v>0.93700000000000006</v>
      </c>
      <c r="F6" s="171"/>
      <c r="H6"/>
      <c r="I6"/>
      <c r="J6"/>
      <c r="K6"/>
      <c r="L6"/>
      <c r="M6"/>
    </row>
    <row r="7" spans="1:13" ht="16.5" thickBot="1">
      <c r="A7" s="181" t="s">
        <v>586</v>
      </c>
      <c r="B7" s="228">
        <f>SUM(B5:B6)</f>
        <v>752.48099999999999</v>
      </c>
      <c r="C7" s="169"/>
      <c r="D7" s="117" t="s">
        <v>208</v>
      </c>
      <c r="E7" s="154">
        <f>PGL_Deliveries!E5/1000</f>
        <v>0</v>
      </c>
      <c r="F7" s="171"/>
      <c r="H7"/>
      <c r="I7"/>
      <c r="J7"/>
      <c r="K7"/>
      <c r="L7"/>
      <c r="M7"/>
    </row>
    <row r="8" spans="1:13" ht="15">
      <c r="A8" s="444" t="s">
        <v>754</v>
      </c>
      <c r="B8" s="154">
        <f>PGL_Deliveries!V5/1000</f>
        <v>258.21699999999998</v>
      </c>
      <c r="C8" s="632"/>
      <c r="D8" s="117" t="s">
        <v>585</v>
      </c>
      <c r="E8" s="154">
        <f>PGL_Deliveries!N5/1000</f>
        <v>0.39900000000000002</v>
      </c>
      <c r="F8" s="171"/>
      <c r="H8"/>
      <c r="I8"/>
      <c r="J8"/>
      <c r="K8"/>
      <c r="L8"/>
      <c r="M8"/>
    </row>
    <row r="9" spans="1:13" ht="15">
      <c r="A9" s="172" t="s">
        <v>68</v>
      </c>
      <c r="B9" s="154">
        <f>PGL_Deliveries!W5/1000</f>
        <v>69.921999999999997</v>
      </c>
      <c r="C9" s="64"/>
      <c r="D9" s="117" t="s">
        <v>211</v>
      </c>
      <c r="E9" s="154">
        <f>PGL_Deliveries!Q5/1000</f>
        <v>0.28299999999999997</v>
      </c>
      <c r="F9" s="171"/>
      <c r="H9"/>
      <c r="I9"/>
      <c r="J9"/>
      <c r="K9"/>
      <c r="L9"/>
      <c r="M9"/>
    </row>
    <row r="10" spans="1:13" ht="15">
      <c r="A10" s="172" t="s">
        <v>181</v>
      </c>
      <c r="B10" s="154">
        <f>PGL_Deliveries!X5/1000</f>
        <v>137.07900000000001</v>
      </c>
      <c r="C10" s="64"/>
      <c r="D10" s="117" t="s">
        <v>213</v>
      </c>
      <c r="E10" s="154">
        <f>PGL_Deliveries!S5/1000</f>
        <v>5</v>
      </c>
      <c r="F10" s="171"/>
      <c r="H10"/>
      <c r="I10"/>
      <c r="J10"/>
      <c r="K10"/>
      <c r="L10"/>
      <c r="M10"/>
    </row>
    <row r="11" spans="1:13" ht="15">
      <c r="A11" s="173" t="s">
        <v>74</v>
      </c>
      <c r="B11" s="154">
        <f>(PGL_Deliveries!AJ5+PGL_Deliveries!AK5)/1000</f>
        <v>5.5229999999999997</v>
      </c>
      <c r="C11" s="64"/>
      <c r="D11" s="117" t="s">
        <v>587</v>
      </c>
      <c r="E11" s="154">
        <f>PGL_Deliveries!R5/1000</f>
        <v>6.8529999999999998</v>
      </c>
      <c r="F11" s="171"/>
      <c r="H11"/>
      <c r="I11"/>
      <c r="J11"/>
      <c r="K11"/>
      <c r="L11"/>
      <c r="M11"/>
    </row>
    <row r="12" spans="1:13" ht="15">
      <c r="A12" s="172" t="s">
        <v>588</v>
      </c>
      <c r="B12" s="154">
        <f>PGL_Supplies!K7/1000</f>
        <v>0</v>
      </c>
      <c r="C12" s="64"/>
      <c r="D12" s="117" t="s">
        <v>217</v>
      </c>
      <c r="E12" s="154">
        <f>PGL_Deliveries!G5/1000</f>
        <v>0.02</v>
      </c>
      <c r="F12" s="171"/>
      <c r="H12"/>
      <c r="I12"/>
      <c r="J12"/>
      <c r="K12"/>
      <c r="L12"/>
      <c r="M12"/>
    </row>
    <row r="13" spans="1:13" ht="15">
      <c r="A13" s="172" t="s">
        <v>589</v>
      </c>
      <c r="B13" s="154">
        <f>PGL_Deliveries!Y5/1000+PGL_Deliveries!Z5/1000+PGL_Deliveries!AA5/1000-PGL_Deliveries!BE5/1000</f>
        <v>261.92700000000002</v>
      </c>
      <c r="C13" s="64"/>
      <c r="D13" s="117" t="s">
        <v>219</v>
      </c>
      <c r="E13" s="154">
        <f>PGL_Deliveries!F5/1000</f>
        <v>35.386000000000003</v>
      </c>
      <c r="F13" s="171"/>
      <c r="H13"/>
      <c r="I13"/>
      <c r="J13"/>
      <c r="K13"/>
      <c r="L13"/>
      <c r="M13"/>
    </row>
    <row r="14" spans="1:13" ht="15">
      <c r="A14" s="172" t="s">
        <v>183</v>
      </c>
      <c r="B14" s="154">
        <f>PGL_Deliveries!AD5/1000</f>
        <v>90.025000000000006</v>
      </c>
      <c r="C14" s="64"/>
      <c r="D14" s="117" t="s">
        <v>220</v>
      </c>
      <c r="E14" s="154">
        <f>PGL_Deliveries!H5/1000</f>
        <v>3.9969999999999999</v>
      </c>
      <c r="F14" s="171"/>
      <c r="G14" s="154"/>
      <c r="H14"/>
      <c r="I14"/>
      <c r="J14"/>
      <c r="K14"/>
      <c r="L14"/>
      <c r="M14"/>
    </row>
    <row r="15" spans="1:13" ht="15">
      <c r="A15" s="172" t="s">
        <v>184</v>
      </c>
      <c r="B15" s="154">
        <f>PGL_Deliveries!AH5/1000+PGL_Deliveries!AX5/1000+PGL_Deliveries!AT5/1000-PGL_Deliveries!AS5/1000-PGL_Deliveries!AU5/1000+PGL_Deliveries!AE5/1000+PGL_Deliveries!AF5/1000-PGL_Deliveries!AV5/1000</f>
        <v>2.4219999999999997</v>
      </c>
      <c r="C15" s="64"/>
      <c r="D15" s="59" t="s">
        <v>407</v>
      </c>
      <c r="E15" s="154">
        <f>PGL_Deliveries!K5/1000</f>
        <v>136.845</v>
      </c>
      <c r="F15" s="171"/>
      <c r="H15"/>
      <c r="I15"/>
      <c r="J15"/>
      <c r="K15"/>
      <c r="L15"/>
      <c r="M15"/>
    </row>
    <row r="16" spans="1:13" ht="15">
      <c r="A16" s="172" t="s">
        <v>590</v>
      </c>
      <c r="B16" s="60"/>
      <c r="C16" s="226">
        <f>PGL_Deliveries!AO5/1000</f>
        <v>72.634</v>
      </c>
      <c r="D16" s="117" t="s">
        <v>223</v>
      </c>
      <c r="E16" s="154">
        <f>PGL_Deliveries!L5/1000</f>
        <v>5.0389999999999997</v>
      </c>
      <c r="F16" s="171"/>
      <c r="H16"/>
      <c r="I16"/>
      <c r="J16"/>
      <c r="K16"/>
      <c r="L16"/>
      <c r="M16"/>
    </row>
    <row r="17" spans="1:13" ht="15.75" thickBot="1">
      <c r="A17" s="170" t="s">
        <v>186</v>
      </c>
      <c r="B17" s="154">
        <f>PGL_Deliveries!AP5/1000</f>
        <v>0</v>
      </c>
      <c r="C17" s="169" t="s">
        <v>11</v>
      </c>
      <c r="D17" s="1164" t="s">
        <v>222</v>
      </c>
      <c r="E17" s="210">
        <f>PGL_Deliveries!M5/1000</f>
        <v>4.5730000000000004</v>
      </c>
      <c r="F17" s="167"/>
      <c r="H17"/>
      <c r="I17"/>
      <c r="J17"/>
      <c r="K17"/>
      <c r="L17"/>
      <c r="M17"/>
    </row>
    <row r="18" spans="1:13" ht="16.5" thickBot="1">
      <c r="A18" s="180" t="s">
        <v>591</v>
      </c>
      <c r="B18" s="906">
        <f>SUM(B8:B17)-C16</f>
        <v>752.48100000000011</v>
      </c>
      <c r="C18" s="169"/>
      <c r="D18" s="179" t="s">
        <v>592</v>
      </c>
      <c r="E18" s="178">
        <f>SUM(E5:E17)</f>
        <v>199.33199999999999</v>
      </c>
      <c r="F18" s="167"/>
      <c r="H18"/>
      <c r="I18"/>
      <c r="J18"/>
      <c r="K18"/>
      <c r="L18"/>
      <c r="M18"/>
    </row>
    <row r="19" spans="1:13" ht="15">
      <c r="A19" s="444" t="s">
        <v>760</v>
      </c>
      <c r="B19" s="154">
        <f>PGL_Supplies!Y7/1000</f>
        <v>257.91199999999998</v>
      </c>
      <c r="C19" s="632"/>
      <c r="D19" s="117" t="s">
        <v>320</v>
      </c>
      <c r="E19" s="154">
        <f>PGL_Deliveries!AI5/1000</f>
        <v>2.5000000000000001E-2</v>
      </c>
      <c r="F19" s="171"/>
      <c r="H19"/>
      <c r="I19"/>
      <c r="J19"/>
      <c r="K19"/>
      <c r="L19"/>
      <c r="M19"/>
    </row>
    <row r="20" spans="1:13" ht="15">
      <c r="A20" s="172" t="s">
        <v>757</v>
      </c>
      <c r="B20" s="154">
        <f>PGL_Supplies!X7/1000</f>
        <v>0</v>
      </c>
      <c r="C20" s="64"/>
      <c r="D20" s="117" t="s">
        <v>189</v>
      </c>
      <c r="E20" s="154">
        <f>PGL_Deliveries!AF5/1000+B41</f>
        <v>0</v>
      </c>
      <c r="F20" s="171"/>
      <c r="H20"/>
      <c r="I20"/>
      <c r="J20"/>
      <c r="K20"/>
      <c r="L20"/>
      <c r="M20"/>
    </row>
    <row r="21" spans="1:13" ht="16.5" thickBot="1">
      <c r="A21" s="172" t="s">
        <v>761</v>
      </c>
      <c r="C21" s="176">
        <f>PGL_Requirements!J7/1000</f>
        <v>0</v>
      </c>
      <c r="D21" s="631" t="s">
        <v>593</v>
      </c>
      <c r="E21" s="211">
        <f>SUM(E18:E20)</f>
        <v>199.357</v>
      </c>
      <c r="F21" s="177"/>
      <c r="H21"/>
      <c r="I21"/>
      <c r="J21"/>
      <c r="K21"/>
      <c r="L21"/>
      <c r="M21"/>
    </row>
    <row r="22" spans="1:13" ht="15">
      <c r="A22" s="175" t="s">
        <v>360</v>
      </c>
      <c r="B22" s="1136">
        <f>+B19+B20-C21</f>
        <v>257.91199999999998</v>
      </c>
      <c r="C22" s="1129"/>
      <c r="D22" s="251" t="s">
        <v>594</v>
      </c>
      <c r="E22" s="154">
        <f>NSG_Requirements!$L$7/1000</f>
        <v>0</v>
      </c>
      <c r="F22" s="171"/>
      <c r="H22"/>
      <c r="I22"/>
      <c r="J22"/>
      <c r="K22"/>
      <c r="L22"/>
      <c r="M22"/>
    </row>
    <row r="23" spans="1:13" ht="15">
      <c r="A23" s="172" t="s">
        <v>227</v>
      </c>
      <c r="B23" s="154">
        <f>PGL_Supplies!Z7/1000</f>
        <v>70</v>
      </c>
      <c r="C23" s="64"/>
      <c r="D23" s="251" t="s">
        <v>595</v>
      </c>
      <c r="E23" s="60"/>
      <c r="F23" s="176">
        <f>NSG_Supplies!H7/1000</f>
        <v>0</v>
      </c>
      <c r="H23"/>
      <c r="I23"/>
      <c r="J23"/>
      <c r="K23"/>
      <c r="L23"/>
      <c r="M23"/>
    </row>
    <row r="24" spans="1:13" ht="15">
      <c r="A24" s="173" t="s">
        <v>771</v>
      </c>
      <c r="B24" s="634"/>
      <c r="C24" s="226">
        <f>PGL_Requirements!U7/1000</f>
        <v>0</v>
      </c>
      <c r="D24" s="60" t="s">
        <v>596</v>
      </c>
      <c r="E24" s="60"/>
      <c r="F24" s="176">
        <v>0</v>
      </c>
      <c r="H24"/>
      <c r="I24"/>
      <c r="J24"/>
      <c r="K24"/>
      <c r="L24"/>
      <c r="M24"/>
    </row>
    <row r="25" spans="1:13" ht="15">
      <c r="A25" s="173" t="s">
        <v>770</v>
      </c>
      <c r="B25" s="154">
        <f>PGL_Supplies!R7/1000</f>
        <v>0</v>
      </c>
      <c r="C25" s="64"/>
      <c r="D25" s="251" t="s">
        <v>598</v>
      </c>
      <c r="E25" s="60"/>
      <c r="F25" s="176">
        <f>PGL_Requirements!S7/1000</f>
        <v>0</v>
      </c>
      <c r="H25"/>
      <c r="I25"/>
      <c r="J25"/>
      <c r="K25"/>
      <c r="L25"/>
      <c r="M25"/>
    </row>
    <row r="26" spans="1:13" ht="15">
      <c r="A26" s="175" t="s">
        <v>233</v>
      </c>
      <c r="B26" s="68" t="s">
        <v>11</v>
      </c>
      <c r="C26" s="484" t="s">
        <v>11</v>
      </c>
      <c r="D26" s="60" t="s">
        <v>600</v>
      </c>
      <c r="E26" s="60"/>
      <c r="F26" s="176">
        <v>0</v>
      </c>
      <c r="G26"/>
      <c r="H26"/>
      <c r="I26"/>
      <c r="J26"/>
      <c r="K26"/>
      <c r="L26"/>
      <c r="M26"/>
    </row>
    <row r="27" spans="1:13" ht="15">
      <c r="A27" s="172" t="s">
        <v>597</v>
      </c>
      <c r="B27" s="154">
        <f>PGL_Supplies!AA7/1000</f>
        <v>137.73500000000001</v>
      </c>
      <c r="C27" s="64"/>
      <c r="D27" s="60" t="s">
        <v>192</v>
      </c>
      <c r="E27" s="60" t="s">
        <v>11</v>
      </c>
      <c r="F27" s="176">
        <f>PGL_Requirements!L7/1000</f>
        <v>0</v>
      </c>
      <c r="H27"/>
      <c r="I27"/>
      <c r="J27"/>
      <c r="K27"/>
      <c r="L27"/>
      <c r="M27"/>
    </row>
    <row r="28" spans="1:13" ht="15">
      <c r="A28" s="172" t="s">
        <v>599</v>
      </c>
      <c r="B28" s="154">
        <v>0</v>
      </c>
      <c r="C28" s="64"/>
      <c r="D28" s="251" t="s">
        <v>602</v>
      </c>
      <c r="E28" s="60"/>
      <c r="F28" s="176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5" t="s">
        <v>601</v>
      </c>
      <c r="B29" s="68"/>
      <c r="C29" s="484">
        <f>PGL_Requirements!J12/1000</f>
        <v>0</v>
      </c>
      <c r="D29" s="635" t="s">
        <v>196</v>
      </c>
      <c r="E29" s="235" t="s">
        <v>11</v>
      </c>
      <c r="F29" s="176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2" t="s">
        <v>603</v>
      </c>
      <c r="B30" s="1083">
        <f>PGL_Supplies!AD7/1000</f>
        <v>101.2</v>
      </c>
      <c r="C30" s="64"/>
      <c r="D30" s="635" t="s">
        <v>605</v>
      </c>
      <c r="E30" s="60" t="s">
        <v>11</v>
      </c>
      <c r="F30" s="176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2" t="s">
        <v>604</v>
      </c>
      <c r="B31" s="154">
        <f>PGL_Supplies!AE7/1000</f>
        <v>0</v>
      </c>
      <c r="C31" s="64"/>
      <c r="D31" s="251" t="s">
        <v>606</v>
      </c>
      <c r="E31" s="60" t="s">
        <v>11</v>
      </c>
      <c r="F31" s="176">
        <f>PGL_Requirements!O7/1000</f>
        <v>77.366</v>
      </c>
      <c r="H31"/>
      <c r="I31"/>
      <c r="J31"/>
      <c r="K31"/>
      <c r="L31"/>
      <c r="M31"/>
    </row>
    <row r="32" spans="1:13" ht="15">
      <c r="A32" s="173" t="s">
        <v>9</v>
      </c>
      <c r="B32" s="60"/>
      <c r="C32" s="226">
        <v>0</v>
      </c>
      <c r="D32" s="174" t="s">
        <v>607</v>
      </c>
      <c r="E32" s="154">
        <f>PGL_Deliveries!AR5/1000</f>
        <v>0</v>
      </c>
      <c r="F32" s="171"/>
      <c r="H32"/>
      <c r="I32"/>
      <c r="J32"/>
      <c r="K32"/>
      <c r="L32"/>
      <c r="M32"/>
    </row>
    <row r="33" spans="1:13" ht="15">
      <c r="A33" s="173" t="s">
        <v>8</v>
      </c>
      <c r="B33" s="154">
        <f>PGL_Supplies!Q7/1000</f>
        <v>0</v>
      </c>
      <c r="C33" s="64"/>
      <c r="D33" s="251" t="s">
        <v>742</v>
      </c>
      <c r="E33" s="154">
        <f>PGL_Supplies!M7/1000</f>
        <v>1.1299999999999999</v>
      </c>
      <c r="F33" s="171"/>
      <c r="H33"/>
      <c r="I33"/>
      <c r="J33"/>
      <c r="K33"/>
      <c r="L33"/>
      <c r="M33"/>
    </row>
    <row r="34" spans="1:13" ht="15">
      <c r="A34" s="172" t="s">
        <v>608</v>
      </c>
      <c r="B34" s="636">
        <f>(PGL_Deliveries!AB5+PGL_Deliveries!AC5+PGL_Deliveries!AD5)/1000</f>
        <v>90.025000000000006</v>
      </c>
      <c r="C34" s="64"/>
      <c r="D34" s="60" t="s">
        <v>197</v>
      </c>
      <c r="E34" s="154">
        <f>PGL_Supplies!AC7/1000</f>
        <v>276.72300000000001</v>
      </c>
      <c r="F34" s="171"/>
      <c r="H34"/>
      <c r="I34"/>
      <c r="J34"/>
      <c r="K34"/>
      <c r="L34"/>
      <c r="M34"/>
    </row>
    <row r="35" spans="1:13" ht="15">
      <c r="A35" s="172" t="s">
        <v>609</v>
      </c>
      <c r="B35" s="60"/>
      <c r="C35" s="64">
        <f>PGL_Deliveries!AC5/1000</f>
        <v>0</v>
      </c>
      <c r="D35" s="60" t="s">
        <v>610</v>
      </c>
      <c r="E35" s="154">
        <v>0</v>
      </c>
      <c r="F35" s="171"/>
      <c r="H35"/>
      <c r="I35"/>
      <c r="J35"/>
      <c r="K35"/>
      <c r="L35"/>
      <c r="M35"/>
    </row>
    <row r="36" spans="1:13" ht="15">
      <c r="A36" s="175" t="s">
        <v>611</v>
      </c>
      <c r="B36" s="68"/>
      <c r="C36" s="484">
        <f>PGL_Deliveries!AB5/1000</f>
        <v>0</v>
      </c>
      <c r="D36" s="174" t="s">
        <v>612</v>
      </c>
      <c r="E36" s="154">
        <f>PGL_Supplies!N7/1000</f>
        <v>0</v>
      </c>
      <c r="F36" s="171"/>
      <c r="H36"/>
      <c r="I36"/>
      <c r="J36"/>
      <c r="K36"/>
      <c r="L36"/>
      <c r="M36"/>
    </row>
    <row r="37" spans="1:13" ht="15">
      <c r="A37" s="173" t="s">
        <v>613</v>
      </c>
      <c r="B37" s="154" t="s">
        <v>11</v>
      </c>
      <c r="C37" s="226">
        <f>PGL_Requirements!P7/1000</f>
        <v>0</v>
      </c>
      <c r="D37" s="251" t="s">
        <v>614</v>
      </c>
      <c r="E37" s="154">
        <f>PGL_Supplies!O7/1000</f>
        <v>0</v>
      </c>
      <c r="F37" s="171"/>
      <c r="H37"/>
      <c r="I37"/>
      <c r="J37"/>
      <c r="K37"/>
      <c r="L37"/>
      <c r="M37"/>
    </row>
    <row r="38" spans="1:13" ht="15">
      <c r="A38" s="173" t="s">
        <v>615</v>
      </c>
      <c r="B38" s="154">
        <f>PGL_Supplies!M7/1000</f>
        <v>1.1299999999999999</v>
      </c>
      <c r="C38" s="64"/>
      <c r="F38" s="171"/>
      <c r="H38"/>
      <c r="I38"/>
      <c r="J38"/>
      <c r="K38"/>
      <c r="L38"/>
      <c r="M38"/>
    </row>
    <row r="39" spans="1:13" ht="15">
      <c r="A39" s="172" t="s">
        <v>616</v>
      </c>
      <c r="B39" s="60"/>
      <c r="C39" s="226">
        <f>PGL_Deliveries!AS5/1000</f>
        <v>0</v>
      </c>
      <c r="D39" s="60"/>
      <c r="E39" s="60"/>
      <c r="F39" s="171"/>
      <c r="G39" s="1" t="s">
        <v>11</v>
      </c>
      <c r="H39"/>
      <c r="I39"/>
      <c r="J39"/>
      <c r="K39"/>
      <c r="L39"/>
      <c r="M39"/>
    </row>
    <row r="40" spans="1:13" ht="16.5" thickBot="1">
      <c r="A40" s="172" t="s">
        <v>209</v>
      </c>
      <c r="B40" s="154">
        <f>PGL_Deliveries!AT5/1000</f>
        <v>1.6719999999999999</v>
      </c>
      <c r="C40" s="64"/>
      <c r="D40" s="212" t="s">
        <v>224</v>
      </c>
      <c r="E40" s="211">
        <f>SUM(E22:E37)-SUM(F23:F39)-E33</f>
        <v>199.35700000000003</v>
      </c>
      <c r="F40" s="167"/>
      <c r="H40"/>
      <c r="I40"/>
      <c r="J40"/>
      <c r="K40"/>
      <c r="L40"/>
      <c r="M40"/>
    </row>
    <row r="41" spans="1:13" ht="15">
      <c r="A41" s="172" t="s">
        <v>216</v>
      </c>
      <c r="B41" s="154">
        <f>PGL_Deliveries!AG5/1000</f>
        <v>0</v>
      </c>
      <c r="C41" s="64"/>
      <c r="D41" s="781" t="s">
        <v>617</v>
      </c>
      <c r="E41" s="808"/>
      <c r="F41" s="176">
        <f>PGL_Requirements!K7/1000</f>
        <v>0</v>
      </c>
      <c r="H41"/>
      <c r="I41"/>
      <c r="J41"/>
      <c r="K41"/>
      <c r="L41"/>
      <c r="M41"/>
    </row>
    <row r="42" spans="1:13" ht="15">
      <c r="A42" s="173" t="s">
        <v>618</v>
      </c>
      <c r="B42" s="154">
        <f>PGL_Deliveries!AF5/1000</f>
        <v>0</v>
      </c>
      <c r="C42" s="64"/>
      <c r="D42" s="251" t="s">
        <v>529</v>
      </c>
      <c r="E42" s="809">
        <f>PGL_Supplies!AB7/1000</f>
        <v>261.98899999999998</v>
      </c>
      <c r="F42" s="171"/>
      <c r="H42"/>
      <c r="I42"/>
      <c r="J42"/>
      <c r="K42"/>
      <c r="L42"/>
      <c r="M42"/>
    </row>
    <row r="43" spans="1:13" ht="15">
      <c r="A43" s="172" t="s">
        <v>619</v>
      </c>
      <c r="B43" s="154">
        <f>PGL_Deliveries!AW5/1000</f>
        <v>0</v>
      </c>
      <c r="C43" s="64"/>
      <c r="D43" s="60" t="s">
        <v>394</v>
      </c>
      <c r="E43" s="809">
        <f>PGL_Supplies!W7/1000</f>
        <v>0</v>
      </c>
      <c r="F43" s="171"/>
      <c r="H43"/>
      <c r="I43"/>
      <c r="J43"/>
      <c r="K43"/>
      <c r="L43"/>
      <c r="M43"/>
    </row>
    <row r="44" spans="1:13" ht="15.75" thickBot="1">
      <c r="A44" s="170" t="s">
        <v>751</v>
      </c>
      <c r="B44" s="210" t="s">
        <v>11</v>
      </c>
      <c r="C44" s="226">
        <f>PGL_Requirements!R7/1000</f>
        <v>0.38</v>
      </c>
      <c r="D44" s="60" t="s">
        <v>532</v>
      </c>
      <c r="E44" s="154"/>
      <c r="F44" s="176">
        <f>(PGL_Requirements!$AF$7+PGL_Requirements!$AG$7+PGL_Requirements!$AH$7+PGL_Requirements!$AI$7)/1000</f>
        <v>0</v>
      </c>
      <c r="H44"/>
      <c r="I44"/>
      <c r="J44"/>
      <c r="K44"/>
      <c r="L44"/>
      <c r="M44"/>
    </row>
    <row r="45" spans="1:13" ht="15">
      <c r="A45" s="444" t="s">
        <v>620</v>
      </c>
      <c r="B45" s="60">
        <f>Weather_Input!B5</f>
        <v>44</v>
      </c>
      <c r="C45" s="185"/>
      <c r="D45" s="60" t="s">
        <v>533</v>
      </c>
      <c r="E45" s="154">
        <f>NSG_Requirements!$AB$7+NSG_Requirements!$AC$7+NSG_Requirements!$AD$7+NSG_Requirements!$AE$7/1000+NSG_Requirements!K7/1000</f>
        <v>0</v>
      </c>
      <c r="F45" s="176"/>
    </row>
    <row r="46" spans="1:13" ht="15">
      <c r="A46" s="172" t="s">
        <v>621</v>
      </c>
      <c r="B46" s="239">
        <f>Weather_Input!C5</f>
        <v>30</v>
      </c>
      <c r="C46" s="162"/>
      <c r="D46" s="60" t="s">
        <v>631</v>
      </c>
      <c r="E46" s="809">
        <f>PGL_Supplies!T7/1000</f>
        <v>0</v>
      </c>
      <c r="F46" s="171"/>
    </row>
    <row r="47" spans="1:13" ht="15">
      <c r="A47" s="173" t="s">
        <v>622</v>
      </c>
      <c r="B47" s="60">
        <f>Weather_Input!E5</f>
        <v>34.1</v>
      </c>
      <c r="C47" s="162"/>
      <c r="D47" s="780" t="s">
        <v>630</v>
      </c>
      <c r="E47" s="68"/>
      <c r="F47" s="810">
        <f>PGL_Deliveries!BE5/1000</f>
        <v>0</v>
      </c>
    </row>
    <row r="48" spans="1:13" ht="15">
      <c r="A48" s="172" t="s">
        <v>623</v>
      </c>
      <c r="B48" s="227">
        <f>Weather_Input!D5</f>
        <v>12.5</v>
      </c>
      <c r="C48" s="162"/>
      <c r="D48" s="251" t="s">
        <v>245</v>
      </c>
      <c r="E48" s="154">
        <f>PGL_Deliveries!AI5/1000</f>
        <v>2.5000000000000001E-2</v>
      </c>
      <c r="F48" s="161"/>
    </row>
    <row r="49" spans="1:6" ht="15">
      <c r="A49" s="172" t="s">
        <v>624</v>
      </c>
      <c r="B49" s="154">
        <f>PGL_Deliveries!AM5/1000</f>
        <v>1.034</v>
      </c>
      <c r="C49" s="162"/>
      <c r="D49" s="60" t="s">
        <v>625</v>
      </c>
      <c r="E49" s="154">
        <f>PGL_Deliveries!AJ5/1000</f>
        <v>4.4610000000000003</v>
      </c>
      <c r="F49" s="161"/>
    </row>
    <row r="50" spans="1:6" ht="15.75" outlineLevel="2" thickBot="1">
      <c r="A50" s="102" t="s">
        <v>626</v>
      </c>
      <c r="B50" s="163"/>
      <c r="C50" s="160"/>
      <c r="D50" s="168" t="s">
        <v>627</v>
      </c>
      <c r="E50" s="210">
        <f>PGL_Deliveries!AK5/1000</f>
        <v>1.0620000000000001</v>
      </c>
      <c r="F50" s="443"/>
    </row>
    <row r="51" spans="1:6" ht="15" outlineLevel="2">
      <c r="A51" s="421" t="s">
        <v>628</v>
      </c>
      <c r="B51"/>
      <c r="C51"/>
      <c r="D51"/>
      <c r="E51"/>
      <c r="F51" s="122"/>
    </row>
    <row r="52" spans="1:6" ht="15" outlineLevel="2">
      <c r="A52" t="s">
        <v>11</v>
      </c>
      <c r="B52"/>
      <c r="C52"/>
      <c r="D52"/>
      <c r="E52"/>
      <c r="F52" s="122"/>
    </row>
    <row r="53" spans="1:6" ht="15" outlineLevel="2">
      <c r="A53" s="122"/>
      <c r="B53" s="122"/>
      <c r="C53"/>
      <c r="D53"/>
      <c r="E53"/>
      <c r="F53" s="122"/>
    </row>
    <row r="54" spans="1:6" ht="15" outlineLevel="2">
      <c r="A54" s="122"/>
      <c r="B54"/>
      <c r="C54"/>
      <c r="D54"/>
      <c r="E54"/>
      <c r="F54" s="122"/>
    </row>
    <row r="55" spans="1:6" ht="15" outlineLevel="2">
      <c r="A55" s="122"/>
      <c r="B55"/>
      <c r="C55"/>
      <c r="D55"/>
      <c r="E55"/>
      <c r="F55" s="122"/>
    </row>
    <row r="56" spans="1:6" ht="15" outlineLevel="2">
      <c r="A56" s="122"/>
      <c r="B56"/>
      <c r="C56"/>
      <c r="D56"/>
      <c r="E56"/>
      <c r="F56" s="122"/>
    </row>
    <row r="57" spans="1:6" ht="15" outlineLevel="2">
      <c r="A57" s="122"/>
      <c r="B57"/>
      <c r="C57"/>
      <c r="D57"/>
      <c r="E57"/>
      <c r="F57" s="122"/>
    </row>
    <row r="58" spans="1:6" ht="15" outlineLevel="1">
      <c r="A58" s="122"/>
      <c r="B58"/>
      <c r="C58"/>
      <c r="D58"/>
      <c r="E58"/>
      <c r="F58" s="122"/>
    </row>
    <row r="59" spans="1:6" ht="15" outlineLevel="2">
      <c r="A59" s="122"/>
      <c r="B59"/>
      <c r="C59"/>
      <c r="D59"/>
      <c r="E59"/>
      <c r="F59" s="122"/>
    </row>
    <row r="60" spans="1:6" ht="15" outlineLevel="1">
      <c r="A60" s="122"/>
      <c r="B60"/>
      <c r="C60"/>
      <c r="D60"/>
      <c r="E60"/>
      <c r="F60" s="122"/>
    </row>
    <row r="61" spans="1:6" ht="15">
      <c r="A61" s="60" t="s">
        <v>11</v>
      </c>
      <c r="B61" s="227" t="s">
        <v>11</v>
      </c>
      <c r="C61" s="122"/>
      <c r="D61" s="122"/>
      <c r="E61" s="122"/>
      <c r="F61" s="122"/>
    </row>
    <row r="62" spans="1:6" ht="15">
      <c r="A62" s="122"/>
      <c r="B62"/>
      <c r="C62"/>
      <c r="D62"/>
      <c r="E62"/>
      <c r="F62"/>
    </row>
    <row r="63" spans="1:6" ht="15">
      <c r="A63" s="122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>
      <selection sqref="A1:F41"/>
    </sheetView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19"/>
    </row>
    <row r="2" spans="1:11" ht="15">
      <c r="A2" s="122" t="s">
        <v>11</v>
      </c>
      <c r="B2" s="135"/>
      <c r="C2"/>
      <c r="D2"/>
      <c r="E2"/>
      <c r="F2"/>
      <c r="G2"/>
      <c r="J2"/>
      <c r="K2"/>
    </row>
    <row r="3" spans="1:11" ht="15.75" thickBot="1">
      <c r="A3" s="1137" t="s">
        <v>5</v>
      </c>
      <c r="B3" s="244">
        <f>NSG_Deliveries!H5/1000</f>
        <v>148.435</v>
      </c>
      <c r="C3" s="120"/>
      <c r="D3" s="230" t="s">
        <v>325</v>
      </c>
      <c r="E3" s="429">
        <f>Weather_Input!A5</f>
        <v>36957</v>
      </c>
      <c r="F3" s="120"/>
      <c r="G3"/>
      <c r="J3"/>
      <c r="K3"/>
    </row>
    <row r="4" spans="1:11" ht="15.75" thickTop="1">
      <c r="A4" s="249"/>
      <c r="B4" s="242"/>
      <c r="C4" s="132"/>
      <c r="D4" s="162"/>
      <c r="E4" s="162"/>
      <c r="F4" s="126"/>
      <c r="G4"/>
      <c r="J4"/>
      <c r="K4"/>
    </row>
    <row r="5" spans="1:11" ht="15">
      <c r="A5" s="250" t="s">
        <v>178</v>
      </c>
      <c r="B5" s="243">
        <f>NSG_Deliveries!E5/1000</f>
        <v>83.013000000000005</v>
      </c>
      <c r="C5" s="146"/>
      <c r="D5" s="222" t="s">
        <v>327</v>
      </c>
      <c r="E5" s="217">
        <f>NSG_Deliveries!D5/1000</f>
        <v>50.345999999999997</v>
      </c>
      <c r="F5" s="213"/>
      <c r="G5"/>
      <c r="J5"/>
      <c r="K5"/>
    </row>
    <row r="6" spans="1:11" ht="15" customHeight="1">
      <c r="A6" s="249"/>
      <c r="B6" s="242"/>
      <c r="C6" s="132"/>
      <c r="D6" s="162"/>
      <c r="E6" s="162"/>
      <c r="F6" s="127"/>
      <c r="G6"/>
    </row>
    <row r="7" spans="1:11" ht="15" customHeight="1">
      <c r="A7" s="250" t="s">
        <v>328</v>
      </c>
      <c r="B7" s="217">
        <f>NSG_Deliveries!G5/1000</f>
        <v>0</v>
      </c>
      <c r="C7" s="820"/>
      <c r="D7" s="222" t="s">
        <v>329</v>
      </c>
      <c r="E7" s="217">
        <f>NSG_Supplies!U7/1000</f>
        <v>0</v>
      </c>
      <c r="F7" s="115"/>
      <c r="G7"/>
    </row>
    <row r="8" spans="1:11" ht="15" customHeight="1">
      <c r="A8" s="237" t="s">
        <v>224</v>
      </c>
      <c r="B8" s="217">
        <f>B5+B7</f>
        <v>83.013000000000005</v>
      </c>
      <c r="C8" s="161"/>
      <c r="D8" s="821" t="s">
        <v>649</v>
      </c>
      <c r="E8" s="815">
        <f>NSG_Deliveries!F5/1000</f>
        <v>15.076000000000001</v>
      </c>
      <c r="F8" s="814"/>
      <c r="G8"/>
    </row>
    <row r="9" spans="1:11" ht="15" customHeight="1">
      <c r="A9" s="245" t="s">
        <v>324</v>
      </c>
      <c r="B9" s="218" t="s">
        <v>11</v>
      </c>
      <c r="C9" s="134">
        <f>NSG_Requirements!L7/1000</f>
        <v>0</v>
      </c>
      <c r="D9" s="1" t="s">
        <v>639</v>
      </c>
      <c r="E9" s="816" t="s">
        <v>11</v>
      </c>
      <c r="F9" s="1042">
        <f>NSG_Deliveries!M5/1000</f>
        <v>4.9240000000000004</v>
      </c>
      <c r="G9" s="122"/>
    </row>
    <row r="10" spans="1:11" ht="15" customHeight="1">
      <c r="A10" s="128" t="s">
        <v>331</v>
      </c>
      <c r="B10" s="219">
        <f>NSG_Supplies!H7/1000</f>
        <v>0</v>
      </c>
      <c r="C10" s="133"/>
      <c r="D10" s="1044" t="s">
        <v>640</v>
      </c>
      <c r="E10" s="446">
        <f>NSG_Deliveries!N5/1000</f>
        <v>0</v>
      </c>
      <c r="F10" s="817"/>
      <c r="G10"/>
    </row>
    <row r="11" spans="1:11" ht="15" customHeight="1" thickBot="1">
      <c r="A11" s="131" t="s">
        <v>332</v>
      </c>
      <c r="B11" s="427" t="s">
        <v>11</v>
      </c>
      <c r="C11" s="428"/>
      <c r="D11" s="170" t="s">
        <v>650</v>
      </c>
      <c r="E11" s="818">
        <f>NSG_Supplies!Q7/1000</f>
        <v>20</v>
      </c>
      <c r="F11" s="819"/>
      <c r="G11"/>
    </row>
    <row r="12" spans="1:11" ht="15" customHeight="1">
      <c r="A12" s="128" t="s">
        <v>395</v>
      </c>
      <c r="B12" s="219">
        <v>0</v>
      </c>
      <c r="C12" s="132"/>
      <c r="D12" t="s">
        <v>330</v>
      </c>
      <c r="E12" s="242"/>
      <c r="F12" s="799">
        <f>NSG_Requirements!K7/1000+NSG_Requirements!L7/1000+NSG_Requirements!M7/1000+NSG_Requirements!N7/1000</f>
        <v>0</v>
      </c>
      <c r="G12"/>
    </row>
    <row r="13" spans="1:11" ht="15" customHeight="1">
      <c r="A13" s="128" t="s">
        <v>335</v>
      </c>
      <c r="B13" s="219">
        <f>NSG_Supplies!R7/1000</f>
        <v>103.63200000000001</v>
      </c>
      <c r="C13" s="132"/>
      <c r="D13" s="247" t="s">
        <v>333</v>
      </c>
      <c r="E13" s="240"/>
      <c r="F13" s="248"/>
      <c r="G13"/>
    </row>
    <row r="14" spans="1:11" ht="15" customHeight="1">
      <c r="A14" s="128" t="s">
        <v>194</v>
      </c>
      <c r="B14" s="219">
        <f>NSG_Supplies!C7/1000</f>
        <v>0</v>
      </c>
      <c r="C14" s="132"/>
      <c r="D14" s="214" t="s">
        <v>334</v>
      </c>
      <c r="E14" s="246" t="s">
        <v>11</v>
      </c>
      <c r="F14" s="129">
        <f>NSG_Requirements!M7/1000</f>
        <v>0</v>
      </c>
    </row>
    <row r="15" spans="1:11" ht="15" customHeight="1">
      <c r="A15" s="130" t="s">
        <v>337</v>
      </c>
      <c r="B15" s="214"/>
      <c r="C15" s="134">
        <f>NSG_Deliveries!K5/1000</f>
        <v>20.619</v>
      </c>
      <c r="D15" s="238" t="s">
        <v>336</v>
      </c>
      <c r="E15" s="773">
        <f>+NSG_Supplies!O7/1000</f>
        <v>0</v>
      </c>
      <c r="F15" s="215"/>
    </row>
    <row r="16" spans="1:11" ht="15" customHeight="1" thickBot="1">
      <c r="A16" s="130" t="s">
        <v>338</v>
      </c>
      <c r="B16" s="446">
        <f>NSG_Deliveries!L5/1000</f>
        <v>0</v>
      </c>
      <c r="C16" s="1043"/>
      <c r="D16" s="829" t="s">
        <v>243</v>
      </c>
      <c r="E16" s="236" t="s">
        <v>11</v>
      </c>
      <c r="F16" s="129">
        <f>NSG_Requirements!X7/1000</f>
        <v>0</v>
      </c>
    </row>
    <row r="17" spans="1:8" ht="15" customHeight="1" thickBot="1">
      <c r="A17" s="128" t="s">
        <v>339</v>
      </c>
      <c r="B17" s="214"/>
      <c r="C17" s="134">
        <f>NSG_Requirements!P7/1000</f>
        <v>0</v>
      </c>
      <c r="D17" s="431" t="s">
        <v>340</v>
      </c>
      <c r="E17" s="430"/>
      <c r="F17" s="432"/>
    </row>
    <row r="18" spans="1:8" ht="15" customHeight="1">
      <c r="A18" s="128" t="s">
        <v>341</v>
      </c>
      <c r="B18" s="219">
        <f>NSG_Supplies!I7/1000</f>
        <v>0</v>
      </c>
      <c r="C18" s="132"/>
      <c r="D18" s="64" t="s">
        <v>342</v>
      </c>
      <c r="E18" s="162"/>
      <c r="F18" s="129">
        <f>NSG_Requirements!N7/1000</f>
        <v>0</v>
      </c>
    </row>
    <row r="19" spans="1:8" ht="15" customHeight="1">
      <c r="A19" s="130" t="s">
        <v>496</v>
      </c>
      <c r="B19" s="446">
        <f>PGL_Requirements!Y7/1000+PGL_Requirements!AB7/1000</f>
        <v>0</v>
      </c>
      <c r="C19" s="445"/>
      <c r="D19" s="232" t="s">
        <v>343</v>
      </c>
      <c r="E19" s="162"/>
      <c r="F19" s="129">
        <f>NSG_Requirements!S7/1000</f>
        <v>0</v>
      </c>
    </row>
    <row r="20" spans="1:8" ht="15" customHeight="1">
      <c r="A20" s="130" t="s">
        <v>344</v>
      </c>
      <c r="B20" s="446">
        <f>PGL_Requirements!Z7/1000</f>
        <v>0</v>
      </c>
      <c r="C20" s="445" t="s">
        <v>11</v>
      </c>
      <c r="D20" s="214" t="s">
        <v>345</v>
      </c>
      <c r="E20" s="162"/>
      <c r="F20" s="129">
        <f>NSG_Requirements!O7/1000</f>
        <v>0</v>
      </c>
    </row>
    <row r="21" spans="1:8" ht="15" customHeight="1">
      <c r="A21" s="130" t="s">
        <v>525</v>
      </c>
      <c r="B21" s="446">
        <f>PGL_Requirements!AA7/1000</f>
        <v>0</v>
      </c>
      <c r="C21" s="445"/>
      <c r="D21" s="223" t="s">
        <v>346</v>
      </c>
      <c r="E21" s="219">
        <f>NSG_Supplies!L7/1000</f>
        <v>50</v>
      </c>
      <c r="F21" s="144"/>
    </row>
    <row r="22" spans="1:8" ht="15" customHeight="1">
      <c r="A22" s="128" t="s">
        <v>326</v>
      </c>
      <c r="B22" s="214"/>
      <c r="C22" s="134">
        <f>NSG_Requirements!C7/1000</f>
        <v>0</v>
      </c>
      <c r="D22" s="223" t="s">
        <v>370</v>
      </c>
      <c r="E22" s="219">
        <f>NSG_Supplies!M7/1000</f>
        <v>0</v>
      </c>
      <c r="F22" s="144"/>
    </row>
    <row r="23" spans="1:8" ht="15" customHeight="1">
      <c r="A23" s="128" t="s">
        <v>347</v>
      </c>
      <c r="B23" s="214"/>
      <c r="C23" s="134">
        <f>NSG_Requirements!R7/1000</f>
        <v>0</v>
      </c>
      <c r="D23" s="223" t="s">
        <v>348</v>
      </c>
      <c r="E23" s="219">
        <f>PGL_Supplies!S7/1000</f>
        <v>0</v>
      </c>
      <c r="F23" s="129" t="s">
        <v>11</v>
      </c>
    </row>
    <row r="24" spans="1:8" ht="15" customHeight="1">
      <c r="A24" s="128" t="s">
        <v>349</v>
      </c>
      <c r="B24" s="219">
        <f>NSG_Supplies!K7/1000</f>
        <v>0</v>
      </c>
      <c r="C24" s="132"/>
      <c r="D24" s="231" t="s">
        <v>350</v>
      </c>
      <c r="E24" s="224">
        <f>NSG_Supplies!P7/1000</f>
        <v>0</v>
      </c>
      <c r="F24" s="127"/>
    </row>
    <row r="25" spans="1:8" ht="15" customHeight="1">
      <c r="A25" s="130" t="s">
        <v>351</v>
      </c>
      <c r="B25" s="214"/>
      <c r="C25" s="134">
        <f>NSG_Requirements!Q7/1000</f>
        <v>0</v>
      </c>
      <c r="D25" s="231" t="s">
        <v>352</v>
      </c>
      <c r="E25" s="219">
        <f>PGL_Requirements!V71/1000</f>
        <v>0</v>
      </c>
      <c r="F25" s="118"/>
    </row>
    <row r="26" spans="1:8" ht="15" customHeight="1">
      <c r="A26" s="145" t="s">
        <v>353</v>
      </c>
      <c r="B26" s="220">
        <f>NSG_Supplies!J7/1000</f>
        <v>0</v>
      </c>
      <c r="C26" s="146"/>
      <c r="D26" s="774" t="s">
        <v>354</v>
      </c>
      <c r="E26" s="778"/>
      <c r="F26" s="129">
        <f>NSG_Requirements!D7/1000</f>
        <v>0</v>
      </c>
    </row>
    <row r="27" spans="1:8" ht="15" customHeight="1" thickBot="1">
      <c r="A27" s="147" t="s">
        <v>224</v>
      </c>
      <c r="B27" s="221">
        <f>SUM(B9:B26)-SUM(C9:C26)</f>
        <v>83.013000000000005</v>
      </c>
      <c r="C27" s="148"/>
      <c r="D27" s="241" t="s">
        <v>355</v>
      </c>
      <c r="E27" s="221">
        <f>SUM(E18:E26)-SUM(F18:F26)</f>
        <v>50</v>
      </c>
      <c r="F27" s="149"/>
      <c r="H27" s="1" t="s">
        <v>11</v>
      </c>
    </row>
    <row r="28" spans="1:8" ht="15" customHeight="1" thickTop="1">
      <c r="A28" s="164" t="s">
        <v>396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4" t="s">
        <v>11</v>
      </c>
    </row>
    <row r="2" spans="1:3" ht="15.75">
      <c r="C2" s="96" t="s">
        <v>356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2" max="2" width="8.88671875" style="801"/>
  </cols>
  <sheetData>
    <row r="1" spans="2:7">
      <c r="E1" s="801" t="s">
        <v>11</v>
      </c>
    </row>
    <row r="2" spans="2:7">
      <c r="B2" s="930" t="s">
        <v>11</v>
      </c>
      <c r="C2" s="930" t="s">
        <v>11</v>
      </c>
      <c r="D2" s="930" t="s">
        <v>172</v>
      </c>
      <c r="E2" s="930" t="s">
        <v>11</v>
      </c>
      <c r="F2" s="930" t="s">
        <v>172</v>
      </c>
      <c r="G2" s="930" t="s">
        <v>11</v>
      </c>
    </row>
    <row r="4" spans="2:7">
      <c r="B4" s="931" t="s">
        <v>172</v>
      </c>
    </row>
    <row r="6" spans="2:7">
      <c r="B6" s="930" t="s">
        <v>11</v>
      </c>
    </row>
    <row r="7" spans="2:7">
      <c r="B7" s="930"/>
    </row>
    <row r="8" spans="2:7">
      <c r="B8" s="930" t="s">
        <v>11</v>
      </c>
    </row>
    <row r="9" spans="2:7">
      <c r="B9" s="930"/>
    </row>
    <row r="10" spans="2:7">
      <c r="B10" s="930" t="s">
        <v>11</v>
      </c>
    </row>
    <row r="11" spans="2:7">
      <c r="B11" s="930" t="s">
        <v>11</v>
      </c>
    </row>
    <row r="12" spans="2:7">
      <c r="B12" s="930" t="s">
        <v>11</v>
      </c>
    </row>
    <row r="13" spans="2:7">
      <c r="B13" s="930"/>
    </row>
    <row r="14" spans="2:7">
      <c r="B14" s="930" t="s">
        <v>11</v>
      </c>
    </row>
    <row r="15" spans="2:7">
      <c r="B15" s="930"/>
    </row>
    <row r="16" spans="2:7">
      <c r="B16" s="930" t="s">
        <v>11</v>
      </c>
    </row>
    <row r="17" spans="2:5">
      <c r="B17" s="930"/>
    </row>
    <row r="18" spans="2:5">
      <c r="B18" s="930" t="s">
        <v>11</v>
      </c>
    </row>
    <row r="19" spans="2:5">
      <c r="B19" s="930"/>
    </row>
    <row r="20" spans="2:5">
      <c r="B20" s="930" t="s">
        <v>11</v>
      </c>
    </row>
    <row r="21" spans="2:5">
      <c r="B21" s="930"/>
    </row>
    <row r="22" spans="2:5">
      <c r="B22" s="930" t="s">
        <v>11</v>
      </c>
    </row>
    <row r="24" spans="2:5">
      <c r="B24" s="930" t="s">
        <v>11</v>
      </c>
    </row>
    <row r="25" spans="2:5">
      <c r="E25" s="930" t="s">
        <v>11</v>
      </c>
    </row>
    <row r="27" spans="2:5">
      <c r="B27" s="930" t="s">
        <v>11</v>
      </c>
    </row>
    <row r="29" spans="2:5">
      <c r="B29" s="930" t="s">
        <v>11</v>
      </c>
    </row>
    <row r="30" spans="2:5">
      <c r="B30" s="930"/>
    </row>
    <row r="31" spans="2:5">
      <c r="B31" s="930" t="s">
        <v>11</v>
      </c>
    </row>
    <row r="32" spans="2:5">
      <c r="B32" s="930"/>
    </row>
    <row r="33" spans="2:2">
      <c r="B33" s="930" t="s">
        <v>11</v>
      </c>
    </row>
    <row r="34" spans="2:2">
      <c r="B34" s="930"/>
    </row>
    <row r="35" spans="2:2">
      <c r="B35" s="930" t="s">
        <v>11</v>
      </c>
    </row>
    <row r="36" spans="2:2">
      <c r="B36" s="930"/>
    </row>
    <row r="37" spans="2:2">
      <c r="B37" s="930" t="s">
        <v>11</v>
      </c>
    </row>
    <row r="38" spans="2:2">
      <c r="B38" s="930"/>
    </row>
    <row r="39" spans="2:2">
      <c r="B39" s="930" t="s">
        <v>11</v>
      </c>
    </row>
    <row r="40" spans="2:2">
      <c r="B40" s="930"/>
    </row>
    <row r="41" spans="2:2">
      <c r="B41" s="930" t="s">
        <v>11</v>
      </c>
    </row>
    <row r="42" spans="2:2">
      <c r="B42" s="930"/>
    </row>
    <row r="43" spans="2:2">
      <c r="B43" s="930" t="s">
        <v>11</v>
      </c>
    </row>
    <row r="44" spans="2:2">
      <c r="B44" s="930"/>
    </row>
    <row r="45" spans="2:2">
      <c r="B45" s="930" t="s">
        <v>11</v>
      </c>
    </row>
    <row r="47" spans="2:2">
      <c r="B47" s="930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41"/>
    <col min="2" max="16384" width="8.88671875" style="138"/>
  </cols>
  <sheetData>
    <row r="1" spans="1:131" ht="15.75">
      <c r="A1" s="136"/>
      <c r="B1" s="137"/>
      <c r="D1" s="139"/>
    </row>
    <row r="2" spans="1:131" ht="15.75">
      <c r="A2" s="140"/>
      <c r="G2" s="137"/>
    </row>
    <row r="3" spans="1:131" ht="15">
      <c r="DZ3"/>
      <c r="EA3" s="152"/>
    </row>
    <row r="5" spans="1:131" ht="15.75">
      <c r="A5" s="142"/>
      <c r="B5" s="137"/>
    </row>
    <row r="6" spans="1:131">
      <c r="A6" s="143"/>
    </row>
    <row r="7" spans="1:131">
      <c r="A7" s="143"/>
    </row>
    <row r="8" spans="1:131">
      <c r="A8" s="143"/>
    </row>
    <row r="9" spans="1:131">
      <c r="A9" s="143" t="s">
        <v>11</v>
      </c>
      <c r="C9" s="929"/>
    </row>
    <row r="10" spans="1:131">
      <c r="A10" s="143"/>
    </row>
    <row r="11" spans="1:131">
      <c r="A11" s="143"/>
    </row>
    <row r="12" spans="1:131">
      <c r="A12" s="143"/>
    </row>
    <row r="13" spans="1:131">
      <c r="A13" s="143"/>
    </row>
    <row r="14" spans="1:131">
      <c r="A14" s="143"/>
      <c r="C14" s="138" t="s">
        <v>11</v>
      </c>
      <c r="D14" s="138" t="s">
        <v>11</v>
      </c>
    </row>
    <row r="15" spans="1:131">
      <c r="A15" s="143"/>
    </row>
    <row r="16" spans="1:131">
      <c r="A16" s="143"/>
    </row>
    <row r="17" spans="1:1">
      <c r="A17" s="143"/>
    </row>
    <row r="18" spans="1:1">
      <c r="A18" s="143"/>
    </row>
    <row r="19" spans="1:1">
      <c r="A19" s="143"/>
    </row>
    <row r="20" spans="1:1">
      <c r="A20" s="143"/>
    </row>
    <row r="21" spans="1:1">
      <c r="A21" s="143"/>
    </row>
    <row r="22" spans="1:1">
      <c r="A22" s="143"/>
    </row>
    <row r="23" spans="1:1">
      <c r="A23" s="143"/>
    </row>
    <row r="24" spans="1:1">
      <c r="A24" s="143"/>
    </row>
    <row r="25" spans="1:1">
      <c r="A25" s="143"/>
    </row>
    <row r="26" spans="1:1">
      <c r="A26" s="143"/>
    </row>
    <row r="27" spans="1:1">
      <c r="A27" s="143"/>
    </row>
    <row r="28" spans="1:1">
      <c r="A28" s="143"/>
    </row>
    <row r="29" spans="1:1">
      <c r="A29" s="143"/>
    </row>
    <row r="30" spans="1:1">
      <c r="A30" s="143"/>
    </row>
    <row r="31" spans="1:1">
      <c r="A31" s="143"/>
    </row>
    <row r="32" spans="1:1">
      <c r="A32" s="143"/>
    </row>
    <row r="33" spans="1:1">
      <c r="A33" s="143"/>
    </row>
    <row r="34" spans="1:1">
      <c r="A34" s="143"/>
    </row>
    <row r="35" spans="1:1">
      <c r="A35" s="143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357</v>
      </c>
      <c r="B1" s="51">
        <f>Weather_Input!A5</f>
        <v>36957</v>
      </c>
      <c r="C1" s="4"/>
    </row>
    <row r="2" spans="1:19">
      <c r="A2" s="111" t="s">
        <v>358</v>
      </c>
      <c r="B2" s="4"/>
      <c r="C2" s="4"/>
    </row>
    <row r="3" spans="1:19" ht="15.75">
      <c r="B3" s="206" t="s">
        <v>68</v>
      </c>
      <c r="C3" s="97"/>
      <c r="D3" s="6"/>
      <c r="E3" s="6"/>
      <c r="F3" s="6"/>
      <c r="G3" s="199"/>
      <c r="H3" s="97" t="s">
        <v>69</v>
      </c>
      <c r="I3" s="97"/>
      <c r="J3" s="6"/>
      <c r="K3" s="6"/>
      <c r="L3" s="6"/>
      <c r="M3" s="199"/>
      <c r="N3" s="97" t="s">
        <v>37</v>
      </c>
      <c r="O3" s="6"/>
      <c r="P3" s="6"/>
      <c r="Q3" s="6"/>
      <c r="R3" s="6"/>
      <c r="S3" s="6"/>
    </row>
    <row r="4" spans="1:19">
      <c r="B4" s="207" t="s">
        <v>359</v>
      </c>
      <c r="C4" s="202"/>
      <c r="D4" s="198" t="s">
        <v>360</v>
      </c>
      <c r="E4" s="198" t="s">
        <v>360</v>
      </c>
      <c r="F4" s="6" t="s">
        <v>361</v>
      </c>
      <c r="G4" s="199"/>
      <c r="H4" s="6" t="s">
        <v>359</v>
      </c>
      <c r="I4" s="6"/>
      <c r="J4" s="198" t="s">
        <v>360</v>
      </c>
      <c r="K4" s="198" t="s">
        <v>360</v>
      </c>
      <c r="L4" s="6" t="s">
        <v>361</v>
      </c>
      <c r="M4" s="199"/>
      <c r="N4" s="6" t="s">
        <v>359</v>
      </c>
      <c r="O4" s="6"/>
      <c r="P4" s="198" t="s">
        <v>360</v>
      </c>
      <c r="Q4" s="198" t="s">
        <v>360</v>
      </c>
      <c r="R4" s="6" t="s">
        <v>361</v>
      </c>
      <c r="S4" s="6"/>
    </row>
    <row r="5" spans="1:19">
      <c r="A5" s="105"/>
      <c r="B5" s="208" t="s">
        <v>362</v>
      </c>
      <c r="C5" s="203" t="s">
        <v>363</v>
      </c>
      <c r="D5" s="200" t="s">
        <v>364</v>
      </c>
      <c r="E5" s="200" t="s">
        <v>365</v>
      </c>
      <c r="F5" s="200" t="s">
        <v>362</v>
      </c>
      <c r="G5" s="201" t="s">
        <v>363</v>
      </c>
      <c r="H5" s="200" t="s">
        <v>362</v>
      </c>
      <c r="I5" s="200" t="s">
        <v>363</v>
      </c>
      <c r="J5" s="200" t="s">
        <v>364</v>
      </c>
      <c r="K5" s="200" t="s">
        <v>365</v>
      </c>
      <c r="L5" s="200" t="s">
        <v>362</v>
      </c>
      <c r="M5" s="201" t="s">
        <v>363</v>
      </c>
      <c r="N5" s="200" t="s">
        <v>362</v>
      </c>
      <c r="O5" s="200" t="s">
        <v>363</v>
      </c>
      <c r="P5" s="200" t="s">
        <v>364</v>
      </c>
      <c r="Q5" s="200" t="s">
        <v>365</v>
      </c>
      <c r="R5" s="200" t="s">
        <v>362</v>
      </c>
      <c r="S5" s="200" t="s">
        <v>363</v>
      </c>
    </row>
    <row r="6" spans="1:19">
      <c r="A6" s="4">
        <f>B1-1</f>
        <v>36956</v>
      </c>
      <c r="B6" s="100" t="e">
        <v>#REF!</v>
      </c>
      <c r="C6" s="204" t="e">
        <v>#REF!</v>
      </c>
      <c r="D6" s="204" t="e">
        <v>#REF!</v>
      </c>
      <c r="E6" s="204" t="e">
        <v>#REF!</v>
      </c>
      <c r="F6" s="204" t="e">
        <v>#REF!</v>
      </c>
      <c r="G6" s="204" t="e">
        <v>#REF!</v>
      </c>
      <c r="H6" s="204" t="e">
        <v>#REF!</v>
      </c>
      <c r="I6" s="204" t="e">
        <v>#REF!</v>
      </c>
      <c r="J6" s="204" t="e">
        <v>#REF!</v>
      </c>
      <c r="K6" s="204" t="e">
        <v>#REF!</v>
      </c>
      <c r="L6" s="204" t="e">
        <v>#REF!</v>
      </c>
      <c r="M6" s="204" t="e">
        <v>#REF!</v>
      </c>
      <c r="N6" s="204">
        <v>206274</v>
      </c>
      <c r="O6" s="204">
        <v>0</v>
      </c>
      <c r="P6" s="204">
        <v>33833426</v>
      </c>
      <c r="Q6" s="204">
        <v>15045098</v>
      </c>
      <c r="R6" s="204">
        <v>18788328</v>
      </c>
      <c r="S6" s="204">
        <v>0</v>
      </c>
    </row>
    <row r="7" spans="1:19">
      <c r="A7" s="4">
        <f>B1</f>
        <v>36957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5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1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1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269087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34102513</v>
      </c>
      <c r="Q7">
        <f>IF(O7&gt;0,Q6+O7,Q6)</f>
        <v>15045098</v>
      </c>
      <c r="R7">
        <f>IF(P7&gt;Q7,P7-Q7,0)</f>
        <v>19057415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366</v>
      </c>
      <c r="C1" s="3" t="s">
        <v>367</v>
      </c>
      <c r="D1" s="9" t="s">
        <v>368</v>
      </c>
    </row>
    <row r="2" spans="1:4">
      <c r="B2" s="3" t="s">
        <v>369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topLeftCell="AD1" zoomScale="75" workbookViewId="0">
      <selection activeCell="AO6" sqref="AO6"/>
    </sheetView>
  </sheetViews>
  <sheetFormatPr defaultRowHeight="15"/>
  <cols>
    <col min="2" max="2" width="4.33203125" customWidth="1"/>
    <col min="3" max="3" width="8" customWidth="1"/>
    <col min="4" max="4" width="6.77734375" customWidth="1"/>
    <col min="5" max="18" width="7.88671875" customWidth="1"/>
    <col min="19" max="20" width="9.5546875" customWidth="1"/>
    <col min="21" max="34" width="7.88671875" customWidth="1"/>
    <col min="40" max="40" width="4.77734375" customWidth="1"/>
    <col min="41" max="50" width="7.88671875" customWidth="1"/>
    <col min="51" max="51" width="4.77734375" customWidth="1"/>
    <col min="56" max="56" width="4.77734375" customWidth="1"/>
  </cols>
  <sheetData>
    <row r="1" spans="1:92">
      <c r="A1" s="233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9" t="s">
        <v>737</v>
      </c>
      <c r="BE1" t="s">
        <v>738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7" t="s">
        <v>38</v>
      </c>
      <c r="AF2" s="157"/>
      <c r="AG2" s="157" t="s">
        <v>38</v>
      </c>
      <c r="AH2" s="109" t="s">
        <v>11</v>
      </c>
      <c r="AO2" s="433"/>
      <c r="AP2" s="433"/>
      <c r="AQ2" s="433"/>
      <c r="AR2" s="433"/>
      <c r="AS2" s="433"/>
      <c r="AT2" s="433"/>
      <c r="AU2" s="433" t="s">
        <v>11</v>
      </c>
      <c r="AV2" s="433"/>
      <c r="AW2" s="433"/>
      <c r="AX2" s="433"/>
      <c r="AZ2" s="198" t="s">
        <v>38</v>
      </c>
      <c r="BA2" t="s">
        <v>734</v>
      </c>
      <c r="BC2" t="s">
        <v>735</v>
      </c>
      <c r="BE2" s="1096">
        <v>1</v>
      </c>
      <c r="BF2" s="198" t="s">
        <v>735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6" t="s">
        <v>42</v>
      </c>
      <c r="H3" s="3" t="s">
        <v>43</v>
      </c>
      <c r="I3" s="3" t="s">
        <v>43</v>
      </c>
      <c r="J3" s="3" t="s">
        <v>43</v>
      </c>
      <c r="K3" s="3" t="s">
        <v>408</v>
      </c>
      <c r="L3" s="3" t="s">
        <v>44</v>
      </c>
      <c r="M3" s="3" t="s">
        <v>44</v>
      </c>
      <c r="N3" s="156" t="s">
        <v>45</v>
      </c>
      <c r="O3" s="3" t="s">
        <v>46</v>
      </c>
      <c r="P3" s="3" t="s">
        <v>47</v>
      </c>
      <c r="R3" s="3"/>
      <c r="S3" s="3"/>
      <c r="T3" s="3" t="s">
        <v>408</v>
      </c>
      <c r="U3" s="3" t="s">
        <v>15</v>
      </c>
      <c r="V3" s="3"/>
      <c r="W3" s="111"/>
      <c r="X3" s="1"/>
      <c r="Y3" s="1" t="s">
        <v>530</v>
      </c>
      <c r="Z3" s="1"/>
      <c r="AA3" s="1"/>
      <c r="AB3" s="3" t="s">
        <v>48</v>
      </c>
      <c r="AC3" s="156" t="s">
        <v>37</v>
      </c>
      <c r="AD3" s="3" t="s">
        <v>37</v>
      </c>
      <c r="AE3" s="3" t="s">
        <v>49</v>
      </c>
      <c r="AF3" s="156" t="s">
        <v>49</v>
      </c>
      <c r="AG3" s="3" t="s">
        <v>50</v>
      </c>
      <c r="AH3" s="3" t="s">
        <v>50</v>
      </c>
      <c r="AI3" s="156" t="s">
        <v>51</v>
      </c>
      <c r="AJ3" s="156" t="s">
        <v>52</v>
      </c>
      <c r="AK3" s="156" t="s">
        <v>53</v>
      </c>
      <c r="AL3" s="156" t="s">
        <v>54</v>
      </c>
      <c r="AM3" s="155" t="s">
        <v>55</v>
      </c>
      <c r="AO3" s="796" t="s">
        <v>716</v>
      </c>
      <c r="AP3" s="1076"/>
      <c r="AQ3" s="796" t="s">
        <v>717</v>
      </c>
      <c r="AR3" s="1076"/>
      <c r="AS3" s="796" t="s">
        <v>718</v>
      </c>
      <c r="AT3" s="1076"/>
      <c r="AU3" s="433" t="s">
        <v>184</v>
      </c>
      <c r="AV3" s="433" t="s">
        <v>184</v>
      </c>
      <c r="AW3" s="433"/>
      <c r="AX3" s="433" t="s">
        <v>184</v>
      </c>
      <c r="AZ3" s="122" t="s">
        <v>732</v>
      </c>
      <c r="BA3" s="122"/>
      <c r="BB3" s="162"/>
      <c r="BC3" s="122" t="s">
        <v>43</v>
      </c>
      <c r="BE3" s="1096" t="s">
        <v>531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409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405</v>
      </c>
      <c r="U4" s="3" t="s">
        <v>56</v>
      </c>
      <c r="V4" s="3" t="s">
        <v>752</v>
      </c>
      <c r="W4" s="3" t="s">
        <v>68</v>
      </c>
      <c r="X4" s="3" t="s">
        <v>69</v>
      </c>
      <c r="Y4" s="3" t="s">
        <v>576</v>
      </c>
      <c r="Z4" s="3" t="s">
        <v>577</v>
      </c>
      <c r="AA4" s="3" t="s">
        <v>785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6" t="s">
        <v>73</v>
      </c>
      <c r="AJ4" s="156" t="s">
        <v>74</v>
      </c>
      <c r="AK4" s="156" t="s">
        <v>74</v>
      </c>
      <c r="AL4" s="156" t="s">
        <v>75</v>
      </c>
      <c r="AM4" s="156" t="s">
        <v>76</v>
      </c>
      <c r="AN4" s="1"/>
      <c r="AO4" s="1075" t="s">
        <v>714</v>
      </c>
      <c r="AP4" s="3" t="s">
        <v>715</v>
      </c>
      <c r="AQ4" s="3" t="s">
        <v>714</v>
      </c>
      <c r="AR4" s="3" t="s">
        <v>715</v>
      </c>
      <c r="AS4" s="3" t="s">
        <v>714</v>
      </c>
      <c r="AT4" s="3" t="s">
        <v>715</v>
      </c>
      <c r="AU4" s="433" t="s">
        <v>203</v>
      </c>
      <c r="AV4" s="433" t="s">
        <v>750</v>
      </c>
      <c r="AW4" s="433" t="s">
        <v>212</v>
      </c>
      <c r="AX4" s="433" t="s">
        <v>713</v>
      </c>
      <c r="AY4" s="1"/>
      <c r="AZ4" s="1097" t="s">
        <v>42</v>
      </c>
      <c r="BA4" s="1098" t="s">
        <v>43</v>
      </c>
      <c r="BB4" s="1099" t="s">
        <v>731</v>
      </c>
      <c r="BC4" s="1099" t="s">
        <v>736</v>
      </c>
      <c r="BE4" s="198" t="s">
        <v>405</v>
      </c>
      <c r="BF4" s="198" t="s">
        <v>733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36957</v>
      </c>
      <c r="B5" s="1">
        <f>(Weather_Input!B5+Weather_Input!C5)/2</f>
        <v>37</v>
      </c>
      <c r="C5" s="913">
        <v>955000</v>
      </c>
      <c r="D5" s="914">
        <v>0</v>
      </c>
      <c r="E5" s="914">
        <v>0</v>
      </c>
      <c r="F5" s="914">
        <v>35386</v>
      </c>
      <c r="G5" s="914">
        <v>20</v>
      </c>
      <c r="H5" s="914">
        <v>3997</v>
      </c>
      <c r="I5" s="914">
        <v>752481</v>
      </c>
      <c r="J5" s="914">
        <v>0</v>
      </c>
      <c r="K5" s="914">
        <v>136845</v>
      </c>
      <c r="L5" s="914">
        <v>5039</v>
      </c>
      <c r="M5" s="914">
        <v>4573</v>
      </c>
      <c r="N5" s="914">
        <v>399</v>
      </c>
      <c r="O5" s="914">
        <v>0</v>
      </c>
      <c r="P5" s="914">
        <v>937</v>
      </c>
      <c r="Q5" s="914">
        <v>283</v>
      </c>
      <c r="R5" s="914">
        <v>6853</v>
      </c>
      <c r="S5" s="919">
        <v>5000</v>
      </c>
      <c r="T5" s="1163">
        <v>0</v>
      </c>
      <c r="U5" s="913">
        <f>SUM(D5:S5)-T5</f>
        <v>951813</v>
      </c>
      <c r="V5" s="913">
        <v>258217</v>
      </c>
      <c r="W5" s="11">
        <v>69922</v>
      </c>
      <c r="X5" s="11">
        <v>137079</v>
      </c>
      <c r="Y5" s="11">
        <v>0</v>
      </c>
      <c r="Z5" s="11">
        <v>261927</v>
      </c>
      <c r="AA5" s="11">
        <v>0</v>
      </c>
      <c r="AB5" s="11">
        <v>0</v>
      </c>
      <c r="AC5" s="11">
        <v>0</v>
      </c>
      <c r="AD5" s="11">
        <v>90025</v>
      </c>
      <c r="AE5" s="11">
        <v>0</v>
      </c>
      <c r="AF5" s="11">
        <v>0</v>
      </c>
      <c r="AG5" s="11">
        <v>0</v>
      </c>
      <c r="AH5" s="11">
        <v>0</v>
      </c>
      <c r="AI5" s="11">
        <v>25</v>
      </c>
      <c r="AJ5" s="11">
        <v>4461</v>
      </c>
      <c r="AK5" s="11">
        <v>1062</v>
      </c>
      <c r="AL5" s="11">
        <v>0</v>
      </c>
      <c r="AM5" s="1">
        <v>1034</v>
      </c>
      <c r="AN5" s="1"/>
      <c r="AO5" s="1">
        <v>72634</v>
      </c>
      <c r="AP5" s="1">
        <v>0</v>
      </c>
      <c r="AQ5" s="1">
        <v>77366</v>
      </c>
      <c r="AR5" s="1">
        <v>0</v>
      </c>
      <c r="AS5" s="1">
        <v>0</v>
      </c>
      <c r="AT5" s="1">
        <v>1672</v>
      </c>
      <c r="AU5" s="1">
        <v>0</v>
      </c>
      <c r="AV5" s="1">
        <v>380</v>
      </c>
      <c r="AW5" s="628">
        <v>0</v>
      </c>
      <c r="AX5" s="1">
        <v>1130</v>
      </c>
      <c r="AY5" s="1"/>
      <c r="AZ5" s="1">
        <v>20</v>
      </c>
      <c r="BA5" s="1">
        <v>3989</v>
      </c>
      <c r="BB5" s="1">
        <v>0</v>
      </c>
      <c r="BC5" s="1">
        <v>0</v>
      </c>
      <c r="BD5" s="1"/>
      <c r="BE5" s="1">
        <v>0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36958</v>
      </c>
      <c r="B6" s="1">
        <f>(Weather_Input!B6+Weather_Input!C6)/2</f>
        <v>27.5</v>
      </c>
      <c r="C6" s="913">
        <v>1045000</v>
      </c>
      <c r="D6" s="915" t="s">
        <v>11</v>
      </c>
      <c r="E6" s="916"/>
      <c r="F6" s="916"/>
      <c r="G6" s="916"/>
      <c r="H6" s="916"/>
      <c r="I6" s="916" t="s">
        <v>11</v>
      </c>
      <c r="J6" s="916"/>
      <c r="K6" s="916"/>
      <c r="L6" s="916" t="s">
        <v>11</v>
      </c>
      <c r="M6" s="916"/>
      <c r="N6" s="916"/>
      <c r="O6" s="916"/>
      <c r="P6" s="916"/>
      <c r="Q6" s="916"/>
      <c r="R6" s="916"/>
      <c r="S6" s="916"/>
      <c r="T6" s="916"/>
      <c r="U6" s="916"/>
      <c r="V6" s="9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712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36959</v>
      </c>
      <c r="B7" s="932">
        <f>(Weather_Input!B7+Weather_Input!C7)/2</f>
        <v>27.5</v>
      </c>
      <c r="C7" s="913">
        <v>1040000</v>
      </c>
      <c r="D7" s="915" t="s">
        <v>11</v>
      </c>
      <c r="E7" s="916"/>
      <c r="F7" s="916"/>
      <c r="G7" s="916"/>
      <c r="H7" s="917" t="s">
        <v>77</v>
      </c>
      <c r="I7" s="916"/>
      <c r="J7" s="916"/>
      <c r="K7" s="916"/>
      <c r="L7" s="916"/>
      <c r="M7" s="916"/>
      <c r="N7" s="916"/>
      <c r="O7" s="916"/>
      <c r="P7" s="916"/>
      <c r="Q7" s="916"/>
      <c r="R7" s="916" t="s">
        <v>543</v>
      </c>
      <c r="S7" s="920">
        <v>0</v>
      </c>
      <c r="T7" s="920"/>
      <c r="U7" s="916"/>
      <c r="V7" s="91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36960</v>
      </c>
      <c r="B8" s="932">
        <f>(Weather_Input!B8+Weather_Input!C8)/2</f>
        <v>35.5</v>
      </c>
      <c r="C8" s="913">
        <v>900000</v>
      </c>
      <c r="D8" s="915" t="s">
        <v>11</v>
      </c>
      <c r="E8" s="916" t="s">
        <v>11</v>
      </c>
      <c r="F8" s="916"/>
      <c r="G8" s="916"/>
      <c r="H8" s="918" t="s">
        <v>78</v>
      </c>
      <c r="I8" s="916"/>
      <c r="J8" s="916"/>
      <c r="K8" s="916"/>
      <c r="L8" s="916"/>
      <c r="M8" s="916"/>
      <c r="N8" s="916"/>
      <c r="O8" s="916"/>
      <c r="P8" s="916"/>
      <c r="Q8" s="916"/>
      <c r="R8" s="916" t="s">
        <v>544</v>
      </c>
      <c r="S8" s="920">
        <v>0</v>
      </c>
      <c r="T8" s="920"/>
      <c r="U8" s="916"/>
      <c r="V8" s="9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36961</v>
      </c>
      <c r="B9" s="932">
        <f>(Weather_Input!B9+Weather_Input!C9)/2</f>
        <v>38</v>
      </c>
      <c r="C9" s="913">
        <v>865000</v>
      </c>
      <c r="D9" s="915" t="s">
        <v>11</v>
      </c>
      <c r="E9" s="916"/>
      <c r="F9" s="916"/>
      <c r="G9" s="916"/>
      <c r="H9" s="916" t="s">
        <v>79</v>
      </c>
      <c r="I9" s="916"/>
      <c r="J9" s="916"/>
      <c r="K9" s="916"/>
      <c r="L9" s="916"/>
      <c r="M9" s="916"/>
      <c r="N9" s="916"/>
      <c r="O9" s="916"/>
      <c r="P9" s="916"/>
      <c r="Q9" s="916"/>
      <c r="R9" s="916" t="s">
        <v>545</v>
      </c>
      <c r="S9" s="920">
        <v>0</v>
      </c>
      <c r="T9" s="920"/>
      <c r="U9" s="916"/>
      <c r="V9" s="9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36962</v>
      </c>
      <c r="B10" s="932">
        <f>(Weather_Input!B10+Weather_Input!C10)/2</f>
        <v>41.5</v>
      </c>
      <c r="C10" s="913">
        <v>795000</v>
      </c>
      <c r="D10" s="915" t="s">
        <v>11</v>
      </c>
      <c r="E10" s="916" t="s">
        <v>11</v>
      </c>
      <c r="F10" s="916"/>
      <c r="G10" s="916"/>
      <c r="H10" s="916" t="s">
        <v>80</v>
      </c>
      <c r="I10" s="916"/>
      <c r="J10" s="916"/>
      <c r="K10" s="916"/>
      <c r="L10" s="916"/>
      <c r="M10" s="916"/>
      <c r="N10" s="916"/>
      <c r="O10" s="916"/>
      <c r="P10" s="916"/>
      <c r="Q10" s="916"/>
      <c r="R10" s="916" t="s">
        <v>548</v>
      </c>
      <c r="S10" s="920">
        <v>0</v>
      </c>
      <c r="T10" s="920"/>
      <c r="U10" s="916"/>
      <c r="V10" s="9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546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7"/>
      <c r="C12" s="417"/>
      <c r="D12" s="417"/>
      <c r="E12" s="417"/>
      <c r="F12" s="417"/>
      <c r="G12" s="417"/>
      <c r="H12" s="417"/>
      <c r="I12" s="417"/>
      <c r="J12" s="417"/>
      <c r="K12" s="417"/>
      <c r="L12" s="417"/>
      <c r="M12" s="417"/>
      <c r="N12" s="1"/>
      <c r="O12" s="1"/>
      <c r="P12" s="1"/>
      <c r="Q12" s="1"/>
      <c r="R12" s="1" t="s">
        <v>547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549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550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551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33" t="s">
        <v>11</v>
      </c>
      <c r="T16" s="833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172</v>
      </c>
      <c r="F18" s="49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8"/>
      <c r="T29" s="798"/>
    </row>
    <row r="30" spans="3:92">
      <c r="S30" s="798"/>
      <c r="T30" s="798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topLeftCell="F1" zoomScale="75" workbookViewId="0">
      <selection activeCell="Q6" sqref="Q6"/>
    </sheetView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710</v>
      </c>
      <c r="L2" t="s">
        <v>710</v>
      </c>
      <c r="M2" t="s">
        <v>710</v>
      </c>
      <c r="N2" t="s">
        <v>710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644</v>
      </c>
      <c r="G3" s="156" t="s">
        <v>82</v>
      </c>
      <c r="H3" s="3" t="s">
        <v>15</v>
      </c>
      <c r="I3" s="156" t="s">
        <v>83</v>
      </c>
      <c r="K3" t="s">
        <v>711</v>
      </c>
      <c r="L3" t="s">
        <v>711</v>
      </c>
      <c r="M3" t="s">
        <v>711</v>
      </c>
      <c r="N3" t="s">
        <v>711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6" t="s">
        <v>85</v>
      </c>
      <c r="H4" s="3" t="s">
        <v>56</v>
      </c>
      <c r="I4" s="156" t="s">
        <v>87</v>
      </c>
      <c r="K4" s="1" t="s">
        <v>708</v>
      </c>
      <c r="L4" s="1" t="s">
        <v>709</v>
      </c>
      <c r="M4" s="1" t="s">
        <v>708</v>
      </c>
      <c r="N4" s="1" t="s">
        <v>709</v>
      </c>
    </row>
    <row r="5" spans="1:14">
      <c r="A5" s="12">
        <f>Weather_Input!A5</f>
        <v>36957</v>
      </c>
      <c r="B5" s="1">
        <f>(Weather_Input!B5+Weather_Input!C5)/2</f>
        <v>37</v>
      </c>
      <c r="C5" s="913">
        <v>152000</v>
      </c>
      <c r="D5" s="913">
        <v>50346</v>
      </c>
      <c r="E5" s="913">
        <v>83013</v>
      </c>
      <c r="F5" s="913">
        <v>15076</v>
      </c>
      <c r="G5" s="913">
        <v>0</v>
      </c>
      <c r="H5" s="921">
        <f>SUM(D5:G5)</f>
        <v>148435</v>
      </c>
      <c r="I5" s="1">
        <v>1021</v>
      </c>
      <c r="J5" s="1" t="s">
        <v>11</v>
      </c>
      <c r="K5" s="1">
        <v>20619</v>
      </c>
      <c r="L5" s="1">
        <v>0</v>
      </c>
      <c r="M5" s="1">
        <v>4924</v>
      </c>
      <c r="N5" s="1">
        <v>0</v>
      </c>
    </row>
    <row r="6" spans="1:14">
      <c r="A6" s="12">
        <f>A5+1</f>
        <v>36958</v>
      </c>
      <c r="B6" s="1">
        <f>(Weather_Input!B6+Weather_Input!C6)/2</f>
        <v>27.5</v>
      </c>
      <c r="C6" s="913">
        <v>165000</v>
      </c>
      <c r="D6" s="916" t="s">
        <v>11</v>
      </c>
      <c r="E6" s="916"/>
      <c r="F6" s="916"/>
      <c r="G6" s="916"/>
      <c r="H6" s="15"/>
      <c r="I6" s="1" t="s">
        <v>11</v>
      </c>
    </row>
    <row r="7" spans="1:14">
      <c r="A7" s="12">
        <f>A6+1</f>
        <v>36959</v>
      </c>
      <c r="B7" s="932">
        <f>(Weather_Input!B7+Weather_Input!C7)/2</f>
        <v>27.5</v>
      </c>
      <c r="C7" s="913">
        <v>165000</v>
      </c>
      <c r="D7" s="916" t="s">
        <v>11</v>
      </c>
      <c r="E7" s="916" t="s">
        <v>11</v>
      </c>
      <c r="F7" s="916"/>
      <c r="G7" s="916"/>
      <c r="H7" s="15"/>
    </row>
    <row r="8" spans="1:14">
      <c r="A8" s="12">
        <f>A7+1</f>
        <v>36960</v>
      </c>
      <c r="B8" s="932">
        <f>(Weather_Input!B8+Weather_Input!C8)/2</f>
        <v>35.5</v>
      </c>
      <c r="C8" s="913">
        <v>138000</v>
      </c>
      <c r="D8" s="916" t="s">
        <v>11</v>
      </c>
      <c r="E8" s="916"/>
      <c r="F8" s="916"/>
      <c r="G8" s="916"/>
      <c r="H8" s="15"/>
    </row>
    <row r="9" spans="1:14">
      <c r="A9" s="12">
        <f>A8+1</f>
        <v>36961</v>
      </c>
      <c r="B9" s="932">
        <f>(Weather_Input!B9+Weather_Input!C9)/2</f>
        <v>38</v>
      </c>
      <c r="C9" s="913">
        <v>131000</v>
      </c>
      <c r="D9" s="916" t="s">
        <v>11</v>
      </c>
      <c r="E9" s="916"/>
      <c r="F9" s="916"/>
      <c r="G9" s="916"/>
      <c r="H9" s="15"/>
    </row>
    <row r="10" spans="1:14">
      <c r="A10" s="12">
        <f>A9+1</f>
        <v>36962</v>
      </c>
      <c r="B10" s="932">
        <f>(Weather_Input!B10+Weather_Input!C10)/2</f>
        <v>41.5</v>
      </c>
      <c r="C10" s="913">
        <v>116000</v>
      </c>
      <c r="D10" s="916" t="s">
        <v>11</v>
      </c>
      <c r="E10" s="916"/>
      <c r="F10" s="916"/>
      <c r="G10" s="916"/>
      <c r="H10" s="15"/>
    </row>
    <row r="11" spans="1:14">
      <c r="A11" s="1" t="s">
        <v>172</v>
      </c>
      <c r="C11" s="1041" t="s">
        <v>707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zoomScale="75" workbookViewId="0">
      <selection activeCell="G8" sqref="G8"/>
    </sheetView>
  </sheetViews>
  <sheetFormatPr defaultRowHeight="15"/>
  <cols>
    <col min="1" max="8" width="8.6640625" customWidth="1"/>
    <col min="9" max="9" width="9" bestFit="1" customWidth="1"/>
    <col min="10" max="10" width="10.33203125" customWidth="1"/>
    <col min="11" max="35" width="9" bestFit="1" customWidth="1"/>
    <col min="36" max="36" width="10.109375" bestFit="1" customWidth="1"/>
  </cols>
  <sheetData>
    <row r="1" spans="1:89">
      <c r="A1" s="10"/>
      <c r="B1" s="5"/>
      <c r="C1" s="5"/>
      <c r="D1" s="5"/>
      <c r="E1" s="5"/>
      <c r="F1" s="5"/>
      <c r="G1" s="5"/>
      <c r="H1" s="5"/>
    </row>
    <row r="2" spans="1:89" s="1" customFormat="1" ht="12.75">
      <c r="A2" s="10"/>
      <c r="B2" s="10"/>
      <c r="C2" s="76"/>
      <c r="D2" s="10"/>
      <c r="E2" s="10"/>
      <c r="F2" s="10"/>
      <c r="G2" s="10"/>
      <c r="H2" s="10"/>
    </row>
    <row r="3" spans="1:89" s="50" customFormat="1" ht="12.75">
      <c r="B3" s="71"/>
      <c r="C3" s="78" t="s">
        <v>88</v>
      </c>
      <c r="D3" s="53"/>
      <c r="E3" s="53"/>
      <c r="F3" s="62"/>
      <c r="G3" s="71"/>
      <c r="H3" s="1193">
        <v>1</v>
      </c>
      <c r="I3" s="52" t="s">
        <v>89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91</v>
      </c>
      <c r="W3" s="52"/>
      <c r="X3" s="52"/>
      <c r="Y3" s="52"/>
      <c r="Z3" s="52"/>
    </row>
    <row r="4" spans="1:89" s="1" customFormat="1" ht="12.75">
      <c r="B4" s="64"/>
      <c r="C4" s="60"/>
      <c r="F4" s="64"/>
      <c r="G4" s="64"/>
      <c r="H4" s="806" t="s">
        <v>643</v>
      </c>
      <c r="I4" s="3" t="s">
        <v>1</v>
      </c>
      <c r="J4" s="3" t="s">
        <v>763</v>
      </c>
      <c r="N4" s="64"/>
      <c r="O4" s="58"/>
      <c r="P4" s="66"/>
      <c r="Q4" s="66"/>
      <c r="V4" s="55" t="s">
        <v>68</v>
      </c>
      <c r="W4" s="53"/>
      <c r="X4" s="65"/>
      <c r="Y4" s="53" t="s">
        <v>38</v>
      </c>
      <c r="Z4" s="53"/>
      <c r="AA4" s="53"/>
      <c r="AB4" s="53"/>
      <c r="AC4" s="55" t="s">
        <v>93</v>
      </c>
      <c r="AD4" s="53"/>
      <c r="AE4" s="53"/>
      <c r="AF4" s="74"/>
      <c r="AG4" s="3" t="s">
        <v>421</v>
      </c>
    </row>
    <row r="5" spans="1:89" s="1" customFormat="1" ht="12.75">
      <c r="B5" s="67" t="s">
        <v>94</v>
      </c>
      <c r="C5" s="59"/>
      <c r="F5" s="252"/>
      <c r="G5" s="67" t="s">
        <v>11</v>
      </c>
      <c r="H5" s="806" t="s">
        <v>405</v>
      </c>
      <c r="I5" s="109" t="s">
        <v>729</v>
      </c>
      <c r="J5" s="54" t="s">
        <v>752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184</v>
      </c>
      <c r="U5" s="1141" t="s">
        <v>776</v>
      </c>
      <c r="V5" s="56" t="s">
        <v>97</v>
      </c>
      <c r="W5" s="3" t="s">
        <v>97</v>
      </c>
      <c r="X5" s="3" t="s">
        <v>97</v>
      </c>
      <c r="Y5" s="3" t="s">
        <v>97</v>
      </c>
      <c r="Z5" s="3" t="s">
        <v>97</v>
      </c>
      <c r="AA5" s="3" t="s">
        <v>97</v>
      </c>
      <c r="AB5" s="3" t="s">
        <v>97</v>
      </c>
      <c r="AC5" s="56" t="s">
        <v>97</v>
      </c>
      <c r="AD5" s="3" t="s">
        <v>97</v>
      </c>
      <c r="AE5" s="3" t="s">
        <v>97</v>
      </c>
      <c r="AF5" s="56" t="s">
        <v>97</v>
      </c>
      <c r="AG5" s="3" t="s">
        <v>97</v>
      </c>
      <c r="AH5" s="3" t="s">
        <v>97</v>
      </c>
      <c r="AI5" s="3" t="s">
        <v>97</v>
      </c>
    </row>
    <row r="6" spans="1:89" s="1" customFormat="1" ht="12.75">
      <c r="A6" s="68"/>
      <c r="B6" s="69" t="s">
        <v>98</v>
      </c>
      <c r="C6" s="54" t="s">
        <v>68</v>
      </c>
      <c r="D6" s="54" t="s">
        <v>93</v>
      </c>
      <c r="E6" s="54" t="s">
        <v>421</v>
      </c>
      <c r="F6" s="253" t="s">
        <v>96</v>
      </c>
      <c r="G6" s="54" t="s">
        <v>99</v>
      </c>
      <c r="H6" s="807" t="s">
        <v>421</v>
      </c>
      <c r="I6" s="1077" t="s">
        <v>730</v>
      </c>
      <c r="J6" s="54" t="s">
        <v>762</v>
      </c>
      <c r="K6" s="54" t="s">
        <v>421</v>
      </c>
      <c r="L6" s="54" t="s">
        <v>38</v>
      </c>
      <c r="M6" s="54" t="s">
        <v>405</v>
      </c>
      <c r="N6" s="54" t="s">
        <v>96</v>
      </c>
      <c r="O6" s="83" t="s">
        <v>90</v>
      </c>
      <c r="P6" s="54" t="s">
        <v>60</v>
      </c>
      <c r="Q6" s="54" t="s">
        <v>101</v>
      </c>
      <c r="R6" s="54" t="s">
        <v>747</v>
      </c>
      <c r="S6" s="54" t="s">
        <v>103</v>
      </c>
      <c r="T6" s="1078" t="s">
        <v>726</v>
      </c>
      <c r="U6" s="1077" t="s">
        <v>90</v>
      </c>
      <c r="V6" s="54" t="s">
        <v>68</v>
      </c>
      <c r="W6" s="54" t="s">
        <v>38</v>
      </c>
      <c r="X6" s="54" t="s">
        <v>93</v>
      </c>
      <c r="Y6" s="54" t="s">
        <v>38</v>
      </c>
      <c r="Z6" s="54" t="s">
        <v>68</v>
      </c>
      <c r="AA6" s="54" t="s">
        <v>93</v>
      </c>
      <c r="AB6" s="54" t="s">
        <v>421</v>
      </c>
      <c r="AC6" s="54" t="s">
        <v>68</v>
      </c>
      <c r="AD6" s="54" t="s">
        <v>38</v>
      </c>
      <c r="AE6" s="54" t="s">
        <v>93</v>
      </c>
      <c r="AF6" s="54" t="s">
        <v>68</v>
      </c>
      <c r="AG6" s="54" t="s">
        <v>38</v>
      </c>
      <c r="AH6" s="54" t="s">
        <v>93</v>
      </c>
      <c r="AI6" s="54" t="s">
        <v>421</v>
      </c>
    </row>
    <row r="7" spans="1:89" s="1" customFormat="1" ht="12.75">
      <c r="A7" s="834">
        <f>Weather_Input!A5</f>
        <v>36957</v>
      </c>
      <c r="B7" s="922">
        <v>0</v>
      </c>
      <c r="C7" s="923">
        <v>0</v>
      </c>
      <c r="D7" s="626">
        <v>1000</v>
      </c>
      <c r="E7" s="626">
        <v>0</v>
      </c>
      <c r="F7" s="922">
        <v>0</v>
      </c>
      <c r="G7" s="922">
        <v>72634</v>
      </c>
      <c r="H7" s="924">
        <v>0</v>
      </c>
      <c r="I7" s="625">
        <v>0</v>
      </c>
      <c r="J7" s="625">
        <v>0</v>
      </c>
      <c r="K7" s="626">
        <v>0</v>
      </c>
      <c r="L7" s="625">
        <v>0</v>
      </c>
      <c r="M7" s="626">
        <v>0</v>
      </c>
      <c r="N7" s="626">
        <v>0</v>
      </c>
      <c r="O7" s="627">
        <v>77366</v>
      </c>
      <c r="P7" s="626">
        <v>0</v>
      </c>
      <c r="Q7" s="628">
        <f t="shared" ref="Q7:Q12" si="0">P7*0.015</f>
        <v>0</v>
      </c>
      <c r="R7" s="626">
        <v>380</v>
      </c>
      <c r="S7" s="626">
        <v>0</v>
      </c>
      <c r="T7" s="626">
        <v>0</v>
      </c>
      <c r="U7" s="625">
        <v>0</v>
      </c>
      <c r="V7" s="626">
        <v>0</v>
      </c>
      <c r="W7" s="626">
        <v>0</v>
      </c>
      <c r="X7" s="626">
        <v>0</v>
      </c>
      <c r="Y7" s="626">
        <v>0</v>
      </c>
      <c r="Z7" s="626">
        <v>0</v>
      </c>
      <c r="AA7" s="625">
        <v>0</v>
      </c>
      <c r="AB7" s="625">
        <v>0</v>
      </c>
      <c r="AC7" s="625">
        <v>0</v>
      </c>
      <c r="AD7" s="625">
        <v>0</v>
      </c>
      <c r="AE7" s="625">
        <v>0</v>
      </c>
      <c r="AF7" s="625">
        <v>0</v>
      </c>
      <c r="AG7" s="625">
        <v>0</v>
      </c>
      <c r="AH7" s="625">
        <v>0</v>
      </c>
      <c r="AI7" s="625">
        <v>0</v>
      </c>
      <c r="AJ7" s="834">
        <f>Weather_Input!A5</f>
        <v>36957</v>
      </c>
    </row>
    <row r="8" spans="1:89" s="1" customFormat="1" ht="12.75">
      <c r="A8" s="834">
        <f>A7+1</f>
        <v>36958</v>
      </c>
      <c r="B8" s="922">
        <v>0</v>
      </c>
      <c r="C8" s="923">
        <v>0</v>
      </c>
      <c r="D8" s="626">
        <v>0</v>
      </c>
      <c r="E8" s="626">
        <v>0</v>
      </c>
      <c r="F8" s="922">
        <v>0</v>
      </c>
      <c r="G8" s="922">
        <v>20000</v>
      </c>
      <c r="H8" s="924">
        <v>0</v>
      </c>
      <c r="I8" s="625">
        <v>5000</v>
      </c>
      <c r="J8" s="625">
        <v>0</v>
      </c>
      <c r="K8" s="626">
        <v>0</v>
      </c>
      <c r="L8" s="625">
        <v>0</v>
      </c>
      <c r="M8" s="626">
        <v>0</v>
      </c>
      <c r="N8" s="626">
        <v>0</v>
      </c>
      <c r="O8" s="627">
        <v>34970</v>
      </c>
      <c r="P8" s="626">
        <v>0</v>
      </c>
      <c r="Q8" s="628">
        <f t="shared" si="0"/>
        <v>0</v>
      </c>
      <c r="R8" s="626">
        <v>660</v>
      </c>
      <c r="S8" s="626">
        <v>0</v>
      </c>
      <c r="T8" s="626">
        <v>0</v>
      </c>
      <c r="U8" s="625">
        <v>20000</v>
      </c>
      <c r="V8" s="626">
        <v>0</v>
      </c>
      <c r="W8" s="626">
        <v>0</v>
      </c>
      <c r="X8" s="626">
        <v>0</v>
      </c>
      <c r="Y8" s="626">
        <v>0</v>
      </c>
      <c r="Z8" s="626">
        <v>0</v>
      </c>
      <c r="AA8" s="625">
        <v>0</v>
      </c>
      <c r="AB8" s="625">
        <v>0</v>
      </c>
      <c r="AC8" s="625">
        <v>0</v>
      </c>
      <c r="AD8" s="625">
        <v>0</v>
      </c>
      <c r="AE8" s="625">
        <v>0</v>
      </c>
      <c r="AF8" s="625">
        <v>0</v>
      </c>
      <c r="AG8" s="625">
        <v>0</v>
      </c>
      <c r="AH8" s="625">
        <v>0</v>
      </c>
      <c r="AI8" s="625">
        <v>0</v>
      </c>
      <c r="AJ8" s="834">
        <f>AJ7+1</f>
        <v>36958</v>
      </c>
      <c r="AK8" s="625"/>
      <c r="AL8" s="625"/>
      <c r="AM8" s="625"/>
      <c r="AO8" s="625"/>
      <c r="AP8" s="625"/>
      <c r="AQ8" s="625"/>
      <c r="AR8" s="625"/>
      <c r="AS8" s="625"/>
      <c r="AT8" s="625"/>
      <c r="AU8" s="625"/>
      <c r="AV8" s="625"/>
      <c r="AW8" s="625"/>
      <c r="AX8" s="625"/>
      <c r="AY8" s="625"/>
      <c r="AZ8" s="625"/>
      <c r="BA8" s="625"/>
      <c r="BB8" s="625"/>
      <c r="BC8" s="625"/>
    </row>
    <row r="9" spans="1:89" s="1" customFormat="1" ht="12.75">
      <c r="A9" s="834">
        <f>A8+1</f>
        <v>36959</v>
      </c>
      <c r="B9" s="922">
        <v>0</v>
      </c>
      <c r="C9" s="923">
        <v>0</v>
      </c>
      <c r="D9" s="626">
        <v>0</v>
      </c>
      <c r="E9" s="626">
        <v>0</v>
      </c>
      <c r="F9" s="922">
        <v>0</v>
      </c>
      <c r="G9" s="922">
        <v>0</v>
      </c>
      <c r="H9" s="924">
        <v>0</v>
      </c>
      <c r="I9" s="625">
        <v>0</v>
      </c>
      <c r="J9" s="625">
        <v>0</v>
      </c>
      <c r="K9" s="626">
        <v>0</v>
      </c>
      <c r="L9" s="625">
        <v>0</v>
      </c>
      <c r="M9" s="626">
        <v>0</v>
      </c>
      <c r="N9" s="626">
        <v>0</v>
      </c>
      <c r="O9" s="627">
        <v>0</v>
      </c>
      <c r="P9" s="626">
        <v>250000</v>
      </c>
      <c r="Q9" s="628">
        <f t="shared" si="0"/>
        <v>3750</v>
      </c>
      <c r="R9" s="626">
        <v>660</v>
      </c>
      <c r="S9" s="626">
        <v>0</v>
      </c>
      <c r="T9" s="626">
        <v>0</v>
      </c>
      <c r="U9" s="625">
        <v>0</v>
      </c>
      <c r="V9" s="626">
        <v>0</v>
      </c>
      <c r="W9" s="626">
        <v>0</v>
      </c>
      <c r="X9" s="626">
        <v>0</v>
      </c>
      <c r="Y9" s="626">
        <v>0</v>
      </c>
      <c r="Z9" s="626">
        <v>0</v>
      </c>
      <c r="AA9" s="625">
        <v>0</v>
      </c>
      <c r="AB9" s="625">
        <v>0</v>
      </c>
      <c r="AC9" s="625">
        <v>0</v>
      </c>
      <c r="AD9" s="625">
        <v>0</v>
      </c>
      <c r="AE9" s="625">
        <v>0</v>
      </c>
      <c r="AF9" s="625">
        <v>0</v>
      </c>
      <c r="AG9" s="625">
        <v>0</v>
      </c>
      <c r="AH9" s="625">
        <v>0</v>
      </c>
      <c r="AI9" s="625">
        <v>0</v>
      </c>
      <c r="AJ9" s="834">
        <f>AJ8+1</f>
        <v>36959</v>
      </c>
      <c r="AN9" s="625"/>
    </row>
    <row r="10" spans="1:89" s="1" customFormat="1" ht="12.75">
      <c r="A10" s="834">
        <f>A9+1</f>
        <v>36960</v>
      </c>
      <c r="B10" s="922">
        <v>0</v>
      </c>
      <c r="C10" s="923">
        <v>0</v>
      </c>
      <c r="D10" s="626">
        <v>0</v>
      </c>
      <c r="E10" s="626">
        <v>0</v>
      </c>
      <c r="F10" s="922">
        <v>0</v>
      </c>
      <c r="G10" s="922">
        <v>0</v>
      </c>
      <c r="H10" s="924">
        <v>0</v>
      </c>
      <c r="I10" s="625">
        <v>0</v>
      </c>
      <c r="J10" s="625">
        <v>0</v>
      </c>
      <c r="K10" s="626">
        <v>0</v>
      </c>
      <c r="L10" s="625">
        <v>0</v>
      </c>
      <c r="M10" s="626">
        <v>0</v>
      </c>
      <c r="N10" s="626">
        <v>0</v>
      </c>
      <c r="O10" s="627">
        <v>0</v>
      </c>
      <c r="P10" s="626">
        <v>250000</v>
      </c>
      <c r="Q10" s="628">
        <f t="shared" si="0"/>
        <v>3750</v>
      </c>
      <c r="R10" s="626">
        <v>660</v>
      </c>
      <c r="S10" s="626">
        <v>0</v>
      </c>
      <c r="T10" s="626">
        <v>0</v>
      </c>
      <c r="U10" s="625">
        <v>0</v>
      </c>
      <c r="V10" s="626">
        <v>0</v>
      </c>
      <c r="W10" s="626">
        <v>0</v>
      </c>
      <c r="X10" s="626">
        <v>0</v>
      </c>
      <c r="Y10" s="626">
        <v>0</v>
      </c>
      <c r="Z10" s="626">
        <v>0</v>
      </c>
      <c r="AA10" s="625">
        <v>0</v>
      </c>
      <c r="AB10" s="625">
        <v>0</v>
      </c>
      <c r="AC10" s="625">
        <v>0</v>
      </c>
      <c r="AD10" s="625">
        <v>0</v>
      </c>
      <c r="AE10" s="625">
        <v>0</v>
      </c>
      <c r="AF10" s="625">
        <v>0</v>
      </c>
      <c r="AG10" s="625">
        <v>0</v>
      </c>
      <c r="AH10" s="625">
        <v>0</v>
      </c>
      <c r="AI10" s="625">
        <v>0</v>
      </c>
      <c r="AJ10" s="834">
        <f>AJ9+1</f>
        <v>36960</v>
      </c>
    </row>
    <row r="11" spans="1:89" s="1" customFormat="1" ht="12.75">
      <c r="A11" s="834">
        <f>A10+1</f>
        <v>36961</v>
      </c>
      <c r="B11" s="922">
        <v>0</v>
      </c>
      <c r="C11" s="923">
        <v>0</v>
      </c>
      <c r="D11" s="626">
        <v>0</v>
      </c>
      <c r="E11" s="626">
        <v>0</v>
      </c>
      <c r="F11" s="922">
        <v>0</v>
      </c>
      <c r="G11" s="922">
        <v>0</v>
      </c>
      <c r="H11" s="924">
        <v>0</v>
      </c>
      <c r="I11" s="625">
        <v>0</v>
      </c>
      <c r="J11" s="625">
        <v>0</v>
      </c>
      <c r="K11" s="626">
        <v>0</v>
      </c>
      <c r="L11" s="625">
        <v>0</v>
      </c>
      <c r="M11" s="626">
        <v>0</v>
      </c>
      <c r="N11" s="626">
        <v>0</v>
      </c>
      <c r="O11" s="627">
        <v>0</v>
      </c>
      <c r="P11" s="626">
        <v>250000</v>
      </c>
      <c r="Q11" s="628">
        <f t="shared" si="0"/>
        <v>3750</v>
      </c>
      <c r="R11" s="626">
        <v>660</v>
      </c>
      <c r="S11" s="626">
        <v>0</v>
      </c>
      <c r="T11" s="626">
        <v>0</v>
      </c>
      <c r="U11" s="625">
        <v>0</v>
      </c>
      <c r="V11" s="626">
        <v>0</v>
      </c>
      <c r="W11" s="626">
        <v>0</v>
      </c>
      <c r="X11" s="626">
        <v>0</v>
      </c>
      <c r="Y11" s="626">
        <v>0</v>
      </c>
      <c r="Z11" s="626">
        <v>0</v>
      </c>
      <c r="AA11" s="625">
        <v>0</v>
      </c>
      <c r="AB11" s="625">
        <v>0</v>
      </c>
      <c r="AC11" s="625">
        <v>0</v>
      </c>
      <c r="AD11" s="625">
        <v>0</v>
      </c>
      <c r="AE11" s="625">
        <v>0</v>
      </c>
      <c r="AF11" s="625">
        <v>0</v>
      </c>
      <c r="AG11" s="625">
        <v>0</v>
      </c>
      <c r="AH11" s="625">
        <v>0</v>
      </c>
      <c r="AI11" s="625">
        <v>0</v>
      </c>
      <c r="AJ11" s="834">
        <f>AJ10+1</f>
        <v>36961</v>
      </c>
    </row>
    <row r="12" spans="1:89" s="1" customFormat="1" ht="12.75">
      <c r="A12" s="834">
        <f>A11+1</f>
        <v>36962</v>
      </c>
      <c r="B12" s="922">
        <v>0</v>
      </c>
      <c r="C12" s="923">
        <v>0</v>
      </c>
      <c r="D12" s="626">
        <v>0</v>
      </c>
      <c r="E12" s="626">
        <v>0</v>
      </c>
      <c r="F12" s="922">
        <v>0</v>
      </c>
      <c r="G12" s="922">
        <v>0</v>
      </c>
      <c r="H12" s="924">
        <v>0</v>
      </c>
      <c r="I12" s="625">
        <v>0</v>
      </c>
      <c r="J12" s="625">
        <v>0</v>
      </c>
      <c r="K12" s="626">
        <v>0</v>
      </c>
      <c r="L12" s="625">
        <v>0</v>
      </c>
      <c r="M12" s="626">
        <v>0</v>
      </c>
      <c r="N12" s="626">
        <v>0</v>
      </c>
      <c r="O12" s="627">
        <v>0</v>
      </c>
      <c r="P12" s="626">
        <v>250000</v>
      </c>
      <c r="Q12" s="628">
        <f t="shared" si="0"/>
        <v>3750</v>
      </c>
      <c r="R12" s="626">
        <v>660</v>
      </c>
      <c r="S12" s="626">
        <v>0</v>
      </c>
      <c r="T12" s="626">
        <v>0</v>
      </c>
      <c r="U12" s="625">
        <v>0</v>
      </c>
      <c r="V12" s="626">
        <v>0</v>
      </c>
      <c r="W12" s="626">
        <v>0</v>
      </c>
      <c r="X12" s="626">
        <v>0</v>
      </c>
      <c r="Y12" s="626">
        <v>0</v>
      </c>
      <c r="Z12" s="626">
        <v>0</v>
      </c>
      <c r="AA12" s="625">
        <v>0</v>
      </c>
      <c r="AB12" s="625">
        <v>0</v>
      </c>
      <c r="AC12" s="625">
        <v>0</v>
      </c>
      <c r="AD12" s="625">
        <v>0</v>
      </c>
      <c r="AE12" s="625">
        <v>0</v>
      </c>
      <c r="AF12" s="625">
        <v>0</v>
      </c>
      <c r="AG12" s="625">
        <v>0</v>
      </c>
      <c r="AH12" s="625">
        <v>0</v>
      </c>
      <c r="AI12" s="625">
        <v>0</v>
      </c>
      <c r="AJ12" s="834">
        <f>AJ11+1</f>
        <v>36962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5"/>
      <c r="M13" s="1"/>
      <c r="N13" s="626" t="s">
        <v>11</v>
      </c>
      <c r="O13" s="1"/>
      <c r="P13" s="1"/>
      <c r="Q13" s="1"/>
      <c r="R13" s="1"/>
      <c r="S13" s="1"/>
      <c r="T13" s="1"/>
      <c r="U13" s="625" t="s">
        <v>11</v>
      </c>
      <c r="V13" s="1"/>
      <c r="W13" s="1"/>
      <c r="X13" s="1"/>
      <c r="Y13" s="1"/>
      <c r="Z13" s="1" t="s">
        <v>11</v>
      </c>
      <c r="AA13" s="1"/>
      <c r="AB13" s="625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702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6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6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6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6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topLeftCell="I1" zoomScale="75" workbookViewId="0">
      <selection activeCell="M8" sqref="M8"/>
    </sheetView>
  </sheetViews>
  <sheetFormatPr defaultColWidth="8.77734375" defaultRowHeight="12.75"/>
  <cols>
    <col min="1" max="16" width="8.77734375" style="1" customWidth="1"/>
    <col min="17" max="17" width="9.5546875" style="1" customWidth="1"/>
    <col min="18" max="23" width="8.77734375" style="1" customWidth="1"/>
    <col min="24" max="24" width="10.5546875" style="1" customWidth="1"/>
    <col min="25" max="16384" width="8.77734375" style="1"/>
  </cols>
  <sheetData>
    <row r="1" spans="1:37">
      <c r="A1" s="418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105</v>
      </c>
      <c r="D3" s="72"/>
      <c r="E3" s="72"/>
      <c r="F3" s="72"/>
      <c r="G3" s="75"/>
      <c r="H3" s="52" t="s">
        <v>106</v>
      </c>
      <c r="I3" s="53"/>
      <c r="J3" s="58"/>
      <c r="K3" s="58"/>
      <c r="L3" s="55"/>
      <c r="M3" s="52" t="s">
        <v>108</v>
      </c>
      <c r="N3" s="53"/>
      <c r="O3" s="53"/>
      <c r="P3" s="53"/>
      <c r="Q3" s="53"/>
      <c r="R3" s="53"/>
      <c r="S3" s="58"/>
      <c r="T3" s="58"/>
      <c r="U3" s="787"/>
      <c r="V3" s="451"/>
      <c r="W3" s="451"/>
      <c r="X3" s="53"/>
      <c r="Y3" s="58"/>
      <c r="Z3" s="78" t="s">
        <v>109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6" t="s">
        <v>642</v>
      </c>
      <c r="V4" s="3" t="s">
        <v>774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6" t="s">
        <v>405</v>
      </c>
      <c r="U5" s="109" t="s">
        <v>729</v>
      </c>
      <c r="V5" s="3" t="s">
        <v>772</v>
      </c>
      <c r="W5" s="3"/>
      <c r="X5" s="59" t="s">
        <v>752</v>
      </c>
      <c r="Y5" s="64"/>
      <c r="Z5" s="3"/>
      <c r="AA5" s="3"/>
      <c r="AB5" s="3"/>
      <c r="AE5" s="67" t="s">
        <v>498</v>
      </c>
    </row>
    <row r="6" spans="1:37">
      <c r="B6" s="54" t="s">
        <v>110</v>
      </c>
      <c r="C6" s="57" t="s">
        <v>68</v>
      </c>
      <c r="D6" s="54" t="s">
        <v>93</v>
      </c>
      <c r="E6" s="54" t="s">
        <v>421</v>
      </c>
      <c r="F6" s="54" t="s">
        <v>405</v>
      </c>
      <c r="G6" s="69" t="s">
        <v>96</v>
      </c>
      <c r="H6" s="54" t="s">
        <v>94</v>
      </c>
      <c r="I6" s="54" t="s">
        <v>74</v>
      </c>
      <c r="J6" s="54" t="s">
        <v>61</v>
      </c>
      <c r="K6" s="69" t="s">
        <v>75</v>
      </c>
      <c r="L6" s="54" t="s">
        <v>703</v>
      </c>
      <c r="M6" s="57" t="s">
        <v>60</v>
      </c>
      <c r="N6" s="54" t="s">
        <v>11</v>
      </c>
      <c r="O6" s="54" t="s">
        <v>11</v>
      </c>
      <c r="P6" s="54" t="s">
        <v>11</v>
      </c>
      <c r="Q6" s="1140" t="s">
        <v>6</v>
      </c>
      <c r="R6" s="1078" t="s">
        <v>90</v>
      </c>
      <c r="S6" s="69" t="s">
        <v>11</v>
      </c>
      <c r="T6" s="807" t="s">
        <v>421</v>
      </c>
      <c r="U6" s="1078" t="s">
        <v>730</v>
      </c>
      <c r="V6" s="54" t="s">
        <v>773</v>
      </c>
      <c r="W6" s="54" t="s">
        <v>11</v>
      </c>
      <c r="X6" s="1128" t="s">
        <v>759</v>
      </c>
      <c r="Y6" s="69" t="s">
        <v>752</v>
      </c>
      <c r="Z6" s="54" t="s">
        <v>68</v>
      </c>
      <c r="AA6" s="54" t="s">
        <v>93</v>
      </c>
      <c r="AB6" s="54" t="s">
        <v>421</v>
      </c>
      <c r="AC6" s="54" t="s">
        <v>38</v>
      </c>
      <c r="AD6" s="54" t="s">
        <v>96</v>
      </c>
      <c r="AE6" s="69" t="s">
        <v>497</v>
      </c>
    </row>
    <row r="7" spans="1:37">
      <c r="A7" s="834">
        <f>Weather_Input!A5</f>
        <v>36957</v>
      </c>
      <c r="B7" s="628">
        <v>0</v>
      </c>
      <c r="C7" s="629">
        <v>0</v>
      </c>
      <c r="D7" s="628">
        <v>0</v>
      </c>
      <c r="E7" s="628">
        <v>0</v>
      </c>
      <c r="F7" s="628">
        <v>0</v>
      </c>
      <c r="G7" s="922">
        <v>0</v>
      </c>
      <c r="H7" s="626">
        <v>1672</v>
      </c>
      <c r="I7" s="626">
        <v>4461</v>
      </c>
      <c r="J7" s="626">
        <v>0</v>
      </c>
      <c r="K7" s="925">
        <v>0</v>
      </c>
      <c r="L7" s="627">
        <v>0</v>
      </c>
      <c r="M7" s="926">
        <v>1130</v>
      </c>
      <c r="N7" s="626">
        <v>0</v>
      </c>
      <c r="O7" s="626">
        <v>0</v>
      </c>
      <c r="P7" s="626">
        <v>0</v>
      </c>
      <c r="Q7" s="626">
        <v>0</v>
      </c>
      <c r="R7" s="626">
        <v>0</v>
      </c>
      <c r="S7" s="925">
        <v>0</v>
      </c>
      <c r="T7" s="927">
        <v>0</v>
      </c>
      <c r="U7" s="626">
        <v>0</v>
      </c>
      <c r="V7" s="627">
        <v>296282</v>
      </c>
      <c r="W7" s="627">
        <v>0</v>
      </c>
      <c r="X7" s="625">
        <v>0</v>
      </c>
      <c r="Y7" s="925">
        <v>257912</v>
      </c>
      <c r="Z7" s="627">
        <v>70000</v>
      </c>
      <c r="AA7" s="1">
        <v>137735</v>
      </c>
      <c r="AB7" s="625">
        <v>261989</v>
      </c>
      <c r="AC7" s="625">
        <v>276723</v>
      </c>
      <c r="AD7" s="625">
        <v>101200</v>
      </c>
      <c r="AE7" s="925">
        <v>0</v>
      </c>
      <c r="AF7" s="51">
        <f>Weather_Input!A5</f>
        <v>36957</v>
      </c>
      <c r="AI7" s="625"/>
      <c r="AJ7" s="625"/>
      <c r="AK7" s="625"/>
    </row>
    <row r="8" spans="1:37">
      <c r="A8" s="834">
        <f>A7+1</f>
        <v>36958</v>
      </c>
      <c r="B8" s="628">
        <v>0</v>
      </c>
      <c r="C8" s="629">
        <v>0</v>
      </c>
      <c r="D8" s="628">
        <v>0</v>
      </c>
      <c r="E8" s="628">
        <v>0</v>
      </c>
      <c r="F8" s="628">
        <v>0</v>
      </c>
      <c r="G8" s="922">
        <v>0</v>
      </c>
      <c r="H8" s="626">
        <v>1000</v>
      </c>
      <c r="I8" s="626">
        <v>3000</v>
      </c>
      <c r="J8" s="626">
        <v>0</v>
      </c>
      <c r="K8" s="925">
        <v>0</v>
      </c>
      <c r="L8" s="627">
        <v>0</v>
      </c>
      <c r="M8" s="926">
        <v>0</v>
      </c>
      <c r="N8" s="626">
        <v>0</v>
      </c>
      <c r="O8" s="626">
        <v>0</v>
      </c>
      <c r="P8" s="626">
        <v>0</v>
      </c>
      <c r="Q8" s="626">
        <v>0</v>
      </c>
      <c r="R8" s="626">
        <v>0</v>
      </c>
      <c r="S8" s="925">
        <v>0</v>
      </c>
      <c r="T8" s="927">
        <v>0</v>
      </c>
      <c r="U8" s="626">
        <v>0</v>
      </c>
      <c r="V8" s="627">
        <v>309831</v>
      </c>
      <c r="W8" s="627">
        <v>0</v>
      </c>
      <c r="X8" s="625">
        <v>0</v>
      </c>
      <c r="Y8" s="925">
        <v>324568</v>
      </c>
      <c r="Z8" s="627">
        <v>55000</v>
      </c>
      <c r="AA8" s="1">
        <v>146643</v>
      </c>
      <c r="AB8" s="625">
        <v>219327</v>
      </c>
      <c r="AC8" s="625">
        <v>265889</v>
      </c>
      <c r="AD8" s="625">
        <v>111199</v>
      </c>
      <c r="AE8" s="925">
        <v>0</v>
      </c>
      <c r="AF8" s="834">
        <f>AF7+1</f>
        <v>36958</v>
      </c>
      <c r="AI8" s="625"/>
      <c r="AJ8" s="625"/>
      <c r="AK8" s="625"/>
    </row>
    <row r="9" spans="1:37" s="625" customFormat="1">
      <c r="A9" s="834">
        <f>A8+1</f>
        <v>36959</v>
      </c>
      <c r="B9" s="628">
        <v>0</v>
      </c>
      <c r="C9" s="629">
        <v>0</v>
      </c>
      <c r="D9" s="628">
        <v>0</v>
      </c>
      <c r="E9" s="628">
        <v>0</v>
      </c>
      <c r="F9" s="628">
        <v>0</v>
      </c>
      <c r="G9" s="922">
        <v>0</v>
      </c>
      <c r="H9" s="626">
        <v>1000</v>
      </c>
      <c r="I9" s="626">
        <v>3000</v>
      </c>
      <c r="J9" s="626">
        <v>0</v>
      </c>
      <c r="K9" s="925">
        <v>0</v>
      </c>
      <c r="L9" s="627">
        <v>0</v>
      </c>
      <c r="M9" s="926">
        <v>0</v>
      </c>
      <c r="N9" s="626">
        <v>0</v>
      </c>
      <c r="O9" s="626">
        <v>0</v>
      </c>
      <c r="P9" s="626">
        <v>0</v>
      </c>
      <c r="Q9" s="626">
        <v>0</v>
      </c>
      <c r="R9" s="626">
        <v>0</v>
      </c>
      <c r="S9" s="925">
        <v>0</v>
      </c>
      <c r="T9" s="927">
        <v>0</v>
      </c>
      <c r="U9" s="626">
        <v>0</v>
      </c>
      <c r="V9" s="627">
        <v>309831</v>
      </c>
      <c r="W9" s="627">
        <v>0</v>
      </c>
      <c r="X9" s="625">
        <v>0</v>
      </c>
      <c r="Y9" s="925">
        <v>284218</v>
      </c>
      <c r="Z9" s="627">
        <v>55000</v>
      </c>
      <c r="AA9" s="1">
        <v>146643</v>
      </c>
      <c r="AB9" s="625">
        <v>219327</v>
      </c>
      <c r="AC9" s="625">
        <v>265889</v>
      </c>
      <c r="AD9" s="625">
        <v>111199</v>
      </c>
      <c r="AE9" s="925">
        <v>0</v>
      </c>
      <c r="AF9" s="834">
        <f>AF8+1</f>
        <v>36959</v>
      </c>
    </row>
    <row r="10" spans="1:37">
      <c r="A10" s="834">
        <f>A9+1</f>
        <v>36960</v>
      </c>
      <c r="B10" s="628">
        <v>0</v>
      </c>
      <c r="C10" s="629">
        <v>0</v>
      </c>
      <c r="D10" s="628">
        <v>0</v>
      </c>
      <c r="E10" s="628">
        <v>0</v>
      </c>
      <c r="F10" s="628">
        <v>0</v>
      </c>
      <c r="G10" s="922">
        <v>0</v>
      </c>
      <c r="H10" s="626">
        <v>1000</v>
      </c>
      <c r="I10" s="626">
        <v>3000</v>
      </c>
      <c r="J10" s="626">
        <v>0</v>
      </c>
      <c r="K10" s="925">
        <v>0</v>
      </c>
      <c r="L10" s="627">
        <v>0</v>
      </c>
      <c r="M10" s="926">
        <v>0</v>
      </c>
      <c r="N10" s="626">
        <v>0</v>
      </c>
      <c r="O10" s="626">
        <v>0</v>
      </c>
      <c r="P10" s="626">
        <v>0</v>
      </c>
      <c r="Q10" s="626">
        <v>0</v>
      </c>
      <c r="R10" s="626">
        <v>0</v>
      </c>
      <c r="S10" s="925">
        <v>0</v>
      </c>
      <c r="T10" s="927">
        <v>0</v>
      </c>
      <c r="U10" s="626">
        <v>0</v>
      </c>
      <c r="V10" s="627">
        <v>309831</v>
      </c>
      <c r="W10" s="627">
        <v>0</v>
      </c>
      <c r="X10" s="625">
        <v>0</v>
      </c>
      <c r="Y10" s="925">
        <v>284218</v>
      </c>
      <c r="Z10" s="627">
        <v>55000</v>
      </c>
      <c r="AA10" s="1">
        <v>146643</v>
      </c>
      <c r="AB10" s="625">
        <v>219327</v>
      </c>
      <c r="AC10" s="625">
        <v>265889</v>
      </c>
      <c r="AD10" s="625">
        <v>111199</v>
      </c>
      <c r="AE10" s="925">
        <v>0</v>
      </c>
      <c r="AF10" s="834">
        <f>AF9+1</f>
        <v>36960</v>
      </c>
      <c r="AI10" s="625"/>
      <c r="AJ10" s="625"/>
      <c r="AK10" s="625"/>
    </row>
    <row r="11" spans="1:37">
      <c r="A11" s="834">
        <f>A10+1</f>
        <v>36961</v>
      </c>
      <c r="B11" s="628">
        <v>0</v>
      </c>
      <c r="C11" s="629">
        <v>0</v>
      </c>
      <c r="D11" s="628">
        <v>0</v>
      </c>
      <c r="E11" s="628">
        <v>0</v>
      </c>
      <c r="F11" s="628">
        <v>0</v>
      </c>
      <c r="G11" s="922">
        <v>0</v>
      </c>
      <c r="H11" s="626">
        <v>1000</v>
      </c>
      <c r="I11" s="626">
        <v>3000</v>
      </c>
      <c r="J11" s="626">
        <v>0</v>
      </c>
      <c r="K11" s="925">
        <v>0</v>
      </c>
      <c r="L11" s="627">
        <v>0</v>
      </c>
      <c r="M11" s="926">
        <v>0</v>
      </c>
      <c r="N11" s="626">
        <v>0</v>
      </c>
      <c r="O11" s="626">
        <v>0</v>
      </c>
      <c r="P11" s="626">
        <v>0</v>
      </c>
      <c r="Q11" s="626">
        <v>0</v>
      </c>
      <c r="R11" s="626">
        <v>0</v>
      </c>
      <c r="S11" s="925">
        <v>0</v>
      </c>
      <c r="T11" s="927">
        <v>0</v>
      </c>
      <c r="U11" s="626">
        <v>0</v>
      </c>
      <c r="V11" s="627">
        <v>309831</v>
      </c>
      <c r="W11" s="627">
        <v>0</v>
      </c>
      <c r="X11" s="625">
        <v>0</v>
      </c>
      <c r="Y11" s="925">
        <v>284218</v>
      </c>
      <c r="Z11" s="627">
        <v>55000</v>
      </c>
      <c r="AA11" s="1">
        <v>146643</v>
      </c>
      <c r="AB11" s="625">
        <v>219327</v>
      </c>
      <c r="AC11" s="625">
        <v>265889</v>
      </c>
      <c r="AD11" s="625">
        <v>111199</v>
      </c>
      <c r="AE11" s="925">
        <v>0</v>
      </c>
      <c r="AF11" s="834">
        <f>AF10+1</f>
        <v>36961</v>
      </c>
    </row>
    <row r="12" spans="1:37">
      <c r="A12" s="834">
        <f>A11+1</f>
        <v>36962</v>
      </c>
      <c r="B12" s="628">
        <v>0</v>
      </c>
      <c r="C12" s="629">
        <v>0</v>
      </c>
      <c r="D12" s="628">
        <v>0</v>
      </c>
      <c r="E12" s="628">
        <v>0</v>
      </c>
      <c r="F12" s="628">
        <v>0</v>
      </c>
      <c r="G12" s="922">
        <v>0</v>
      </c>
      <c r="H12" s="626">
        <v>1000</v>
      </c>
      <c r="I12" s="626">
        <v>3000</v>
      </c>
      <c r="J12" s="626">
        <v>0</v>
      </c>
      <c r="K12" s="925">
        <v>0</v>
      </c>
      <c r="L12" s="627">
        <v>0</v>
      </c>
      <c r="M12" s="926">
        <v>0</v>
      </c>
      <c r="N12" s="626">
        <v>0</v>
      </c>
      <c r="O12" s="626">
        <v>0</v>
      </c>
      <c r="P12" s="626">
        <v>0</v>
      </c>
      <c r="Q12" s="626">
        <v>0</v>
      </c>
      <c r="R12" s="626">
        <v>0</v>
      </c>
      <c r="S12" s="925">
        <v>0</v>
      </c>
      <c r="T12" s="927">
        <v>0</v>
      </c>
      <c r="U12" s="626">
        <v>0</v>
      </c>
      <c r="V12" s="627">
        <v>309831</v>
      </c>
      <c r="W12" s="627">
        <v>0</v>
      </c>
      <c r="X12" s="625">
        <v>0</v>
      </c>
      <c r="Y12" s="925">
        <v>284218</v>
      </c>
      <c r="Z12" s="627">
        <v>55000</v>
      </c>
      <c r="AA12" s="1">
        <v>146643</v>
      </c>
      <c r="AB12" s="625">
        <v>219327</v>
      </c>
      <c r="AC12" s="625">
        <v>265889</v>
      </c>
      <c r="AD12" s="625">
        <v>111199</v>
      </c>
      <c r="AE12" s="925">
        <v>0</v>
      </c>
      <c r="AF12" s="834">
        <f>AF11+1</f>
        <v>36962</v>
      </c>
    </row>
    <row r="13" spans="1:37">
      <c r="G13" s="1" t="s">
        <v>11</v>
      </c>
      <c r="I13" s="11"/>
      <c r="P13" s="1" t="s">
        <v>11</v>
      </c>
      <c r="T13" s="927"/>
      <c r="U13" s="1" t="s">
        <v>11</v>
      </c>
      <c r="V13" s="11" t="s">
        <v>11</v>
      </c>
      <c r="W13" s="627" t="s">
        <v>11</v>
      </c>
      <c r="X13" s="625"/>
      <c r="Z13" s="60"/>
      <c r="AB13" s="625"/>
      <c r="AD13" s="625"/>
    </row>
    <row r="14" spans="1:37">
      <c r="A14" s="1" t="s">
        <v>11</v>
      </c>
      <c r="I14" s="11"/>
      <c r="X14" s="11"/>
      <c r="Z14" s="1" t="s">
        <v>11</v>
      </c>
      <c r="AB14" s="625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5"/>
    </row>
    <row r="20" spans="16:33">
      <c r="Z20" s="70" t="s">
        <v>11</v>
      </c>
      <c r="AG20" s="625"/>
    </row>
    <row r="21" spans="16:33">
      <c r="AG21" s="625"/>
    </row>
    <row r="22" spans="16:33">
      <c r="AG22" s="625"/>
    </row>
    <row r="23" spans="16:33">
      <c r="AG23" s="625"/>
    </row>
    <row r="25" spans="16:33">
      <c r="AB25" s="625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>
      <selection activeCell="J8" sqref="J8"/>
    </sheetView>
  </sheetViews>
  <sheetFormatPr defaultRowHeight="15"/>
  <cols>
    <col min="1" max="11" width="8.6640625" customWidth="1"/>
    <col min="37" max="37" width="7.6640625" customWidth="1"/>
  </cols>
  <sheetData>
    <row r="1" spans="1:128">
      <c r="A1" s="216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1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2.75">
      <c r="B3" s="82" t="s">
        <v>115</v>
      </c>
      <c r="C3" s="52" t="s">
        <v>116</v>
      </c>
      <c r="D3" s="53"/>
      <c r="E3" s="53"/>
      <c r="F3" s="53"/>
      <c r="G3" s="63" t="s">
        <v>117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118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2" t="s">
        <v>119</v>
      </c>
      <c r="G4" s="55" t="s">
        <v>120</v>
      </c>
      <c r="H4" s="53"/>
      <c r="I4" s="3" t="s">
        <v>92</v>
      </c>
      <c r="J4" s="3"/>
      <c r="K4" s="117" t="s">
        <v>121</v>
      </c>
      <c r="L4" s="117" t="s">
        <v>121</v>
      </c>
      <c r="M4" s="234" t="s">
        <v>121</v>
      </c>
      <c r="N4" s="59" t="s">
        <v>83</v>
      </c>
      <c r="R4" s="3"/>
      <c r="S4" s="79"/>
      <c r="Z4" s="53"/>
    </row>
    <row r="5" spans="1:128" s="1" customFormat="1" ht="12.75">
      <c r="B5" s="64"/>
      <c r="G5" s="56" t="s">
        <v>111</v>
      </c>
      <c r="H5" s="156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93</v>
      </c>
      <c r="X5" s="53" t="s">
        <v>11</v>
      </c>
      <c r="Z5" s="3" t="s">
        <v>38</v>
      </c>
      <c r="AA5" s="53"/>
      <c r="AB5" s="53" t="s">
        <v>11</v>
      </c>
      <c r="AC5" s="111" t="s">
        <v>527</v>
      </c>
      <c r="AE5" s="53" t="s">
        <v>11</v>
      </c>
    </row>
    <row r="6" spans="1:128" s="1" customFormat="1" ht="12.75">
      <c r="A6" s="68"/>
      <c r="B6" s="69" t="s">
        <v>405</v>
      </c>
      <c r="C6" s="54" t="s">
        <v>38</v>
      </c>
      <c r="D6" s="54" t="s">
        <v>68</v>
      </c>
      <c r="E6" s="54" t="s">
        <v>93</v>
      </c>
      <c r="F6" s="54" t="s">
        <v>421</v>
      </c>
      <c r="G6" s="57" t="s">
        <v>122</v>
      </c>
      <c r="H6" s="54" t="s">
        <v>703</v>
      </c>
      <c r="I6" s="54" t="s">
        <v>100</v>
      </c>
      <c r="J6" s="54" t="s">
        <v>90</v>
      </c>
      <c r="K6" s="54" t="s">
        <v>560</v>
      </c>
      <c r="L6" s="54" t="s">
        <v>123</v>
      </c>
      <c r="M6" s="54" t="s">
        <v>124</v>
      </c>
      <c r="N6" s="54" t="s">
        <v>125</v>
      </c>
      <c r="O6" s="54">
        <v>50</v>
      </c>
      <c r="P6" s="54" t="s">
        <v>102</v>
      </c>
      <c r="Q6" s="54" t="s">
        <v>103</v>
      </c>
      <c r="R6" s="54" t="s">
        <v>104</v>
      </c>
      <c r="S6" s="57" t="s">
        <v>126</v>
      </c>
      <c r="T6" s="54" t="s">
        <v>127</v>
      </c>
      <c r="U6" s="54" t="s">
        <v>128</v>
      </c>
      <c r="V6" s="57" t="s">
        <v>126</v>
      </c>
      <c r="W6" s="54" t="s">
        <v>127</v>
      </c>
      <c r="X6" s="54" t="s">
        <v>128</v>
      </c>
      <c r="Y6" s="57" t="s">
        <v>126</v>
      </c>
      <c r="Z6" s="54" t="s">
        <v>127</v>
      </c>
      <c r="AA6" s="54" t="s">
        <v>128</v>
      </c>
      <c r="AB6" s="57" t="s">
        <v>126</v>
      </c>
      <c r="AC6" s="54" t="s">
        <v>127</v>
      </c>
      <c r="AD6" s="54" t="s">
        <v>128</v>
      </c>
      <c r="AE6" s="83" t="s">
        <v>526</v>
      </c>
    </row>
    <row r="7" spans="1:128" s="1" customFormat="1" ht="12.75">
      <c r="A7" s="835">
        <f>Weather_Input!A5</f>
        <v>36957</v>
      </c>
      <c r="B7" s="922">
        <v>0</v>
      </c>
      <c r="C7" s="626">
        <v>0</v>
      </c>
      <c r="D7" s="626">
        <v>0</v>
      </c>
      <c r="E7" s="626">
        <v>0</v>
      </c>
      <c r="F7" s="626">
        <v>0</v>
      </c>
      <c r="G7" s="926">
        <v>0</v>
      </c>
      <c r="H7" s="626">
        <v>20619</v>
      </c>
      <c r="I7" s="923">
        <v>7197</v>
      </c>
      <c r="J7" s="923">
        <v>4924</v>
      </c>
      <c r="K7" s="629">
        <v>0</v>
      </c>
      <c r="L7" s="928">
        <v>0</v>
      </c>
      <c r="M7" s="928">
        <v>0</v>
      </c>
      <c r="N7" s="928">
        <v>0</v>
      </c>
      <c r="O7" s="928">
        <v>0</v>
      </c>
      <c r="P7" s="626">
        <v>0</v>
      </c>
      <c r="Q7" s="928">
        <v>0</v>
      </c>
      <c r="R7" s="626">
        <v>0</v>
      </c>
      <c r="S7" s="836">
        <v>0</v>
      </c>
      <c r="T7" s="626">
        <v>0</v>
      </c>
      <c r="U7" s="626">
        <v>0</v>
      </c>
      <c r="V7" s="836">
        <v>0</v>
      </c>
      <c r="W7" s="626">
        <v>0</v>
      </c>
      <c r="X7" s="626">
        <v>0</v>
      </c>
      <c r="Y7" s="836">
        <v>0</v>
      </c>
      <c r="Z7" s="626">
        <v>0</v>
      </c>
      <c r="AA7" s="626">
        <v>0</v>
      </c>
      <c r="AB7" s="926">
        <v>0</v>
      </c>
      <c r="AC7" s="626">
        <v>0</v>
      </c>
      <c r="AD7" s="626">
        <v>0</v>
      </c>
      <c r="AE7" s="626">
        <v>0</v>
      </c>
      <c r="AF7" s="834">
        <f>Weather_Input!A5</f>
        <v>36957</v>
      </c>
      <c r="AG7" s="625"/>
      <c r="AH7" s="625"/>
      <c r="AI7" s="625"/>
      <c r="AJ7" s="625"/>
      <c r="AK7" s="625"/>
    </row>
    <row r="8" spans="1:128" s="1" customFormat="1" ht="12.75">
      <c r="A8" s="835">
        <f>Weather_Input!A6</f>
        <v>36958</v>
      </c>
      <c r="B8" s="922">
        <v>0</v>
      </c>
      <c r="C8" s="626">
        <v>0</v>
      </c>
      <c r="D8" s="626">
        <v>0</v>
      </c>
      <c r="E8" s="626">
        <v>0</v>
      </c>
      <c r="F8" s="626">
        <v>0</v>
      </c>
      <c r="G8" s="926">
        <v>0</v>
      </c>
      <c r="H8" s="626">
        <v>8660</v>
      </c>
      <c r="I8" s="923">
        <v>7197</v>
      </c>
      <c r="J8" s="923">
        <v>0</v>
      </c>
      <c r="K8" s="629">
        <v>0</v>
      </c>
      <c r="L8" s="928">
        <v>0</v>
      </c>
      <c r="M8" s="928">
        <v>0</v>
      </c>
      <c r="N8" s="928">
        <v>0</v>
      </c>
      <c r="O8" s="928">
        <v>0</v>
      </c>
      <c r="P8" s="626">
        <v>0</v>
      </c>
      <c r="Q8" s="928">
        <v>0</v>
      </c>
      <c r="R8" s="626">
        <v>0</v>
      </c>
      <c r="S8" s="836">
        <v>0</v>
      </c>
      <c r="T8" s="626">
        <v>0</v>
      </c>
      <c r="U8" s="626">
        <v>0</v>
      </c>
      <c r="V8" s="836">
        <v>0</v>
      </c>
      <c r="W8" s="626">
        <v>0</v>
      </c>
      <c r="X8" s="626">
        <v>0</v>
      </c>
      <c r="Y8" s="836">
        <v>0</v>
      </c>
      <c r="Z8" s="626">
        <v>0</v>
      </c>
      <c r="AA8" s="626">
        <v>0</v>
      </c>
      <c r="AB8" s="926">
        <v>0</v>
      </c>
      <c r="AC8" s="626">
        <v>0</v>
      </c>
      <c r="AD8" s="626">
        <v>0</v>
      </c>
      <c r="AE8" s="626">
        <v>0</v>
      </c>
      <c r="AF8" s="835">
        <f>AF7+1</f>
        <v>36958</v>
      </c>
      <c r="AG8" s="625"/>
      <c r="AH8" s="625"/>
      <c r="AI8" s="625"/>
      <c r="AJ8" s="625"/>
      <c r="AK8" s="625"/>
    </row>
    <row r="9" spans="1:128" s="1" customFormat="1" ht="12.75">
      <c r="A9" s="834">
        <f>A8+1</f>
        <v>36959</v>
      </c>
      <c r="B9" s="922">
        <v>0</v>
      </c>
      <c r="C9" s="626">
        <v>0</v>
      </c>
      <c r="D9" s="626">
        <v>0</v>
      </c>
      <c r="E9" s="626">
        <v>0</v>
      </c>
      <c r="F9" s="626">
        <v>0</v>
      </c>
      <c r="G9" s="926">
        <v>0</v>
      </c>
      <c r="H9" s="626">
        <v>0</v>
      </c>
      <c r="I9" s="923">
        <v>7197</v>
      </c>
      <c r="J9" s="923">
        <v>0</v>
      </c>
      <c r="K9" s="629">
        <v>0</v>
      </c>
      <c r="L9" s="928">
        <v>0</v>
      </c>
      <c r="M9" s="928">
        <v>0</v>
      </c>
      <c r="N9" s="928">
        <v>0</v>
      </c>
      <c r="O9" s="928">
        <v>0</v>
      </c>
      <c r="P9" s="626">
        <v>0</v>
      </c>
      <c r="Q9" s="928">
        <v>0</v>
      </c>
      <c r="R9" s="626">
        <v>0</v>
      </c>
      <c r="S9" s="836">
        <v>0</v>
      </c>
      <c r="T9" s="626">
        <v>0</v>
      </c>
      <c r="U9" s="626">
        <v>0</v>
      </c>
      <c r="V9" s="836">
        <v>0</v>
      </c>
      <c r="W9" s="626">
        <v>0</v>
      </c>
      <c r="X9" s="626">
        <v>0</v>
      </c>
      <c r="Y9" s="836">
        <v>0</v>
      </c>
      <c r="Z9" s="626">
        <v>0</v>
      </c>
      <c r="AA9" s="626">
        <v>0</v>
      </c>
      <c r="AB9" s="926">
        <v>0</v>
      </c>
      <c r="AC9" s="626">
        <v>0</v>
      </c>
      <c r="AD9" s="626">
        <v>0</v>
      </c>
      <c r="AE9" s="626">
        <v>0</v>
      </c>
      <c r="AF9" s="834">
        <f>AF8+1</f>
        <v>36959</v>
      </c>
      <c r="AG9" s="625"/>
      <c r="AH9" s="625"/>
      <c r="AI9" s="625"/>
      <c r="AJ9" s="625"/>
      <c r="AK9" s="625"/>
    </row>
    <row r="10" spans="1:128" s="1" customFormat="1" ht="12.75">
      <c r="A10" s="834">
        <f>A9+1</f>
        <v>36960</v>
      </c>
      <c r="B10" s="922">
        <v>0</v>
      </c>
      <c r="C10" s="626">
        <v>0</v>
      </c>
      <c r="D10" s="626">
        <v>0</v>
      </c>
      <c r="E10" s="626">
        <v>0</v>
      </c>
      <c r="F10" s="626">
        <v>0</v>
      </c>
      <c r="G10" s="926">
        <v>0</v>
      </c>
      <c r="H10" s="626">
        <v>0</v>
      </c>
      <c r="I10" s="923">
        <v>7197</v>
      </c>
      <c r="J10" s="923">
        <v>0</v>
      </c>
      <c r="K10" s="629">
        <v>0</v>
      </c>
      <c r="L10" s="928">
        <v>0</v>
      </c>
      <c r="M10" s="928">
        <v>0</v>
      </c>
      <c r="N10" s="928">
        <v>0</v>
      </c>
      <c r="O10" s="928">
        <v>0</v>
      </c>
      <c r="P10" s="626">
        <v>0</v>
      </c>
      <c r="Q10" s="928">
        <v>0</v>
      </c>
      <c r="R10" s="626">
        <v>0</v>
      </c>
      <c r="S10" s="836">
        <v>0</v>
      </c>
      <c r="T10" s="626">
        <v>0</v>
      </c>
      <c r="U10" s="626">
        <v>0</v>
      </c>
      <c r="V10" s="836">
        <v>0</v>
      </c>
      <c r="W10" s="626">
        <v>0</v>
      </c>
      <c r="X10" s="626">
        <v>0</v>
      </c>
      <c r="Y10" s="836">
        <v>0</v>
      </c>
      <c r="Z10" s="626">
        <v>0</v>
      </c>
      <c r="AA10" s="626">
        <v>0</v>
      </c>
      <c r="AB10" s="926">
        <v>0</v>
      </c>
      <c r="AC10" s="626">
        <v>0</v>
      </c>
      <c r="AD10" s="626">
        <v>0</v>
      </c>
      <c r="AE10" s="626">
        <v>0</v>
      </c>
      <c r="AF10" s="834">
        <f>AF9+1</f>
        <v>36960</v>
      </c>
      <c r="AG10" s="625"/>
      <c r="AH10" s="625"/>
      <c r="AI10" s="625"/>
      <c r="AJ10" s="625"/>
      <c r="AK10" s="625"/>
    </row>
    <row r="11" spans="1:128" s="1" customFormat="1" ht="12.75">
      <c r="A11" s="834">
        <f>A10+1</f>
        <v>36961</v>
      </c>
      <c r="B11" s="922">
        <v>0</v>
      </c>
      <c r="C11" s="626">
        <v>0</v>
      </c>
      <c r="D11" s="626">
        <v>0</v>
      </c>
      <c r="E11" s="626">
        <v>0</v>
      </c>
      <c r="F11" s="626">
        <v>0</v>
      </c>
      <c r="G11" s="926">
        <v>0</v>
      </c>
      <c r="H11" s="626">
        <v>0</v>
      </c>
      <c r="I11" s="923">
        <v>7197</v>
      </c>
      <c r="J11" s="923">
        <v>0</v>
      </c>
      <c r="K11" s="629">
        <v>0</v>
      </c>
      <c r="L11" s="928">
        <v>0</v>
      </c>
      <c r="M11" s="928">
        <v>0</v>
      </c>
      <c r="N11" s="928">
        <v>0</v>
      </c>
      <c r="O11" s="928">
        <v>0</v>
      </c>
      <c r="P11" s="626">
        <v>0</v>
      </c>
      <c r="Q11" s="928">
        <v>0</v>
      </c>
      <c r="R11" s="626">
        <v>0</v>
      </c>
      <c r="S11" s="836">
        <v>0</v>
      </c>
      <c r="T11" s="626">
        <v>0</v>
      </c>
      <c r="U11" s="626">
        <v>0</v>
      </c>
      <c r="V11" s="836">
        <v>0</v>
      </c>
      <c r="W11" s="626">
        <v>0</v>
      </c>
      <c r="X11" s="626">
        <v>0</v>
      </c>
      <c r="Y11" s="836">
        <v>0</v>
      </c>
      <c r="Z11" s="626">
        <v>0</v>
      </c>
      <c r="AA11" s="626">
        <v>0</v>
      </c>
      <c r="AB11" s="926">
        <v>0</v>
      </c>
      <c r="AC11" s="626">
        <v>0</v>
      </c>
      <c r="AD11" s="626">
        <v>0</v>
      </c>
      <c r="AE11" s="626">
        <v>0</v>
      </c>
      <c r="AF11" s="834">
        <f>AF10+1</f>
        <v>36961</v>
      </c>
      <c r="AG11" s="625"/>
      <c r="AH11" s="625"/>
      <c r="AI11" s="625"/>
      <c r="AJ11" s="625"/>
      <c r="AK11" s="625"/>
    </row>
    <row r="12" spans="1:128" s="1" customFormat="1" ht="12.75">
      <c r="A12" s="834">
        <f>A11+1</f>
        <v>36962</v>
      </c>
      <c r="B12" s="922">
        <v>0</v>
      </c>
      <c r="C12" s="626">
        <v>0</v>
      </c>
      <c r="D12" s="626">
        <v>0</v>
      </c>
      <c r="E12" s="626">
        <v>0</v>
      </c>
      <c r="F12" s="626">
        <v>0</v>
      </c>
      <c r="G12" s="926">
        <v>0</v>
      </c>
      <c r="H12" s="626">
        <v>0</v>
      </c>
      <c r="I12" s="923">
        <v>7197</v>
      </c>
      <c r="J12" s="923">
        <v>0</v>
      </c>
      <c r="K12" s="629">
        <v>0</v>
      </c>
      <c r="L12" s="928">
        <v>0</v>
      </c>
      <c r="M12" s="928">
        <v>0</v>
      </c>
      <c r="N12" s="928">
        <v>0</v>
      </c>
      <c r="O12" s="928">
        <v>0</v>
      </c>
      <c r="P12" s="626">
        <v>0</v>
      </c>
      <c r="Q12" s="928">
        <v>0</v>
      </c>
      <c r="R12" s="626">
        <v>0</v>
      </c>
      <c r="S12" s="836">
        <v>0</v>
      </c>
      <c r="T12" s="626">
        <v>0</v>
      </c>
      <c r="U12" s="626">
        <v>0</v>
      </c>
      <c r="V12" s="836">
        <v>0</v>
      </c>
      <c r="W12" s="626">
        <v>0</v>
      </c>
      <c r="X12" s="626">
        <v>0</v>
      </c>
      <c r="Y12" s="836">
        <v>0</v>
      </c>
      <c r="Z12" s="626">
        <v>0</v>
      </c>
      <c r="AA12" s="626">
        <v>0</v>
      </c>
      <c r="AB12" s="926">
        <v>0</v>
      </c>
      <c r="AC12" s="626">
        <v>0</v>
      </c>
      <c r="AD12" s="626">
        <v>0</v>
      </c>
      <c r="AE12" s="626">
        <v>0</v>
      </c>
      <c r="AF12" s="834">
        <f>AF11+1</f>
        <v>36962</v>
      </c>
      <c r="AG12" s="625"/>
      <c r="AH12" s="625"/>
      <c r="AI12" s="625"/>
      <c r="AJ12" s="625"/>
      <c r="AK12" s="625"/>
    </row>
    <row r="13" spans="1:128" s="1" customFormat="1" ht="12.75">
      <c r="A13" s="625"/>
      <c r="B13" s="625"/>
      <c r="C13" s="626"/>
      <c r="D13" s="625"/>
      <c r="E13" s="626"/>
      <c r="F13" s="626"/>
      <c r="G13" s="625"/>
      <c r="H13" s="625" t="s">
        <v>11</v>
      </c>
      <c r="I13" s="625"/>
      <c r="J13" s="625"/>
      <c r="K13" s="625"/>
      <c r="L13" s="625" t="s">
        <v>11</v>
      </c>
      <c r="M13" s="625"/>
      <c r="N13" s="625"/>
      <c r="P13" s="625"/>
      <c r="Q13" s="625"/>
      <c r="R13" s="625"/>
      <c r="S13" s="836"/>
      <c r="T13" s="625"/>
      <c r="U13" s="625"/>
      <c r="V13" s="630"/>
      <c r="W13" s="625"/>
      <c r="X13" s="625"/>
      <c r="Y13" s="625"/>
      <c r="Z13" s="625"/>
      <c r="AA13" s="625"/>
      <c r="AB13" s="625"/>
      <c r="AC13" s="625"/>
      <c r="AD13" s="625"/>
      <c r="AE13" s="625"/>
      <c r="AF13" s="625"/>
      <c r="AG13" s="625"/>
      <c r="AH13" s="625"/>
      <c r="AI13" s="625"/>
      <c r="AJ13" s="625"/>
      <c r="AK13" s="627"/>
    </row>
    <row r="14" spans="1:128" s="1" customFormat="1" ht="12.75">
      <c r="A14" s="625"/>
      <c r="B14" s="625"/>
      <c r="C14" s="625"/>
      <c r="D14" s="625"/>
      <c r="E14" s="625"/>
      <c r="F14" s="625"/>
      <c r="G14" s="625"/>
      <c r="H14" s="625"/>
      <c r="I14" s="625"/>
      <c r="J14" s="625"/>
      <c r="K14" s="625"/>
      <c r="L14" s="625"/>
      <c r="M14" s="625"/>
      <c r="N14" s="625"/>
      <c r="P14" s="625"/>
      <c r="Q14" s="625"/>
      <c r="R14" s="625"/>
      <c r="S14" s="625"/>
      <c r="T14" s="625"/>
      <c r="U14" s="625"/>
      <c r="V14" s="625"/>
      <c r="W14" s="625"/>
      <c r="X14" s="625"/>
      <c r="Y14" s="625"/>
      <c r="Z14" s="625"/>
      <c r="AA14" s="625"/>
      <c r="AB14" s="625"/>
      <c r="AC14" s="625"/>
      <c r="AD14" s="625"/>
      <c r="AE14" s="625"/>
      <c r="AF14" s="625"/>
      <c r="AG14" s="625"/>
      <c r="AH14" s="625"/>
      <c r="AI14" s="625"/>
      <c r="AJ14" s="625"/>
      <c r="AK14" s="628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topLeftCell="C1" zoomScale="75" workbookViewId="0">
      <selection activeCell="L10" sqref="L10"/>
    </sheetView>
  </sheetViews>
  <sheetFormatPr defaultColWidth="8.77734375" defaultRowHeight="12.75"/>
  <cols>
    <col min="1" max="16384" width="8.77734375" style="1"/>
  </cols>
  <sheetData>
    <row r="1" spans="1:24">
      <c r="A1" s="418" t="s">
        <v>172</v>
      </c>
      <c r="B1" s="10"/>
      <c r="C1" s="1" t="s">
        <v>11</v>
      </c>
      <c r="P1" s="1" t="s">
        <v>11</v>
      </c>
    </row>
    <row r="3" spans="1:24">
      <c r="B3" s="81" t="s">
        <v>115</v>
      </c>
      <c r="C3" s="63" t="s">
        <v>107</v>
      </c>
      <c r="D3" s="53"/>
      <c r="E3" s="53"/>
      <c r="F3" s="55"/>
      <c r="G3" s="65"/>
      <c r="H3" s="52" t="s">
        <v>108</v>
      </c>
      <c r="I3" s="53"/>
      <c r="J3" s="53"/>
      <c r="K3" s="53"/>
      <c r="L3" s="53"/>
      <c r="M3" s="65"/>
      <c r="N3" s="58"/>
      <c r="O3" s="52" t="s">
        <v>129</v>
      </c>
      <c r="P3" s="53"/>
      <c r="Q3" s="53"/>
      <c r="R3" s="53"/>
      <c r="S3" s="53"/>
      <c r="T3" s="53"/>
      <c r="U3" s="65"/>
    </row>
    <row r="4" spans="1:24">
      <c r="B4" s="81" t="s">
        <v>130</v>
      </c>
      <c r="C4" s="55"/>
      <c r="D4" s="53"/>
      <c r="E4" s="53"/>
      <c r="F4" s="58"/>
      <c r="G4" s="59" t="s">
        <v>92</v>
      </c>
      <c r="H4" s="55"/>
      <c r="M4" s="64"/>
      <c r="N4" s="60"/>
      <c r="P4" s="3" t="s">
        <v>641</v>
      </c>
      <c r="Q4" s="3"/>
      <c r="U4" s="64"/>
    </row>
    <row r="5" spans="1:24">
      <c r="C5" s="56" t="s">
        <v>38</v>
      </c>
      <c r="D5" s="3" t="s">
        <v>95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421</v>
      </c>
      <c r="O5" s="3"/>
      <c r="P5" s="3" t="s">
        <v>131</v>
      </c>
      <c r="Q5" s="3" t="s">
        <v>131</v>
      </c>
      <c r="R5" s="3" t="s">
        <v>38</v>
      </c>
      <c r="S5" s="1" t="s">
        <v>528</v>
      </c>
      <c r="U5" s="67"/>
    </row>
    <row r="6" spans="1:24">
      <c r="B6" s="54" t="s">
        <v>405</v>
      </c>
      <c r="C6" s="57" t="s">
        <v>111</v>
      </c>
      <c r="D6" s="54" t="s">
        <v>112</v>
      </c>
      <c r="E6" s="83" t="s">
        <v>90</v>
      </c>
      <c r="F6" s="54" t="s">
        <v>703</v>
      </c>
      <c r="G6" s="54" t="s">
        <v>100</v>
      </c>
      <c r="H6" s="57" t="s">
        <v>60</v>
      </c>
      <c r="I6" s="54" t="s">
        <v>102</v>
      </c>
      <c r="J6" s="54" t="s">
        <v>103</v>
      </c>
      <c r="K6" s="54" t="s">
        <v>104</v>
      </c>
      <c r="L6" s="54" t="s">
        <v>114</v>
      </c>
      <c r="M6" s="69" t="s">
        <v>113</v>
      </c>
      <c r="N6" s="83" t="s">
        <v>534</v>
      </c>
      <c r="O6" s="54" t="s">
        <v>93</v>
      </c>
      <c r="P6" s="83" t="s">
        <v>133</v>
      </c>
      <c r="Q6" s="83" t="s">
        <v>645</v>
      </c>
      <c r="R6" s="54" t="s">
        <v>131</v>
      </c>
      <c r="S6" s="1078" t="s">
        <v>38</v>
      </c>
      <c r="T6" s="54" t="s">
        <v>421</v>
      </c>
      <c r="U6" s="69" t="s">
        <v>61</v>
      </c>
    </row>
    <row r="7" spans="1:24">
      <c r="A7" s="834">
        <f>Weather_Input!A5</f>
        <v>36957</v>
      </c>
      <c r="B7" s="628">
        <v>0</v>
      </c>
      <c r="C7" s="629">
        <v>0</v>
      </c>
      <c r="D7" s="628">
        <v>0</v>
      </c>
      <c r="E7" s="628">
        <v>0</v>
      </c>
      <c r="F7" s="628">
        <v>0</v>
      </c>
      <c r="G7" s="628">
        <f>(R7+S7+C7+PGL_Requirements!Y7+PGL_Requirements!Z7-NSG_Requirements!C7)*0.05</f>
        <v>6862.75</v>
      </c>
      <c r="H7" s="629">
        <v>0</v>
      </c>
      <c r="I7" s="628">
        <v>0</v>
      </c>
      <c r="J7" s="628">
        <v>0</v>
      </c>
      <c r="K7" s="628">
        <v>0</v>
      </c>
      <c r="L7" s="628">
        <v>50000</v>
      </c>
      <c r="M7" s="628">
        <v>0</v>
      </c>
      <c r="N7" s="629">
        <v>0</v>
      </c>
      <c r="O7" s="923">
        <v>0</v>
      </c>
      <c r="P7" s="628">
        <v>0</v>
      </c>
      <c r="Q7" s="628">
        <v>20000</v>
      </c>
      <c r="R7" s="628">
        <v>103632</v>
      </c>
      <c r="S7" s="628">
        <v>33623</v>
      </c>
      <c r="T7" s="628">
        <v>0</v>
      </c>
      <c r="U7" s="628">
        <v>0</v>
      </c>
      <c r="V7" s="834">
        <f>Weather_Input!A5</f>
        <v>36957</v>
      </c>
      <c r="W7" s="625"/>
      <c r="X7" s="625"/>
    </row>
    <row r="8" spans="1:24">
      <c r="A8" s="834">
        <f>A7+1</f>
        <v>36958</v>
      </c>
      <c r="B8" s="628">
        <v>0</v>
      </c>
      <c r="C8" s="629">
        <v>0</v>
      </c>
      <c r="D8" s="628">
        <v>0</v>
      </c>
      <c r="E8" s="628">
        <v>0</v>
      </c>
      <c r="F8" s="628">
        <v>0</v>
      </c>
      <c r="G8" s="628">
        <f>(R8+S8+C8+PGL_Requirements!Y8+PGL_Requirements!Z8-NSG_Requirements!C8)*0.05</f>
        <v>6865.25</v>
      </c>
      <c r="H8" s="629">
        <v>0</v>
      </c>
      <c r="I8" s="628">
        <v>0</v>
      </c>
      <c r="J8" s="628">
        <v>0</v>
      </c>
      <c r="K8" s="628">
        <v>0</v>
      </c>
      <c r="L8" s="628">
        <v>50000</v>
      </c>
      <c r="M8" s="628">
        <v>0</v>
      </c>
      <c r="N8" s="629">
        <v>0</v>
      </c>
      <c r="O8" s="923">
        <v>0</v>
      </c>
      <c r="P8" s="628">
        <v>0</v>
      </c>
      <c r="Q8" s="628">
        <v>20000</v>
      </c>
      <c r="R8" s="628">
        <v>103657</v>
      </c>
      <c r="S8" s="628">
        <v>33648</v>
      </c>
      <c r="T8" s="628">
        <v>0</v>
      </c>
      <c r="U8" s="628">
        <v>0</v>
      </c>
      <c r="V8" s="834">
        <f>V7+1</f>
        <v>36958</v>
      </c>
      <c r="W8" s="625"/>
      <c r="X8" s="625"/>
    </row>
    <row r="9" spans="1:24">
      <c r="A9" s="834">
        <f>A8+1</f>
        <v>36959</v>
      </c>
      <c r="B9" s="628">
        <v>0</v>
      </c>
      <c r="C9" s="629">
        <v>0</v>
      </c>
      <c r="D9" s="628">
        <v>0</v>
      </c>
      <c r="E9" s="628">
        <v>0</v>
      </c>
      <c r="F9" s="628">
        <v>0</v>
      </c>
      <c r="G9" s="628">
        <f>(R9+S9+C9+PGL_Requirements!Y9+PGL_Requirements!Z9-NSG_Requirements!C9)*0.05</f>
        <v>6865.25</v>
      </c>
      <c r="H9" s="629">
        <v>0</v>
      </c>
      <c r="I9" s="628">
        <v>0</v>
      </c>
      <c r="J9" s="628">
        <v>0</v>
      </c>
      <c r="K9" s="628">
        <v>0</v>
      </c>
      <c r="L9" s="628">
        <v>40000</v>
      </c>
      <c r="M9" s="628">
        <v>0</v>
      </c>
      <c r="N9" s="629">
        <v>0</v>
      </c>
      <c r="O9" s="923">
        <v>0</v>
      </c>
      <c r="P9" s="628">
        <v>0</v>
      </c>
      <c r="Q9" s="628">
        <v>20000</v>
      </c>
      <c r="R9" s="628">
        <v>103657</v>
      </c>
      <c r="S9" s="628">
        <v>33648</v>
      </c>
      <c r="T9" s="628">
        <v>0</v>
      </c>
      <c r="U9" s="628">
        <v>0</v>
      </c>
      <c r="V9" s="834">
        <f>V8+1</f>
        <v>36959</v>
      </c>
      <c r="W9" s="625"/>
      <c r="X9" s="625"/>
    </row>
    <row r="10" spans="1:24">
      <c r="A10" s="834">
        <f>A9+1</f>
        <v>36960</v>
      </c>
      <c r="B10" s="628">
        <v>0</v>
      </c>
      <c r="C10" s="629">
        <v>0</v>
      </c>
      <c r="D10" s="628">
        <v>0</v>
      </c>
      <c r="E10" s="628">
        <v>0</v>
      </c>
      <c r="F10" s="628">
        <v>0</v>
      </c>
      <c r="G10" s="628">
        <f>(R10+S10+C10+PGL_Requirements!Y10+PGL_Requirements!Z10-NSG_Requirements!C10)*0.05</f>
        <v>6865.25</v>
      </c>
      <c r="H10" s="629">
        <v>0</v>
      </c>
      <c r="I10" s="628">
        <v>0</v>
      </c>
      <c r="J10" s="628">
        <v>0</v>
      </c>
      <c r="K10" s="628">
        <v>0</v>
      </c>
      <c r="L10" s="628">
        <v>20000</v>
      </c>
      <c r="M10" s="628">
        <v>0</v>
      </c>
      <c r="N10" s="629">
        <v>0</v>
      </c>
      <c r="O10" s="923">
        <v>0</v>
      </c>
      <c r="P10" s="628">
        <v>0</v>
      </c>
      <c r="Q10" s="628">
        <v>20000</v>
      </c>
      <c r="R10" s="628">
        <v>103657</v>
      </c>
      <c r="S10" s="628">
        <v>33648</v>
      </c>
      <c r="T10" s="628">
        <v>0</v>
      </c>
      <c r="U10" s="628">
        <v>0</v>
      </c>
      <c r="V10" s="834">
        <f>V9+1</f>
        <v>36960</v>
      </c>
      <c r="W10" s="625"/>
      <c r="X10" s="625"/>
    </row>
    <row r="11" spans="1:24">
      <c r="A11" s="834">
        <f>A10+1</f>
        <v>36961</v>
      </c>
      <c r="B11" s="628">
        <v>0</v>
      </c>
      <c r="C11" s="629">
        <v>0</v>
      </c>
      <c r="D11" s="628">
        <v>0</v>
      </c>
      <c r="E11" s="628">
        <v>0</v>
      </c>
      <c r="F11" s="628">
        <v>0</v>
      </c>
      <c r="G11" s="628">
        <f>(R11+S11+C11+PGL_Requirements!Y11+PGL_Requirements!Z11-NSG_Requirements!C11)*0.05</f>
        <v>6865.25</v>
      </c>
      <c r="H11" s="629">
        <v>0</v>
      </c>
      <c r="I11" s="628">
        <v>0</v>
      </c>
      <c r="J11" s="628">
        <v>0</v>
      </c>
      <c r="K11" s="628">
        <v>0</v>
      </c>
      <c r="L11" s="628">
        <v>20000</v>
      </c>
      <c r="M11" s="628">
        <v>0</v>
      </c>
      <c r="N11" s="629">
        <v>0</v>
      </c>
      <c r="O11" s="923">
        <v>0</v>
      </c>
      <c r="P11" s="628">
        <v>0</v>
      </c>
      <c r="Q11" s="628">
        <v>20000</v>
      </c>
      <c r="R11" s="628">
        <v>103657</v>
      </c>
      <c r="S11" s="628">
        <v>33648</v>
      </c>
      <c r="T11" s="628">
        <v>0</v>
      </c>
      <c r="U11" s="628">
        <v>0</v>
      </c>
      <c r="V11" s="834">
        <f>V10+1</f>
        <v>36961</v>
      </c>
      <c r="W11" s="625"/>
      <c r="X11" s="625"/>
    </row>
    <row r="12" spans="1:24">
      <c r="A12" s="834">
        <f>A11+1</f>
        <v>36962</v>
      </c>
      <c r="B12" s="628">
        <v>0</v>
      </c>
      <c r="C12" s="629">
        <v>0</v>
      </c>
      <c r="D12" s="628">
        <v>0</v>
      </c>
      <c r="E12" s="628">
        <v>0</v>
      </c>
      <c r="F12" s="628">
        <v>0</v>
      </c>
      <c r="G12" s="628">
        <f>(R12+S12+C12+PGL_Requirements!Y12+PGL_Requirements!Z12-NSG_Requirements!C12)*0.05</f>
        <v>6865.25</v>
      </c>
      <c r="H12" s="629">
        <v>0</v>
      </c>
      <c r="I12" s="628">
        <v>0</v>
      </c>
      <c r="J12" s="628">
        <v>0</v>
      </c>
      <c r="K12" s="628">
        <v>0</v>
      </c>
      <c r="L12" s="628">
        <v>20000</v>
      </c>
      <c r="M12" s="628">
        <v>0</v>
      </c>
      <c r="N12" s="629">
        <v>0</v>
      </c>
      <c r="O12" s="923">
        <v>0</v>
      </c>
      <c r="P12" s="628">
        <v>0</v>
      </c>
      <c r="Q12" s="628">
        <v>20000</v>
      </c>
      <c r="R12" s="628">
        <v>103657</v>
      </c>
      <c r="S12" s="628">
        <v>33648</v>
      </c>
      <c r="T12" s="628">
        <v>0</v>
      </c>
      <c r="U12" s="628">
        <v>0</v>
      </c>
      <c r="V12" s="834">
        <f>V11+1</f>
        <v>36962</v>
      </c>
      <c r="W12" s="625"/>
      <c r="X12" s="625"/>
    </row>
    <row r="13" spans="1:24">
      <c r="A13" s="625"/>
      <c r="B13" s="625"/>
      <c r="C13" s="625"/>
      <c r="D13" s="625"/>
      <c r="E13" s="625"/>
      <c r="F13" s="625"/>
      <c r="G13" s="625"/>
      <c r="H13" s="625"/>
      <c r="I13" s="625"/>
      <c r="J13" s="625"/>
      <c r="K13" s="625"/>
      <c r="L13" s="625"/>
      <c r="M13" s="628"/>
      <c r="N13" s="629"/>
      <c r="O13" s="625"/>
      <c r="P13" s="625"/>
      <c r="Q13" s="625"/>
      <c r="R13" s="628"/>
      <c r="S13" s="628"/>
      <c r="T13" s="628"/>
      <c r="U13" s="625"/>
      <c r="V13" s="625"/>
      <c r="W13" s="625"/>
      <c r="X13" s="625"/>
    </row>
    <row r="14" spans="1:24">
      <c r="A14" s="625"/>
      <c r="B14" s="625"/>
      <c r="C14" s="625"/>
      <c r="D14" s="625" t="s">
        <v>11</v>
      </c>
      <c r="E14" s="625"/>
      <c r="F14" s="625"/>
      <c r="G14" s="625"/>
      <c r="H14" s="625"/>
      <c r="I14" s="625"/>
      <c r="J14" s="625"/>
      <c r="K14" s="625"/>
      <c r="L14" s="625"/>
      <c r="M14" s="625"/>
      <c r="N14" s="625"/>
      <c r="O14" s="625"/>
      <c r="P14" s="625"/>
      <c r="Q14" s="625"/>
      <c r="R14" s="628" t="s">
        <v>11</v>
      </c>
      <c r="S14" s="625"/>
      <c r="T14" s="625"/>
      <c r="U14" s="625"/>
      <c r="V14" s="625"/>
      <c r="W14" s="625"/>
      <c r="X14" s="625"/>
    </row>
    <row r="15" spans="1:24">
      <c r="A15" s="625"/>
      <c r="B15" s="625"/>
      <c r="C15" s="625"/>
      <c r="D15" s="625"/>
      <c r="E15" s="625"/>
      <c r="F15" s="625"/>
      <c r="G15" s="625"/>
      <c r="H15" s="625"/>
      <c r="I15" s="625"/>
      <c r="J15" s="625"/>
      <c r="K15" s="625"/>
      <c r="L15" s="625"/>
      <c r="M15" s="625"/>
      <c r="N15" s="625"/>
      <c r="O15" s="625"/>
      <c r="P15" s="625"/>
      <c r="Q15" s="625"/>
      <c r="R15" s="628" t="s">
        <v>11</v>
      </c>
      <c r="S15" s="625"/>
      <c r="T15" s="625" t="s">
        <v>11</v>
      </c>
      <c r="U15" s="625"/>
      <c r="V15" s="625"/>
      <c r="W15" s="625"/>
      <c r="X15" s="625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134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5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5"/>
  <sheetViews>
    <sheetView zoomScale="75" workbookViewId="0">
      <selection sqref="A1:I64"/>
    </sheetView>
  </sheetViews>
  <sheetFormatPr defaultColWidth="9.77734375" defaultRowHeight="15"/>
  <cols>
    <col min="1" max="1" width="29" style="113" customWidth="1"/>
    <col min="2" max="2" width="12" style="113" customWidth="1"/>
    <col min="3" max="3" width="15.21875" style="113" customWidth="1"/>
    <col min="4" max="9" width="8.6640625" style="113" customWidth="1"/>
    <col min="10" max="10" width="20.33203125" style="113" customWidth="1"/>
    <col min="11" max="11" width="16.5546875" style="113" customWidth="1"/>
    <col min="12" max="12" width="9.77734375" style="113"/>
    <col min="13" max="13" width="13.77734375" style="113" customWidth="1"/>
    <col min="14" max="16384" width="9.77734375" style="113"/>
  </cols>
  <sheetData>
    <row r="1" spans="1:256" ht="16.5" thickTop="1">
      <c r="A1" s="879" t="s">
        <v>0</v>
      </c>
      <c r="B1" s="837"/>
      <c r="C1" s="904"/>
      <c r="D1" s="837"/>
      <c r="E1" s="837"/>
      <c r="F1" s="837" t="s">
        <v>11</v>
      </c>
      <c r="G1" s="837" t="s">
        <v>135</v>
      </c>
      <c r="H1" s="838" t="str">
        <f>D3</f>
        <v>WED</v>
      </c>
      <c r="I1" s="839">
        <f>D4</f>
        <v>36957</v>
      </c>
    </row>
    <row r="2" spans="1:256" ht="15.75">
      <c r="A2" s="840" t="s">
        <v>136</v>
      </c>
      <c r="B2" s="841"/>
      <c r="C2" s="841"/>
      <c r="D2" s="841"/>
      <c r="E2" s="841"/>
      <c r="F2" s="841"/>
      <c r="G2" s="841"/>
      <c r="H2" s="841"/>
      <c r="I2" s="842"/>
    </row>
    <row r="3" spans="1:256" ht="16.5" thickBot="1">
      <c r="A3" s="843"/>
      <c r="B3" s="841"/>
      <c r="C3" s="841"/>
      <c r="D3" s="844" t="str">
        <f t="shared" ref="D3:I3" si="0">CHOOSE(WEEKDAY(D4),"SUN","MON","TUE","WED","THU","FRI","SAT")</f>
        <v>WED</v>
      </c>
      <c r="E3" s="844" t="str">
        <f t="shared" si="0"/>
        <v>THU</v>
      </c>
      <c r="F3" s="844" t="str">
        <f t="shared" si="0"/>
        <v>FRI</v>
      </c>
      <c r="G3" s="844" t="str">
        <f t="shared" si="0"/>
        <v>SAT</v>
      </c>
      <c r="H3" s="844" t="str">
        <f t="shared" si="0"/>
        <v>SUN</v>
      </c>
      <c r="I3" s="845" t="str">
        <f t="shared" si="0"/>
        <v>MON</v>
      </c>
    </row>
    <row r="4" spans="1:256" ht="15.75" thickBot="1">
      <c r="A4" s="846"/>
      <c r="B4" s="847"/>
      <c r="C4" s="847"/>
      <c r="D4" s="466">
        <f>Weather_Input!A5</f>
        <v>36957</v>
      </c>
      <c r="E4" s="466">
        <f>Weather_Input!A6</f>
        <v>36958</v>
      </c>
      <c r="F4" s="466">
        <f>Weather_Input!A7</f>
        <v>36959</v>
      </c>
      <c r="G4" s="466">
        <f>Weather_Input!A8</f>
        <v>36960</v>
      </c>
      <c r="H4" s="466">
        <f>Weather_Input!A9</f>
        <v>36961</v>
      </c>
      <c r="I4" s="467">
        <f>Weather_Input!A10</f>
        <v>36962</v>
      </c>
    </row>
    <row r="5" spans="1:256" ht="16.5" customHeight="1" thickTop="1">
      <c r="A5" s="850" t="s">
        <v>137</v>
      </c>
      <c r="B5" s="841"/>
      <c r="C5" s="841" t="s">
        <v>138</v>
      </c>
      <c r="D5" s="468" t="str">
        <f>TEXT(Weather_Input!B5,"0")&amp;"/"&amp;TEXT(Weather_Input!C5,"0") &amp; "/" &amp; TEXT((Weather_Input!B5+Weather_Input!C5)/2,"0")</f>
        <v>44/30/37</v>
      </c>
      <c r="E5" s="468" t="str">
        <f>TEXT(Weather_Input!B6,"0")&amp;"/"&amp;TEXT(Weather_Input!C6,"0") &amp; "/" &amp; TEXT((Weather_Input!B6+Weather_Input!C6)/2,"0")</f>
        <v>33/22/28</v>
      </c>
      <c r="F5" s="468" t="str">
        <f>TEXT(Weather_Input!B7,"0")&amp;"/"&amp;TEXT(Weather_Input!C7,"0") &amp; "/" &amp; TEXT((Weather_Input!B7+Weather_Input!C7)/2,"0")</f>
        <v>35/20/28</v>
      </c>
      <c r="G5" s="468" t="str">
        <f>TEXT(Weather_Input!B8,"0")&amp;"/"&amp;TEXT(Weather_Input!C8,"0") &amp; "/" &amp; TEXT((Weather_Input!B8+Weather_Input!C8)/2,"0")</f>
        <v>43/28/36</v>
      </c>
      <c r="H5" s="468" t="str">
        <f>TEXT(Weather_Input!B9,"0")&amp;"/"&amp;TEXT(Weather_Input!C9,"0") &amp; "/" &amp; TEXT((Weather_Input!B9+Weather_Input!C9)/2,"0")</f>
        <v>45/31/38</v>
      </c>
      <c r="I5" s="469" t="str">
        <f>TEXT(Weather_Input!B10,"0")&amp;"/"&amp;TEXT(Weather_Input!C10,"0") &amp; "/" &amp; TEXT((Weather_Input!B10+Weather_Input!C10)/2,"0")</f>
        <v>48/35/42</v>
      </c>
    </row>
    <row r="6" spans="1:256" ht="15.75">
      <c r="A6" s="853" t="s">
        <v>139</v>
      </c>
      <c r="B6" s="841"/>
      <c r="C6" s="841"/>
      <c r="D6" s="468">
        <f>PGL_Deliveries!C5/1000</f>
        <v>955</v>
      </c>
      <c r="E6" s="468">
        <f>PGL_Deliveries!C6/1000</f>
        <v>1045</v>
      </c>
      <c r="F6" s="468">
        <f>PGL_Deliveries!C7/1000</f>
        <v>1040</v>
      </c>
      <c r="G6" s="468">
        <f>PGL_Deliveries!C8/1000</f>
        <v>900</v>
      </c>
      <c r="H6" s="468">
        <f>PGL_Deliveries!C9/1000</f>
        <v>865</v>
      </c>
      <c r="I6" s="469">
        <f>PGL_Deliveries!C10/1000</f>
        <v>795</v>
      </c>
    </row>
    <row r="7" spans="1:256" ht="15.75">
      <c r="A7" s="853" t="s">
        <v>574</v>
      </c>
      <c r="B7" s="841" t="s">
        <v>421</v>
      </c>
      <c r="C7" s="841"/>
      <c r="D7" s="468">
        <f>PGL_Requirements!H7/1000*0.5</f>
        <v>0</v>
      </c>
      <c r="E7" s="468">
        <f>PGL_Requirements!H8/1000*0.5</f>
        <v>0</v>
      </c>
      <c r="F7" s="468">
        <f>PGL_Requirements!H9/1000*0.5</f>
        <v>0</v>
      </c>
      <c r="G7" s="468">
        <f>PGL_Requirements!H10/1000*0.5</f>
        <v>0</v>
      </c>
      <c r="H7" s="468">
        <f>PGL_Requirements!H11/1000*0.5</f>
        <v>0</v>
      </c>
      <c r="I7" s="469">
        <f>PGL_Requirements!H12/1000*0.5</f>
        <v>0</v>
      </c>
    </row>
    <row r="8" spans="1:256" ht="15.75">
      <c r="A8" s="853" t="s">
        <v>728</v>
      </c>
      <c r="B8" s="841"/>
      <c r="C8" s="841"/>
      <c r="D8" s="468">
        <f>PGL_Requirements!I7/1000</f>
        <v>0</v>
      </c>
      <c r="E8" s="468">
        <f>PGL_Requirements!I8/1000</f>
        <v>5</v>
      </c>
      <c r="F8" s="468">
        <f>PGL_Requirements!I9/1000</f>
        <v>0</v>
      </c>
      <c r="G8" s="468">
        <f>PGL_Requirements!I10/1000</f>
        <v>0</v>
      </c>
      <c r="H8" s="468">
        <f>PGL_Requirements!I11/1000</f>
        <v>0</v>
      </c>
      <c r="I8" s="469">
        <f>PGL_Requirements!I12/1000</f>
        <v>0</v>
      </c>
    </row>
    <row r="9" spans="1:256" ht="15.75">
      <c r="A9" s="850" t="s">
        <v>140</v>
      </c>
      <c r="B9" s="841" t="s">
        <v>143</v>
      </c>
      <c r="C9" s="854"/>
      <c r="D9" s="468">
        <v>0</v>
      </c>
      <c r="E9" s="468">
        <v>0</v>
      </c>
      <c r="F9" s="468">
        <v>0</v>
      </c>
      <c r="G9" s="468">
        <v>0</v>
      </c>
      <c r="H9" s="468">
        <v>0</v>
      </c>
      <c r="I9" s="469">
        <v>0</v>
      </c>
    </row>
    <row r="10" spans="1:256" ht="15.75">
      <c r="A10" s="850"/>
      <c r="B10" s="841" t="s">
        <v>147</v>
      </c>
      <c r="C10" s="854"/>
      <c r="D10" s="468">
        <v>0</v>
      </c>
      <c r="E10" s="468">
        <v>0</v>
      </c>
      <c r="F10" s="468">
        <v>0</v>
      </c>
      <c r="G10" s="468">
        <v>0</v>
      </c>
      <c r="H10" s="468">
        <v>0</v>
      </c>
      <c r="I10" s="469">
        <v>0</v>
      </c>
    </row>
    <row r="11" spans="1:256" ht="15.75">
      <c r="A11" s="850"/>
      <c r="B11" s="841" t="s">
        <v>421</v>
      </c>
      <c r="C11" s="841"/>
      <c r="D11" s="468">
        <f>PGL_Requirements!K7/1000</f>
        <v>0</v>
      </c>
      <c r="E11" s="468">
        <f>PGL_Requirements!K8/1000</f>
        <v>0</v>
      </c>
      <c r="F11" s="468">
        <f>PGL_Requirements!K9/1000</f>
        <v>0</v>
      </c>
      <c r="G11" s="468">
        <f>PGL_Requirements!K10/1000</f>
        <v>0</v>
      </c>
      <c r="H11" s="468">
        <f>PGL_Requirements!K11/1000</f>
        <v>0</v>
      </c>
      <c r="I11" s="469">
        <f>PGL_Requirements!K12/1000</f>
        <v>0</v>
      </c>
    </row>
    <row r="12" spans="1:256" ht="15.75">
      <c r="A12" s="850"/>
      <c r="B12" s="841" t="s">
        <v>141</v>
      </c>
      <c r="C12" s="841"/>
      <c r="D12" s="468">
        <f>PGL_Requirements!L7/1000</f>
        <v>0</v>
      </c>
      <c r="E12" s="468">
        <f>PGL_Requirements!L8/1000</f>
        <v>0</v>
      </c>
      <c r="F12" s="468">
        <f>PGL_Requirements!L9/1000</f>
        <v>0</v>
      </c>
      <c r="G12" s="468">
        <f>PGL_Requirements!L10/1000</f>
        <v>0</v>
      </c>
      <c r="H12" s="468">
        <f>PGL_Requirements!L11/1000</f>
        <v>0</v>
      </c>
      <c r="I12" s="469">
        <f>PGL_Requirements!L12/1000</f>
        <v>0</v>
      </c>
    </row>
    <row r="13" spans="1:256" ht="15.75">
      <c r="A13" s="850" t="s">
        <v>144</v>
      </c>
      <c r="B13" s="841" t="s">
        <v>145</v>
      </c>
      <c r="C13" s="841" t="s">
        <v>60</v>
      </c>
      <c r="D13" s="468">
        <f>PGL_Requirements!P7/1000</f>
        <v>0</v>
      </c>
      <c r="E13" s="468">
        <f>PGL_Requirements!P8/1000</f>
        <v>0</v>
      </c>
      <c r="F13" s="468">
        <f>PGL_Requirements!P9/1000</f>
        <v>250</v>
      </c>
      <c r="G13" s="468">
        <f>PGL_Requirements!P10/1000</f>
        <v>250</v>
      </c>
      <c r="H13" s="468">
        <f>PGL_Requirements!P11/1000</f>
        <v>250</v>
      </c>
      <c r="I13" s="469">
        <f>PGL_Requirements!P12/1000</f>
        <v>250</v>
      </c>
    </row>
    <row r="14" spans="1:256" ht="15.75">
      <c r="A14" s="850"/>
      <c r="B14" s="841"/>
      <c r="C14" s="841" t="s">
        <v>101</v>
      </c>
      <c r="D14" s="468">
        <f>PGL_Requirements!Q7/1000</f>
        <v>0</v>
      </c>
      <c r="E14" s="468">
        <f>PGL_Requirements!Q8/1000</f>
        <v>0</v>
      </c>
      <c r="F14" s="468">
        <f>PGL_Requirements!Q9/1000</f>
        <v>3.75</v>
      </c>
      <c r="G14" s="468">
        <f>PGL_Requirements!Q10/1000</f>
        <v>3.75</v>
      </c>
      <c r="H14" s="468">
        <f>PGL_Requirements!Q11/1000</f>
        <v>3.75</v>
      </c>
      <c r="I14" s="469">
        <f>PGL_Requirements!Q12/1000</f>
        <v>3.75</v>
      </c>
    </row>
    <row r="15" spans="1:256" ht="15.75">
      <c r="A15" s="850"/>
      <c r="C15" s="841" t="s">
        <v>747</v>
      </c>
      <c r="D15" s="468">
        <f>PGL_Requirements!R7/1000</f>
        <v>0.38</v>
      </c>
      <c r="E15" s="468">
        <f>PGL_Requirements!R8/1000</f>
        <v>0.66</v>
      </c>
      <c r="F15" s="468">
        <f>PGL_Requirements!R9/1000</f>
        <v>0.66</v>
      </c>
      <c r="G15" s="468">
        <f>PGL_Requirements!R10/1000</f>
        <v>0.66</v>
      </c>
      <c r="H15" s="468">
        <f>PGL_Requirements!R11/1000</f>
        <v>0.66</v>
      </c>
      <c r="I15" s="469">
        <f>PGL_Requirements!R12/1000</f>
        <v>0.66</v>
      </c>
    </row>
    <row r="16" spans="1:256" ht="15.75">
      <c r="A16" s="850"/>
      <c r="C16" s="841" t="s">
        <v>780</v>
      </c>
      <c r="D16" s="468">
        <f>PGL_Requirements!B7/1000</f>
        <v>0</v>
      </c>
      <c r="E16" s="468">
        <f>PGL_Requirements!B8/1000</f>
        <v>0</v>
      </c>
      <c r="F16" s="468">
        <f>PGL_Requirements!B9/1000</f>
        <v>0</v>
      </c>
      <c r="G16" s="468">
        <f>PGL_Requirements!B10/1000</f>
        <v>0</v>
      </c>
      <c r="H16" s="468">
        <f>PGL_Requirements!B11/1000</f>
        <v>0</v>
      </c>
      <c r="I16" s="469">
        <f>PGL_Requirements!B12/1000</f>
        <v>0</v>
      </c>
      <c r="IV16" s="468" t="s">
        <v>11</v>
      </c>
    </row>
    <row r="17" spans="1:10" ht="15.75">
      <c r="A17" s="850"/>
      <c r="B17" s="841" t="s">
        <v>184</v>
      </c>
      <c r="C17" s="841" t="s">
        <v>726</v>
      </c>
      <c r="D17" s="468">
        <v>0</v>
      </c>
      <c r="E17" s="468">
        <v>0</v>
      </c>
      <c r="F17" s="468">
        <v>0</v>
      </c>
      <c r="G17" s="468">
        <v>0</v>
      </c>
      <c r="H17" s="468">
        <v>0</v>
      </c>
      <c r="I17" s="469">
        <v>0</v>
      </c>
    </row>
    <row r="18" spans="1:10" ht="15.75">
      <c r="A18" s="850"/>
      <c r="B18" s="841" t="s">
        <v>143</v>
      </c>
      <c r="C18" s="841" t="s">
        <v>90</v>
      </c>
      <c r="D18" s="468">
        <f>PGL_Requirements!U7/1000</f>
        <v>0</v>
      </c>
      <c r="E18" s="468">
        <f>PGL_Requirements!U8/1000</f>
        <v>20</v>
      </c>
      <c r="F18" s="468">
        <f>PGL_Requirements!U9/1000</f>
        <v>0</v>
      </c>
      <c r="G18" s="468">
        <f>PGL_Requirements!U10/1000</f>
        <v>0</v>
      </c>
      <c r="H18" s="468">
        <f>PGL_Requirements!U11/1000</f>
        <v>0</v>
      </c>
      <c r="I18" s="469">
        <f>PGL_Requirements!U12/1000</f>
        <v>0</v>
      </c>
    </row>
    <row r="19" spans="1:10" ht="15.75">
      <c r="A19" s="850"/>
      <c r="B19" s="841" t="s">
        <v>141</v>
      </c>
      <c r="C19" s="841" t="s">
        <v>90</v>
      </c>
      <c r="D19" s="468">
        <f>PGL_Requirements!O7/1000</f>
        <v>77.366</v>
      </c>
      <c r="E19" s="468">
        <f>PGL_Requirements!O8/1000</f>
        <v>34.97</v>
      </c>
      <c r="F19" s="468">
        <f>PGL_Requirements!O9/1000</f>
        <v>0</v>
      </c>
      <c r="G19" s="468">
        <f>PGL_Requirements!O10/1000</f>
        <v>0</v>
      </c>
      <c r="H19" s="468">
        <f>PGL_Requirements!O11/1000</f>
        <v>0</v>
      </c>
      <c r="I19" s="469">
        <f>PGL_Requirements!O12/1000</f>
        <v>0</v>
      </c>
    </row>
    <row r="20" spans="1:10" ht="15.75">
      <c r="A20" s="853" t="s">
        <v>146</v>
      </c>
      <c r="B20" s="857" t="s">
        <v>143</v>
      </c>
      <c r="C20" s="857"/>
      <c r="D20" s="468">
        <f>(PGL_Requirements!$V$7+PGL_Requirements!$W$7+PGL_Requirements!$X$7)/1000</f>
        <v>0</v>
      </c>
      <c r="E20" s="468">
        <f>(PGL_Requirements!$V$8+PGL_Requirements!$W$8+PGL_Requirements!$X$8)/1000</f>
        <v>0</v>
      </c>
      <c r="F20" s="468">
        <f>(PGL_Requirements!$V$9+PGL_Requirements!$W$9+PGL_Requirements!$X$9)/1000</f>
        <v>0</v>
      </c>
      <c r="G20" s="468">
        <f>(PGL_Requirements!$V$10+PGL_Requirements!$W$10+PGL_Requirements!$X$10)/1000</f>
        <v>0</v>
      </c>
      <c r="H20" s="468">
        <f>(PGL_Requirements!$V$11+PGL_Requirements!$W$11+PGL_Requirements!$X$11)/1000</f>
        <v>0</v>
      </c>
      <c r="I20" s="469">
        <f>(PGL_Requirements!$V$12+PGL_Requirements!$W$12+PGL_Requirements!$X$12)/1000</f>
        <v>0</v>
      </c>
    </row>
    <row r="21" spans="1:10" ht="15.75">
      <c r="A21" s="850"/>
      <c r="B21" s="857" t="s">
        <v>141</v>
      </c>
      <c r="C21" s="857"/>
      <c r="D21" s="468">
        <f>(PGL_Requirements!$Y$7+PGL_Requirements!$Z$7+PGL_Requirements!$AA$7+PGL_Requirements!$AB$7)/1000</f>
        <v>0</v>
      </c>
      <c r="E21" s="468">
        <f>(PGL_Requirements!$Y$8+PGL_Requirements!$Z$8+PGL_Requirements!$AA$8+PGL_Requirements!$AB$8)/1000</f>
        <v>0</v>
      </c>
      <c r="F21" s="468">
        <f>(PGL_Requirements!$Y$9+PGL_Requirements!$Z$9+PGL_Requirements!$AA$9+PGL_Requirements!$AB$9)/1000</f>
        <v>0</v>
      </c>
      <c r="G21" s="468">
        <f>(PGL_Requirements!$Y$10+PGL_Requirements!$Z$10+PGL_Requirements!$AA$10+PGL_Requirements!$AB$10)/1000</f>
        <v>0</v>
      </c>
      <c r="H21" s="468">
        <f>(PGL_Requirements!$Y$11+PGL_Requirements!$Z$11+PGL_Requirements!$AA$11+PGL_Requirements!$AB$11)/1000</f>
        <v>0</v>
      </c>
      <c r="I21" s="469">
        <f>(PGL_Requirements!$Y$12+PGL_Requirements!$Z$12+PGL_Requirements!$AA$12+PGL_Requirements!$AB$12)/1000</f>
        <v>0</v>
      </c>
    </row>
    <row r="22" spans="1:10" ht="15.75">
      <c r="A22" s="850"/>
      <c r="B22" s="841" t="s">
        <v>421</v>
      </c>
      <c r="C22" s="857"/>
      <c r="D22" s="468">
        <f>PGL_Requirements!$AF$7+PGL_Requirements!$AG$7+PGL_Requirements!$AH$7+PGL_Requirements!$AI$7/1000</f>
        <v>0</v>
      </c>
      <c r="E22" s="468">
        <f>PGL_Requirements!$AF$8+PGL_Requirements!$AG$8+PGL_Requirements!$AH$8+PGL_Requirements!$AI$8/1000</f>
        <v>0</v>
      </c>
      <c r="F22" s="468">
        <f>PGL_Requirements!$AF$9+PGL_Requirements!$AG$9+PGL_Requirements!$AH$9+PGL_Requirements!$AI$9/1000</f>
        <v>0</v>
      </c>
      <c r="G22" s="468">
        <f>PGL_Requirements!$AF$10+PGL_Requirements!$AG$10+PGL_Requirements!$AH$10+PGL_Requirements!$AI$10/1000</f>
        <v>0</v>
      </c>
      <c r="H22" s="468">
        <f>PGL_Requirements!$AF$11+PGL_Requirements!$AG$11+PGL_Requirements!$AH$11+PGL_Requirements!$AI$11/1000</f>
        <v>0</v>
      </c>
      <c r="I22" s="469">
        <f>PGL_Requirements!$AF$12+PGL_Requirements!$AG$12+PGL_Requirements!$AH$12+PGL_Requirements!$AI$12/1000</f>
        <v>0</v>
      </c>
      <c r="J22" s="782"/>
    </row>
    <row r="23" spans="1:10" ht="15.75">
      <c r="A23" s="850"/>
      <c r="B23" s="855" t="s">
        <v>148</v>
      </c>
      <c r="C23" s="857" t="s">
        <v>127</v>
      </c>
      <c r="D23" s="468">
        <f>NSG_Supplies!H7/1000</f>
        <v>0</v>
      </c>
      <c r="E23" s="468">
        <f>NSG_Supplies!H8/1000</f>
        <v>0</v>
      </c>
      <c r="F23" s="468">
        <f>NSG_Supplies!H9/1000</f>
        <v>0</v>
      </c>
      <c r="G23" s="468">
        <f>NSG_Supplies!H10/1000</f>
        <v>0</v>
      </c>
      <c r="H23" s="468">
        <f>NSG_Supplies!H11/1000</f>
        <v>0</v>
      </c>
      <c r="I23" s="469">
        <f>NSG_Supplies!H12/1000</f>
        <v>0</v>
      </c>
      <c r="J23" s="782"/>
    </row>
    <row r="24" spans="1:10" ht="15.75">
      <c r="A24" s="853" t="s">
        <v>149</v>
      </c>
      <c r="B24" s="841"/>
      <c r="C24" s="841"/>
      <c r="D24" s="468">
        <f>PGL_Requirements!G7/1000</f>
        <v>72.634</v>
      </c>
      <c r="E24" s="468">
        <f>PGL_Requirements!G8/1000</f>
        <v>20</v>
      </c>
      <c r="F24" s="468">
        <f>PGL_Requirements!G9/1000</f>
        <v>0</v>
      </c>
      <c r="G24" s="468">
        <f>PGL_Requirements!G10/1000</f>
        <v>0</v>
      </c>
      <c r="H24" s="468">
        <f>PGL_Requirements!G11/1000</f>
        <v>0</v>
      </c>
      <c r="I24" s="469">
        <f>PGL_Requirements!G12/1000</f>
        <v>0</v>
      </c>
    </row>
    <row r="25" spans="1:10" ht="15.75">
      <c r="A25" s="850" t="s">
        <v>150</v>
      </c>
      <c r="B25" s="841" t="s">
        <v>765</v>
      </c>
      <c r="C25" s="841"/>
      <c r="D25" s="468">
        <f>PGL_Requirements!J7/1000</f>
        <v>0</v>
      </c>
      <c r="E25" s="468">
        <f>PGL_Requirements!J8/1000</f>
        <v>0</v>
      </c>
      <c r="F25" s="468">
        <f>PGL_Requirements!J9/1000</f>
        <v>0</v>
      </c>
      <c r="G25" s="468">
        <f>PGL_Requirements!J10/1000</f>
        <v>0</v>
      </c>
      <c r="H25" s="468">
        <f>PGL_Requirements!J11/1000</f>
        <v>0</v>
      </c>
      <c r="I25" s="469">
        <f>PGL_Requirements!J12/1000</f>
        <v>0</v>
      </c>
    </row>
    <row r="26" spans="1:10" ht="15.75">
      <c r="A26" s="850"/>
      <c r="B26" s="841" t="s">
        <v>68</v>
      </c>
      <c r="C26" s="841"/>
      <c r="D26" s="468">
        <f>PGL_Requirements!C7/1000</f>
        <v>0</v>
      </c>
      <c r="E26" s="468">
        <f>PGL_Requirements!C8/1000</f>
        <v>0</v>
      </c>
      <c r="F26" s="468">
        <f>PGL_Requirements!C9/1000</f>
        <v>0</v>
      </c>
      <c r="G26" s="468">
        <f>PGL_Requirements!C10/1000</f>
        <v>0</v>
      </c>
      <c r="H26" s="468">
        <f>PGL_Requirements!C11/1000</f>
        <v>0</v>
      </c>
      <c r="I26" s="469">
        <f>PGL_Requirements!C12/1000</f>
        <v>0</v>
      </c>
    </row>
    <row r="27" spans="1:10" ht="15.75">
      <c r="A27" s="850"/>
      <c r="B27" s="841" t="s">
        <v>93</v>
      </c>
      <c r="C27" s="841"/>
      <c r="D27" s="468">
        <f>PGL_Requirements!D7/1000</f>
        <v>1</v>
      </c>
      <c r="E27" s="468">
        <f>PGL_Requirements!D8/1000</f>
        <v>0</v>
      </c>
      <c r="F27" s="468">
        <f>PGL_Requirements!D9/1000</f>
        <v>0</v>
      </c>
      <c r="G27" s="468">
        <f>PGL_Requirements!D10/1000</f>
        <v>0</v>
      </c>
      <c r="H27" s="468">
        <f>PGL_Requirements!D11/1000</f>
        <v>0</v>
      </c>
      <c r="I27" s="469">
        <f>PGL_Requirements!D12/1000</f>
        <v>0</v>
      </c>
    </row>
    <row r="28" spans="1:10" ht="15.75">
      <c r="A28" s="850"/>
      <c r="B28" s="841" t="s">
        <v>421</v>
      </c>
      <c r="C28" s="841"/>
      <c r="D28" s="468">
        <f>PGL_Requirements!E7/1000</f>
        <v>0</v>
      </c>
      <c r="E28" s="468">
        <f>PGL_Requirements!E8/1000</f>
        <v>0</v>
      </c>
      <c r="F28" s="468">
        <f>PGL_Requirements!E9/1000</f>
        <v>0</v>
      </c>
      <c r="G28" s="468">
        <f>PGL_Requirements!E10/1000</f>
        <v>0</v>
      </c>
      <c r="H28" s="468">
        <f>PGL_Requirements!E11/1000</f>
        <v>0</v>
      </c>
      <c r="I28" s="469">
        <f>PGL_Requirements!E12/1000</f>
        <v>0</v>
      </c>
    </row>
    <row r="29" spans="1:10" ht="15.75">
      <c r="A29" s="850"/>
      <c r="B29" s="841" t="s">
        <v>96</v>
      </c>
      <c r="C29" s="841"/>
      <c r="D29" s="470">
        <f>PGL_Requirements!F7/1000</f>
        <v>0</v>
      </c>
      <c r="E29" s="470">
        <f>PGL_Requirements!F8/1000</f>
        <v>0</v>
      </c>
      <c r="F29" s="470">
        <f>PGL_Requirements!F9/1000</f>
        <v>0</v>
      </c>
      <c r="G29" s="470">
        <f>PGL_Requirements!F10/1000</f>
        <v>0</v>
      </c>
      <c r="H29" s="470">
        <f>PGL_Requirements!F11/1000</f>
        <v>0</v>
      </c>
      <c r="I29" s="471">
        <f>PGL_Requirements!F12/1000</f>
        <v>0</v>
      </c>
    </row>
    <row r="30" spans="1:10" ht="16.5" thickBot="1">
      <c r="A30" s="858" t="s">
        <v>151</v>
      </c>
      <c r="B30" s="859"/>
      <c r="C30" s="859"/>
      <c r="D30" s="472">
        <f t="shared" ref="D30:I30" si="1">SUM(D6:D29)</f>
        <v>1106.3800000000001</v>
      </c>
      <c r="E30" s="472">
        <f t="shared" si="1"/>
        <v>1125.6300000000001</v>
      </c>
      <c r="F30" s="472">
        <f t="shared" si="1"/>
        <v>1294.4100000000001</v>
      </c>
      <c r="G30" s="472">
        <f t="shared" si="1"/>
        <v>1154.4100000000001</v>
      </c>
      <c r="H30" s="472">
        <f t="shared" si="1"/>
        <v>1119.4100000000001</v>
      </c>
      <c r="I30" s="1177">
        <f t="shared" si="1"/>
        <v>1049.4100000000001</v>
      </c>
    </row>
    <row r="31" spans="1:10" ht="17.25" thickTop="1" thickBot="1">
      <c r="A31" s="862"/>
      <c r="B31" s="841"/>
      <c r="C31" s="841"/>
      <c r="D31" s="473"/>
      <c r="E31" s="474"/>
      <c r="F31" s="474"/>
      <c r="G31" s="474"/>
      <c r="H31" s="474"/>
      <c r="I31" s="475"/>
    </row>
    <row r="32" spans="1:10" ht="16.5" thickTop="1" thickBot="1">
      <c r="A32" s="863" t="s">
        <v>152</v>
      </c>
      <c r="B32" s="864"/>
      <c r="C32" s="864"/>
      <c r="D32" s="476"/>
      <c r="E32" s="477"/>
      <c r="F32" s="477"/>
      <c r="G32" s="477"/>
      <c r="H32" s="477"/>
      <c r="I32" s="1178"/>
    </row>
    <row r="33" spans="1:9" ht="16.5" thickTop="1">
      <c r="A33" s="850" t="s">
        <v>153</v>
      </c>
      <c r="B33" s="841" t="s">
        <v>145</v>
      </c>
      <c r="C33" s="841" t="s">
        <v>60</v>
      </c>
      <c r="D33" s="468">
        <f>PGL_Supplies!M7/1000</f>
        <v>1.1299999999999999</v>
      </c>
      <c r="E33" s="468">
        <f>PGL_Supplies!M8/1000</f>
        <v>0</v>
      </c>
      <c r="F33" s="468">
        <f>PGL_Supplies!M9/1000</f>
        <v>0</v>
      </c>
      <c r="G33" s="468">
        <f>PGL_Supplies!M10/1000</f>
        <v>0</v>
      </c>
      <c r="H33" s="468">
        <f>PGL_Supplies!M11/1000</f>
        <v>0</v>
      </c>
      <c r="I33" s="469">
        <f>PGL_Supplies!M12/1000</f>
        <v>0</v>
      </c>
    </row>
    <row r="34" spans="1:9" ht="15.75">
      <c r="A34" s="850"/>
      <c r="B34" s="841"/>
      <c r="C34" s="841" t="s">
        <v>94</v>
      </c>
      <c r="D34" s="468">
        <f>PGL_Supplies!H7/1000</f>
        <v>1.6719999999999999</v>
      </c>
      <c r="E34" s="468">
        <f>PGL_Supplies!H8/1000</f>
        <v>1</v>
      </c>
      <c r="F34" s="468">
        <f>PGL_Supplies!H9/1000</f>
        <v>1</v>
      </c>
      <c r="G34" s="468">
        <f>PGL_Supplies!H10/1000</f>
        <v>1</v>
      </c>
      <c r="H34" s="468">
        <f>PGL_Supplies!H11/1000</f>
        <v>1</v>
      </c>
      <c r="I34" s="469">
        <f>PGL_Supplies!H12/1000</f>
        <v>1</v>
      </c>
    </row>
    <row r="35" spans="1:9" ht="15.75">
      <c r="A35" s="850"/>
      <c r="B35" s="841"/>
      <c r="C35" s="841" t="s">
        <v>61</v>
      </c>
      <c r="D35" s="468">
        <f>PGL_Supplies!J7/1000</f>
        <v>0</v>
      </c>
      <c r="E35" s="468">
        <f>PGL_Supplies!J8/1000</f>
        <v>0</v>
      </c>
      <c r="F35" s="468">
        <f>PGL_Supplies!J9/1000</f>
        <v>0</v>
      </c>
      <c r="G35" s="468">
        <f>PGL_Supplies!J10/1000</f>
        <v>0</v>
      </c>
      <c r="H35" s="468">
        <f>PGL_Supplies!J11/1000</f>
        <v>0</v>
      </c>
      <c r="I35" s="469">
        <f>PGL_Supplies!J12/1000</f>
        <v>0</v>
      </c>
    </row>
    <row r="36" spans="1:9" ht="15.75">
      <c r="A36" s="850"/>
      <c r="B36" s="841" t="s">
        <v>143</v>
      </c>
      <c r="C36" s="841" t="s">
        <v>90</v>
      </c>
      <c r="D36" s="468">
        <f>PGL_Supplies!R7/1000</f>
        <v>0</v>
      </c>
      <c r="E36" s="468">
        <f>PGL_Supplies!R8/1000</f>
        <v>0</v>
      </c>
      <c r="F36" s="468">
        <f>PGL_Supplies!R9/1000</f>
        <v>0</v>
      </c>
      <c r="G36" s="468">
        <f>PGL_Supplies!R10/1000</f>
        <v>0</v>
      </c>
      <c r="H36" s="468">
        <f>PGL_Supplies!R11/1000</f>
        <v>0</v>
      </c>
      <c r="I36" s="469">
        <f>PGL_Supplies!R12/1000</f>
        <v>0</v>
      </c>
    </row>
    <row r="37" spans="1:9" ht="15.75">
      <c r="A37" s="850"/>
      <c r="B37" s="841" t="s">
        <v>141</v>
      </c>
      <c r="C37" s="841" t="s">
        <v>90</v>
      </c>
      <c r="D37" s="468">
        <f>PGL_Supplies!L7/1000</f>
        <v>0</v>
      </c>
      <c r="E37" s="468">
        <f>PGL_Supplies!L8/1000</f>
        <v>0</v>
      </c>
      <c r="F37" s="468">
        <f>PGL_Supplies!L9/1000</f>
        <v>0</v>
      </c>
      <c r="G37" s="468">
        <f>PGL_Supplies!L10/1000</f>
        <v>0</v>
      </c>
      <c r="H37" s="468">
        <f>PGL_Supplies!L11/1000</f>
        <v>0</v>
      </c>
      <c r="I37" s="469">
        <f>PGL_Supplies!L12/1000</f>
        <v>0</v>
      </c>
    </row>
    <row r="38" spans="1:9" ht="15.75">
      <c r="A38" s="853" t="s">
        <v>155</v>
      </c>
      <c r="B38" s="841" t="s">
        <v>143</v>
      </c>
      <c r="C38" s="841"/>
      <c r="D38" s="468">
        <f>(NSG_Requirements!$S$7+NSG_Requirements!$T$7+NSG_Requirements!$U$7)/1000</f>
        <v>0</v>
      </c>
      <c r="E38" s="468">
        <f>(NSG_Requirements!$S$8+NSG_Requirements!$T$8+NSG_Requirements!$U$8)/1000</f>
        <v>0</v>
      </c>
      <c r="F38" s="468">
        <f>(NSG_Requirements!$S$9+NSG_Requirements!$T$9+NSG_Requirements!$U$9)/1000</f>
        <v>0</v>
      </c>
      <c r="G38" s="468">
        <f>(NSG_Requirements!$S$10+NSG_Requirements!$T$10+NSG_Requirements!$U$10)/1000</f>
        <v>0</v>
      </c>
      <c r="H38" s="468">
        <f>(NSG_Requirements!$S$11+NSG_Requirements!$T$11+NSG_Requirements!$U$11)/1000</f>
        <v>0</v>
      </c>
      <c r="I38" s="469">
        <f>(NSG_Requirements!$S$12+NSG_Requirements!$T$11+NSG_Requirements!$U$11)/1000</f>
        <v>0</v>
      </c>
    </row>
    <row r="39" spans="1:9" ht="15.75">
      <c r="A39" s="853"/>
      <c r="B39" s="841" t="s">
        <v>421</v>
      </c>
      <c r="C39" s="854"/>
      <c r="D39" s="468">
        <f>(NSG_Requirements!$AB$7+NSG_Requirements!$AC$7+NSG_Requirements!$AD$7+NSG_Requirements!$AE$7)/1000</f>
        <v>0</v>
      </c>
      <c r="E39" s="468">
        <f>(NSG_Requirements!$AB$8+NSG_Requirements!$AC$8+NSG_Requirements!$AD$8+NSG_Requirements!$AE$8)/1000</f>
        <v>0</v>
      </c>
      <c r="F39" s="468">
        <f>(NSG_Requirements!$AB$9+NSG_Requirements!$AC$9+NSG_Requirements!$AD$9+NSG_Requirements!$AE$9)/1000</f>
        <v>0</v>
      </c>
      <c r="G39" s="468">
        <f>(NSG_Requirements!$AB$10+NSG_Requirements!$AC$10+NSG_Requirements!$AD$10+NSG_Requirements!$AE$10)/1000</f>
        <v>0</v>
      </c>
      <c r="H39" s="468">
        <f>(NSG_Requirements!$AB$11+NSG_Requirements!$AC$11+NSG_Requirements!$AD$11+NSG_Requirements!$AE$11)/1000</f>
        <v>0</v>
      </c>
      <c r="I39" s="469">
        <f>(NSG_Requirements!$AB$12+NSG_Requirements!$AC$12+NSG_Requirements!$AD$12+NSG_Requirements!$AE$12)/1000</f>
        <v>0</v>
      </c>
    </row>
    <row r="40" spans="1:9" ht="15.75">
      <c r="A40" s="853"/>
      <c r="B40" s="841" t="s">
        <v>141</v>
      </c>
      <c r="C40" s="841"/>
      <c r="D40" s="468">
        <f>(NSG_Requirements!$Y$7+NSG_Requirements!$Z$7+NSG_Requirements!$AA$7)/1000</f>
        <v>0</v>
      </c>
      <c r="E40" s="468">
        <f>(NSG_Requirements!$Y$8+NSG_Requirements!$Z$8+NSG_Requirements!$AA$8)/1000</f>
        <v>0</v>
      </c>
      <c r="F40" s="468">
        <f>(NSG_Requirements!$Y$9+NSG_Requirements!$Z$9+NSG_Requirements!$AA$9)/1000</f>
        <v>0</v>
      </c>
      <c r="G40" s="468">
        <f>(NSG_Requirements!$Y$10+NSG_Requirements!$Z$10+NSG_Requirements!$AA$10)/1000</f>
        <v>0</v>
      </c>
      <c r="H40" s="468">
        <f>(NSG_Requirements!$Y$11+NSG_Requirements!$Z$11+NSG_Requirements!$AA$11)/1000</f>
        <v>0</v>
      </c>
      <c r="I40" s="469">
        <f>(NSG_Requirements!$Y$12+NSG_Requirements!$Z$12+NSG_Requirements!$AA$12)/1000</f>
        <v>0</v>
      </c>
    </row>
    <row r="41" spans="1:9" ht="15.75">
      <c r="A41" s="853"/>
      <c r="B41" s="841" t="s">
        <v>156</v>
      </c>
      <c r="C41" s="841" t="s">
        <v>157</v>
      </c>
      <c r="D41" s="468">
        <f>(NSG_Requirements!$L$7+NSG_Requirements!$M$7+NSG_Requirements!$N$7+NSG_Requirements!$K$7)/1000</f>
        <v>0</v>
      </c>
      <c r="E41" s="468">
        <f>(NSG_Requirements!$L$8+NSG_Requirements!$M$8+NSG_Requirements!$N$8+NSG_Requirements!$K$8)/1000</f>
        <v>0</v>
      </c>
      <c r="F41" s="468">
        <f>(NSG_Requirements!$L$9+NSG_Requirements!$M$9+NSG_Requirements!$N$9+NSG_Requirements!$K$9)/1000</f>
        <v>0</v>
      </c>
      <c r="G41" s="468">
        <f>(NSG_Requirements!$L$10+NSG_Requirements!$M$10+NSG_Requirements!$N$10+NSG_Requirements!$K$10)/1000</f>
        <v>0</v>
      </c>
      <c r="H41" s="468">
        <f>(NSG_Requirements!$L$11+NSG_Requirements!$M$11+NSG_Requirements!$N$11+NSG_Requirements!$K$11)/1000</f>
        <v>0</v>
      </c>
      <c r="I41" s="469">
        <f>(NSG_Requirements!$L$12+NSG_Requirements!$M$12+NSG_Requirements!$N$12+NSG_Requirements!$K$12)/1000</f>
        <v>0</v>
      </c>
    </row>
    <row r="42" spans="1:9" ht="15.75">
      <c r="A42" s="853" t="s">
        <v>728</v>
      </c>
      <c r="B42" s="841"/>
      <c r="C42" s="841"/>
      <c r="D42" s="468">
        <f>PGL_Supplies!U7/1000</f>
        <v>0</v>
      </c>
      <c r="E42" s="468">
        <f>PGL_Supplies!U8/1000</f>
        <v>0</v>
      </c>
      <c r="F42" s="468">
        <f>PGL_Supplies!U9/1000</f>
        <v>0</v>
      </c>
      <c r="G42" s="468">
        <f>PGL_Supplies!U10/1000</f>
        <v>0</v>
      </c>
      <c r="H42" s="468">
        <f>PGL_Supplies!U11/1000</f>
        <v>0</v>
      </c>
      <c r="I42" s="469">
        <f>PGL_Supplies!U12/1000</f>
        <v>0</v>
      </c>
    </row>
    <row r="43" spans="1:9" ht="15.75">
      <c r="A43" s="853" t="s">
        <v>629</v>
      </c>
      <c r="B43" s="841" t="s">
        <v>421</v>
      </c>
      <c r="C43" s="841"/>
      <c r="D43" s="468">
        <f>PGL_Supplies!T7/1000*0.5</f>
        <v>0</v>
      </c>
      <c r="E43" s="468">
        <f>PGL_Supplies!T8/1000*0.5</f>
        <v>0</v>
      </c>
      <c r="F43" s="468">
        <f>PGL_Supplies!T9/1000*0.5</f>
        <v>0</v>
      </c>
      <c r="G43" s="468">
        <f>PGL_Supplies!T10/1000*0.5</f>
        <v>0</v>
      </c>
      <c r="H43" s="468">
        <f>PGL_Supplies!T11/1000*0.5</f>
        <v>0</v>
      </c>
      <c r="I43" s="469">
        <f>PGL_Supplies!T12/1000*0.5</f>
        <v>0</v>
      </c>
    </row>
    <row r="44" spans="1:9" ht="15.75">
      <c r="A44" s="850"/>
      <c r="B44" s="841" t="s">
        <v>147</v>
      </c>
      <c r="C44" s="854"/>
      <c r="D44" s="468">
        <v>0</v>
      </c>
      <c r="E44" s="468">
        <v>0</v>
      </c>
      <c r="F44" s="468">
        <v>0</v>
      </c>
      <c r="G44" s="468">
        <v>0</v>
      </c>
      <c r="H44" s="468">
        <v>0</v>
      </c>
      <c r="I44" s="469">
        <v>0</v>
      </c>
    </row>
    <row r="45" spans="1:9" ht="15.75">
      <c r="A45" s="850"/>
      <c r="B45" s="841" t="s">
        <v>421</v>
      </c>
      <c r="C45" s="854"/>
      <c r="D45" s="468">
        <f>PGL_Supplies!W7/1000</f>
        <v>0</v>
      </c>
      <c r="E45" s="468">
        <f>PGL_Supplies!W8/1000</f>
        <v>0</v>
      </c>
      <c r="F45" s="468">
        <f>PGL_Supplies!W9/1000</f>
        <v>0</v>
      </c>
      <c r="G45" s="468">
        <f>PGL_Supplies!W10/1000</f>
        <v>0</v>
      </c>
      <c r="H45" s="468">
        <f>PGL_Supplies!W11/1000</f>
        <v>0</v>
      </c>
      <c r="I45" s="469">
        <f>PGL_Supplies!W12/1000</f>
        <v>0</v>
      </c>
    </row>
    <row r="46" spans="1:9" ht="15.75">
      <c r="A46" s="850"/>
      <c r="B46" s="841" t="s">
        <v>141</v>
      </c>
      <c r="C46" s="841"/>
      <c r="D46" s="468">
        <v>0</v>
      </c>
      <c r="E46" s="468">
        <v>0</v>
      </c>
      <c r="F46" s="468">
        <v>0</v>
      </c>
      <c r="G46" s="468">
        <v>0</v>
      </c>
      <c r="H46" s="468">
        <v>0</v>
      </c>
      <c r="I46" s="469">
        <v>0</v>
      </c>
    </row>
    <row r="47" spans="1:9" ht="15.75">
      <c r="A47" s="867" t="s">
        <v>775</v>
      </c>
      <c r="B47" s="841" t="s">
        <v>753</v>
      </c>
      <c r="C47" s="841"/>
      <c r="D47" s="468">
        <f>PGL_Supplies!Y7/1000</f>
        <v>257.91199999999998</v>
      </c>
      <c r="E47" s="468">
        <f>PGL_Supplies!Y8/1000</f>
        <v>324.56799999999998</v>
      </c>
      <c r="F47" s="468">
        <f>PGL_Supplies!Y9/1000</f>
        <v>284.21800000000002</v>
      </c>
      <c r="G47" s="468">
        <f>PGL_Supplies!Y10/1000</f>
        <v>284.21800000000002</v>
      </c>
      <c r="H47" s="468">
        <f>PGL_Supplies!Y11/1000</f>
        <v>284.21800000000002</v>
      </c>
      <c r="I47" s="469">
        <f>PGL_Supplies!Y12/1000</f>
        <v>284.21800000000002</v>
      </c>
    </row>
    <row r="48" spans="1:9" ht="15.75">
      <c r="A48" s="853"/>
      <c r="B48" s="841" t="s">
        <v>143</v>
      </c>
      <c r="C48" s="854"/>
      <c r="D48" s="468">
        <f>PGL_Supplies!Z7/1000</f>
        <v>70</v>
      </c>
      <c r="E48" s="468">
        <f>PGL_Supplies!Z8/1000</f>
        <v>55</v>
      </c>
      <c r="F48" s="468">
        <f>PGL_Supplies!Z9/1000</f>
        <v>55</v>
      </c>
      <c r="G48" s="468">
        <f>PGL_Supplies!Z10/1000</f>
        <v>55</v>
      </c>
      <c r="H48" s="468">
        <f>PGL_Supplies!Z11/1000</f>
        <v>55</v>
      </c>
      <c r="I48" s="469">
        <f>PGL_Supplies!Z12/1000</f>
        <v>55</v>
      </c>
    </row>
    <row r="49" spans="1:10" ht="15.75">
      <c r="A49" s="853"/>
      <c r="B49" s="841" t="s">
        <v>147</v>
      </c>
      <c r="C49" s="854"/>
      <c r="D49" s="468">
        <f>PGL_Supplies!AA7/1000</f>
        <v>137.73500000000001</v>
      </c>
      <c r="E49" s="468">
        <f>PGL_Supplies!AA8/1000</f>
        <v>146.643</v>
      </c>
      <c r="F49" s="468">
        <f>PGL_Supplies!AA9/1000</f>
        <v>146.643</v>
      </c>
      <c r="G49" s="468">
        <f>PGL_Supplies!AA10/1000</f>
        <v>146.643</v>
      </c>
      <c r="H49" s="468">
        <f>PGL_Supplies!AA11/1000</f>
        <v>146.643</v>
      </c>
      <c r="I49" s="469">
        <f>PGL_Supplies!AA12/1000</f>
        <v>146.643</v>
      </c>
    </row>
    <row r="50" spans="1:10" ht="15.75">
      <c r="A50" s="853"/>
      <c r="B50" s="841" t="s">
        <v>421</v>
      </c>
      <c r="C50" s="854"/>
      <c r="D50" s="468">
        <f>PGL_Supplies!AB7/1000</f>
        <v>261.98899999999998</v>
      </c>
      <c r="E50" s="468">
        <f>PGL_Supplies!AB8/1000</f>
        <v>219.327</v>
      </c>
      <c r="F50" s="468">
        <f>PGL_Supplies!AB9/1000</f>
        <v>219.327</v>
      </c>
      <c r="G50" s="468">
        <f>PGL_Supplies!AB10/1000</f>
        <v>219.327</v>
      </c>
      <c r="H50" s="468">
        <f>PGL_Supplies!AB11/1000</f>
        <v>219.327</v>
      </c>
      <c r="I50" s="469">
        <f>PGL_Supplies!AB12/1000</f>
        <v>219.327</v>
      </c>
    </row>
    <row r="51" spans="1:10" ht="15.75">
      <c r="A51" s="853"/>
      <c r="B51" s="841" t="s">
        <v>141</v>
      </c>
      <c r="C51" s="841"/>
      <c r="D51" s="468">
        <f>PGL_Supplies!AC7/1000</f>
        <v>276.72300000000001</v>
      </c>
      <c r="E51" s="468">
        <f>PGL_Supplies!AC8/1000</f>
        <v>265.88900000000001</v>
      </c>
      <c r="F51" s="468">
        <f>PGL_Supplies!AC9/1000</f>
        <v>265.88900000000001</v>
      </c>
      <c r="G51" s="468">
        <f>PGL_Supplies!AC10/1000</f>
        <v>265.88900000000001</v>
      </c>
      <c r="H51" s="468">
        <f>PGL_Supplies!AC11/1000</f>
        <v>265.88900000000001</v>
      </c>
      <c r="I51" s="469">
        <f>PGL_Supplies!AC12/1000</f>
        <v>265.88900000000001</v>
      </c>
    </row>
    <row r="52" spans="1:10" ht="15.75">
      <c r="A52" s="853"/>
      <c r="B52" s="841" t="s">
        <v>142</v>
      </c>
      <c r="C52" s="841"/>
      <c r="D52" s="468">
        <f>PGL_Supplies!AD7/1000</f>
        <v>101.2</v>
      </c>
      <c r="E52" s="468">
        <f>PGL_Supplies!AD8/1000</f>
        <v>111.199</v>
      </c>
      <c r="F52" s="468">
        <f>PGL_Supplies!AD9/1000</f>
        <v>111.199</v>
      </c>
      <c r="G52" s="468">
        <f>PGL_Supplies!AD10/1000</f>
        <v>111.199</v>
      </c>
      <c r="H52" s="468">
        <f>PGL_Supplies!AD11/1000</f>
        <v>111.199</v>
      </c>
      <c r="I52" s="469">
        <f>PGL_Supplies!AD12/1000</f>
        <v>111.199</v>
      </c>
    </row>
    <row r="53" spans="1:10" ht="15.75">
      <c r="A53" s="867"/>
      <c r="B53" s="841" t="s">
        <v>158</v>
      </c>
      <c r="C53" s="841"/>
      <c r="D53" s="468">
        <f>PGL_Supplies!I7/1000</f>
        <v>4.4610000000000003</v>
      </c>
      <c r="E53" s="468">
        <f>PGL_Supplies!I8/1000</f>
        <v>3</v>
      </c>
      <c r="F53" s="468">
        <f>PGL_Supplies!I9/1000</f>
        <v>3</v>
      </c>
      <c r="G53" s="468">
        <f>PGL_Supplies!I10/1000</f>
        <v>3</v>
      </c>
      <c r="H53" s="468">
        <f>PGL_Supplies!I11/1000</f>
        <v>3</v>
      </c>
      <c r="I53" s="469">
        <f>PGL_Supplies!I12/1000</f>
        <v>3</v>
      </c>
      <c r="J53" s="113" t="s">
        <v>11</v>
      </c>
    </row>
    <row r="54" spans="1:10" ht="15.75">
      <c r="A54" s="850"/>
      <c r="B54" s="841" t="s">
        <v>159</v>
      </c>
      <c r="C54" s="841"/>
      <c r="D54" s="468">
        <f>PGL_Supplies!K7/1000</f>
        <v>0</v>
      </c>
      <c r="E54" s="468">
        <f>PGL_Supplies!K8/1000</f>
        <v>0</v>
      </c>
      <c r="F54" s="468">
        <f>PGL_Supplies!K9/1000</f>
        <v>0</v>
      </c>
      <c r="G54" s="468">
        <f>PGL_Supplies!K10/1000</f>
        <v>0</v>
      </c>
      <c r="H54" s="468">
        <f>PGL_Supplies!K11/1000</f>
        <v>0</v>
      </c>
      <c r="I54" s="469">
        <f>PGL_Supplies!K12/1000</f>
        <v>0</v>
      </c>
    </row>
    <row r="55" spans="1:10" ht="15.75">
      <c r="A55" s="853" t="s">
        <v>792</v>
      </c>
      <c r="B55" s="841"/>
      <c r="C55" s="841"/>
      <c r="D55" s="468">
        <f>PGL_Supplies!B7/1000</f>
        <v>0</v>
      </c>
      <c r="E55" s="468">
        <f>PGL_Supplies!B8/1000</f>
        <v>0</v>
      </c>
      <c r="F55" s="468">
        <f>PGL_Supplies!B9/1000</f>
        <v>0</v>
      </c>
      <c r="G55" s="468">
        <f>PGL_Supplies!B10/1000</f>
        <v>0</v>
      </c>
      <c r="H55" s="468">
        <f>PGL_Supplies!B11/1000</f>
        <v>0</v>
      </c>
      <c r="I55" s="469">
        <f>PGL_Supplies!B12/1000</f>
        <v>0</v>
      </c>
    </row>
    <row r="56" spans="1:10" ht="15.75">
      <c r="A56" s="850" t="s">
        <v>764</v>
      </c>
      <c r="B56" s="841" t="s">
        <v>753</v>
      </c>
      <c r="C56" s="841"/>
      <c r="D56" s="468">
        <f>PGL_Supplies!X7/1000</f>
        <v>0</v>
      </c>
      <c r="E56" s="468">
        <f>PGL_Supplies!X8/1000</f>
        <v>0</v>
      </c>
      <c r="F56" s="468">
        <f>PGL_Supplies!X9/1000</f>
        <v>0</v>
      </c>
      <c r="G56" s="468">
        <f>PGL_Supplies!X10/1000</f>
        <v>0</v>
      </c>
      <c r="H56" s="468">
        <f>PGL_Supplies!X11/1000</f>
        <v>0</v>
      </c>
      <c r="I56" s="469">
        <f>PGL_Supplies!X12/1000</f>
        <v>0</v>
      </c>
    </row>
    <row r="57" spans="1:10" ht="15.75">
      <c r="A57" s="850"/>
      <c r="B57" s="841" t="s">
        <v>143</v>
      </c>
      <c r="C57" s="841"/>
      <c r="D57" s="468">
        <f>PGL_Supplies!C7/1000</f>
        <v>0</v>
      </c>
      <c r="E57" s="468">
        <f>PGL_Supplies!C8/1000</f>
        <v>0</v>
      </c>
      <c r="F57" s="468">
        <f>PGL_Supplies!C9/1000</f>
        <v>0</v>
      </c>
      <c r="G57" s="468">
        <f>PGL_Supplies!C10/1000</f>
        <v>0</v>
      </c>
      <c r="H57" s="468">
        <f>PGL_Supplies!C11/1000</f>
        <v>0</v>
      </c>
      <c r="I57" s="469">
        <f>PGL_Supplies!C12/1000</f>
        <v>0</v>
      </c>
    </row>
    <row r="58" spans="1:10" ht="15.75">
      <c r="A58" s="850"/>
      <c r="B58" s="855" t="s">
        <v>147</v>
      </c>
      <c r="C58" s="841"/>
      <c r="D58" s="468">
        <f>PGL_Supplies!D7/1000</f>
        <v>0</v>
      </c>
      <c r="E58" s="468">
        <f>PGL_Supplies!D8/1000</f>
        <v>0</v>
      </c>
      <c r="F58" s="468">
        <f>PGL_Supplies!D9/1000</f>
        <v>0</v>
      </c>
      <c r="G58" s="468">
        <f>PGL_Supplies!D10/1000</f>
        <v>0</v>
      </c>
      <c r="H58" s="468">
        <f>PGL_Supplies!D11/1000</f>
        <v>0</v>
      </c>
      <c r="I58" s="469">
        <f>PGL_Supplies!D12/1000</f>
        <v>0</v>
      </c>
    </row>
    <row r="59" spans="1:10" ht="15.75">
      <c r="A59" s="850"/>
      <c r="B59" s="841" t="s">
        <v>421</v>
      </c>
      <c r="C59" s="841"/>
      <c r="D59" s="468">
        <f>PGL_Supplies!E7/1000</f>
        <v>0</v>
      </c>
      <c r="E59" s="468">
        <f>PGL_Supplies!E8/1000</f>
        <v>0</v>
      </c>
      <c r="F59" s="468">
        <f>PGL_Supplies!E9/1000</f>
        <v>0</v>
      </c>
      <c r="G59" s="468">
        <f>PGL_Supplies!E10/1000</f>
        <v>0</v>
      </c>
      <c r="H59" s="468">
        <f>PGL_Supplies!E11/1000</f>
        <v>0</v>
      </c>
      <c r="I59" s="469">
        <f>PGL_Supplies!E12/1000</f>
        <v>0</v>
      </c>
    </row>
    <row r="60" spans="1:10" ht="15.75">
      <c r="A60" s="868"/>
      <c r="B60" s="869" t="s">
        <v>142</v>
      </c>
      <c r="C60" s="869"/>
      <c r="D60" s="470">
        <f>PGL_Supplies!G7/1000</f>
        <v>0</v>
      </c>
      <c r="E60" s="470">
        <f>PGL_Supplies!G8/1000</f>
        <v>0</v>
      </c>
      <c r="F60" s="470">
        <f>PGL_Supplies!G9/1000</f>
        <v>0</v>
      </c>
      <c r="G60" s="470">
        <f>PGL_Supplies!G10/1000</f>
        <v>0</v>
      </c>
      <c r="H60" s="470">
        <f>PGL_Supplies!G11/1000</f>
        <v>0</v>
      </c>
      <c r="I60" s="471">
        <f>PGL_Supplies!G12/1000</f>
        <v>0</v>
      </c>
    </row>
    <row r="61" spans="1:10" ht="16.5" thickBot="1">
      <c r="A61" s="871" t="s">
        <v>160</v>
      </c>
      <c r="B61" s="872"/>
      <c r="C61" s="872"/>
      <c r="D61" s="478">
        <f t="shared" ref="D61:I61" si="2">SUM(D33:D60)</f>
        <v>1112.8220000000001</v>
      </c>
      <c r="E61" s="478">
        <f t="shared" si="2"/>
        <v>1126.626</v>
      </c>
      <c r="F61" s="478">
        <f t="shared" si="2"/>
        <v>1086.2760000000001</v>
      </c>
      <c r="G61" s="478">
        <f t="shared" si="2"/>
        <v>1086.2760000000001</v>
      </c>
      <c r="H61" s="478">
        <f t="shared" si="2"/>
        <v>1086.2760000000001</v>
      </c>
      <c r="I61" s="1179">
        <f t="shared" si="2"/>
        <v>1086.2760000000001</v>
      </c>
    </row>
    <row r="62" spans="1:10">
      <c r="A62" s="873" t="s">
        <v>161</v>
      </c>
      <c r="B62" s="874"/>
      <c r="C62" s="874"/>
      <c r="D62" s="479">
        <f t="shared" ref="D62:I62" si="3">IF(D61-D30&lt;0,0,D61-D30)</f>
        <v>6.4420000000000073</v>
      </c>
      <c r="E62" s="479">
        <f t="shared" si="3"/>
        <v>0.99599999999986721</v>
      </c>
      <c r="F62" s="479">
        <f t="shared" si="3"/>
        <v>0</v>
      </c>
      <c r="G62" s="479">
        <f t="shared" si="3"/>
        <v>0</v>
      </c>
      <c r="H62" s="479">
        <f t="shared" si="3"/>
        <v>0</v>
      </c>
      <c r="I62" s="1180">
        <f t="shared" si="3"/>
        <v>36.865999999999985</v>
      </c>
    </row>
    <row r="63" spans="1:10" ht="15.75" thickBot="1">
      <c r="A63" s="875" t="s">
        <v>162</v>
      </c>
      <c r="B63" s="859"/>
      <c r="C63" s="876"/>
      <c r="D63" s="480">
        <f t="shared" ref="D63:I63" si="4">IF(D30-D61&lt;0,0,D30-D61)</f>
        <v>0</v>
      </c>
      <c r="E63" s="480">
        <f t="shared" si="4"/>
        <v>0</v>
      </c>
      <c r="F63" s="480">
        <f t="shared" si="4"/>
        <v>208.13400000000001</v>
      </c>
      <c r="G63" s="480">
        <f t="shared" si="4"/>
        <v>68.134000000000015</v>
      </c>
      <c r="H63" s="480">
        <f t="shared" si="4"/>
        <v>33.134000000000015</v>
      </c>
      <c r="I63" s="1181">
        <f t="shared" si="4"/>
        <v>0</v>
      </c>
    </row>
    <row r="64" spans="1:10" ht="16.5" thickTop="1" thickBot="1">
      <c r="A64" s="1168" t="s">
        <v>779</v>
      </c>
      <c r="B64" s="1169"/>
      <c r="C64" s="1169"/>
      <c r="D64" s="1170">
        <f>PGL_Supplies!V7/1000</f>
        <v>296.28199999999998</v>
      </c>
      <c r="E64" s="1170">
        <f>PGL_Supplies!V8/1000</f>
        <v>309.83100000000002</v>
      </c>
      <c r="F64" s="1170">
        <f>PGL_Supplies!V9/1000</f>
        <v>309.83100000000002</v>
      </c>
      <c r="G64" s="1170">
        <f>PGL_Supplies!V10/1000</f>
        <v>309.83100000000002</v>
      </c>
      <c r="H64" s="1170">
        <f>PGL_Supplies!V11/1000</f>
        <v>309.83100000000002</v>
      </c>
      <c r="I64" s="1171">
        <f>PGL_Supplies!V12/1000</f>
        <v>309.83100000000002</v>
      </c>
    </row>
    <row r="65" ht="15.75" thickTop="1"/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2001-03-08T16:45:04Z</cp:lastPrinted>
  <dcterms:created xsi:type="dcterms:W3CDTF">1997-07-16T16:14:22Z</dcterms:created>
  <dcterms:modified xsi:type="dcterms:W3CDTF">2023-09-10T17:13:58Z</dcterms:modified>
</cp:coreProperties>
</file>