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A2BF2C-C5D9-4F76-AD60-52CD0BD454EE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<sst xmlns="http://schemas.openxmlformats.org/spreadsheetml/2006/main" count="2149" uniqueCount="800">
  <si>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</si>
  <si>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</si>
  <si>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</si>
  <si>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</si>
  <si>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</si>
  <si>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</si>
  <si>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</si>
  <si>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</si>
  <si>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</si>
  <si>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</si>
  <si>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</si>
  <si>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</si>
  <si>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</si>
  <si>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</si>
  <si>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</si>
  <si>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</si>
  <si>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</si>
  <si>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</si>
  <si>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</si>
  <si>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</si>
  <si>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</si>
  <si>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</si>
  <si>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</si>
  <si>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</si>
  <si>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</si>
  <si>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</si>
  <si>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</si>
  <si>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</si>
  <si>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</si>
  <si>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</si>
  <si>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</si>
  <si>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</si>
  <si>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</si>
  <si>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</si>
  <si>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</si>
  <si>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</si>
  <si>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</si>
  <si>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</si>
  <si>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</si>
  <si>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</si>
  <si>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</si>
  <si>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</si>
  <si>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</si>
  <si>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</si>
  <si>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</si>
  <si>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</si>
  <si>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</si>
  <si>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</si>
  <si>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</si>
  <si>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</si>
  <si>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</si>
  <si>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</si>
  <si>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</si>
  <si>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</si>
  <si>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</si>
  <si>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</si>
  <si>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</si>
  <si>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</si>
  <si>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</si>
  <si>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</si>
  <si>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</si>
  <si>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</si>
  <si>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</si>
  <si>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</si>
  <si>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</si>
  <si>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</si>
  <si>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</si>
  <si>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</si>
  <si>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</si>
  <si>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</si>
  <si>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</si>
  <si>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</si>
  <si>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</si>
  <si>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</si>
  <si>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</si>
  <si>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</si>
  <si>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</si>
  <si>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</si>
  <si>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</si>
  <si>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</si>
  <si>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</si>
  <si>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</si>
  <si>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</si>
  <si>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</si>
  <si>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</si>
  <si>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</si>
  <si>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</si>
  <si>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</si>
  <si>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</si>
  <si>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</si>
  <si>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</si>
  <si>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</si>
  <si>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</si>
  <si>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</si>
  <si>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</si>
  <si>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</si>
  <si>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</si>
  <si>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</si>
  <si>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</si>
  <si>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</si>
  <si>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</si>
  <si>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</si>
  <si>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</si>
  <si>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</si>
  <si>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</si>
  <si>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</si>
  <si>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</si>
  <si>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</si>
  <si>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</si>
  <si>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</si>
  <si>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</si>
  <si>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</si>
  <si>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</si>
  <si>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</si>
  <si>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</si>
  <si>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</si>
  <si>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</si>
  <si>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</si>
  <si>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</si>
  <si>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</si>
  <si>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</si>
  <si>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</si>
  <si>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</si>
  <si>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</si>
  <si>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</si>
  <si>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</si>
  <si>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</si>
  <si>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</si>
  <si>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</si>
  <si>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</si>
  <si>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</si>
  <si>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</si>
  <si>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</si>
  <si>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</si>
  <si>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</si>
  <si>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</si>
  <si>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</si>
  <si>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</si>
  <si>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</si>
  <si>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</si>
  <si>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</si>
  <si>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</si>
  <si>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</si>
  <si>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</si>
  <si>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</si>
  <si>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</si>
  <si>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</si>
  <si>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</si>
  <si>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</si>
  <si>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</si>
  <si>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</si>
  <si>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</si>
  <si>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</si>
  <si>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</si>
  <si>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</si>
  <si>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</si>
  <si>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</si>
  <si>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</si>
  <si>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</si>
  <si>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</si>
  <si>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</si>
  <si>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</si>
  <si>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</si>
  <si>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</si>
  <si>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</si>
  <si>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</si>
  <si>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</si>
  <si>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</si>
  <si>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</si>
  <si>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</si>
  <si>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</si>
  <si>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</si>
  <si>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</si>
  <si>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</si>
  <si>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</si>
  <si>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</si>
  <si>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</si>
  <si>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</si>
  <si>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</si>
  <si>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</si>
  <si>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</si>
  <si>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</si>
  <si>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</si>
  <si>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</si>
  <si>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</si>
  <si>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</si>
  <si>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</si>
  <si>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</si>
  <si>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</si>
  <si>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</si>
  <si>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</si>
  <si>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</si>
  <si>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</si>
  <si>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</si>
  <si>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</si>
  <si>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</si>
  <si>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</si>
  <si>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</si>
  <si>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</si>
  <si>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</si>
  <si>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</si>
  <si>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</si>
  <si>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</si>
  <si>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</si>
  <si>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</si>
  <si>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</si>
  <si>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</si>
  <si>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</si>
  <si>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</si>
  <si>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</si>
  <si>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</si>
  <si>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</si>
  <si>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</si>
  <si>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</si>
  <si>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</si>
  <si>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</si>
  <si>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</si>
  <si>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</si>
  <si>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</si>
  <si>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</si>
  <si>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</si>
  <si>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</si>
  <si>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</si>
  <si>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</si>
  <si>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</si>
  <si>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</si>
  <si>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</si>
  <si>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</si>
  <si>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</si>
  <si>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</si>
  <si>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</si>
  <si>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</si>
  <si>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</si>
  <si>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</si>
  <si>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</si>
  <si>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</si>
  <si>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</si>
  <si>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</si>
  <si>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</si>
  <si>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</si>
  <si>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</si>
  <si>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</si>
  <si>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</si>
  <si>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</si>
  <si>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</si>
  <si>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</si>
  <si>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</si>
  <si>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</si>
  <si>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</si>
  <si>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</si>
  <si>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</si>
  <si>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</si>
  <si>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</si>
  <si>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</si>
  <si>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</si>
  <si>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</si>
  <si>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</si>
  <si>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</si>
  <si>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</si>
  <si>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</si>
  <si>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</si>
  <si>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</si>
  <si>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</si>
  <si>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</si>
  <si>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</si>
  <si>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</si>
  <si>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</si>
  <si>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</si>
  <si>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</si>
  <si>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</si>
  <si>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</si>
  <si>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</si>
  <si>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</si>
  <si>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</si>
  <si>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</si>
  <si>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</si>
  <si>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</si>
  <si>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</si>
  <si>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</si>
  <si>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</si>
  <si>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</si>
  <si>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</si>
  <si>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</si>
  <si>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</si>
  <si>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</si>
  <si>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</si>
  <si>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</si>
  <si>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</si>
  <si>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</si>
  <si>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</si>
  <si>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</si>
  <si>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</si>
  <si>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</si>
  <si>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</si>
  <si>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</si>
  <si>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</si>
  <si>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</si>
  <si>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</si>
  <si>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</si>
  <si>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</si>
  <si>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</si>
  <si>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</si>
  <si>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</si>
  <si>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</si>
  <si>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</si>
  <si>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</si>
  <si>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</si>
  <si>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</si>
  <si>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</si>
  <si>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</si>
  <si>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</si>
  <si>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</si>
  <si>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</si>
  <si>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</si>
  <si>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</si>
  <si>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</si>
  <si>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</si>
  <si>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</si>
  <si>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</si>
  <si>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</si>
  <si>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</si>
  <si>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</si>
  <si>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</si>
  <si>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</si>
  <si>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</si>
  <si>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</si>
  <si>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</si>
  <si>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</si>
  <si>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</si>
  <si>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</si>
  <si>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</si>
  <si>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</si>
  <si>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</si>
  <si>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</si>
  <si>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</si>
  <si>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</si>
  <si>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</si>
  <si>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</si>
  <si>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</si>
  <si>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</si>
  <si>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</si>
  <si>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</si>
  <si>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</si>
  <si>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</si>
  <si>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</si>
  <si>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</si>
  <si>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</si>
  <si>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</si>
  <si>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</si>
  <si>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</si>
  <si>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</si>
  <si>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</si>
  <si>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</si>
  <si>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</si>
  <si>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</si>
  <si>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</si>
  <si>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</si>
  <si>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</si>
  <si>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</si>
  <si>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</si>
  <si>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</si>
  <si>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</si>
  <si>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</si>
  <si>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</si>
  <si>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</si>
  <si>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</si>
  <si>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</si>
  <si>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</si>
  <si>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</si>
  <si>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</si>
  <si>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</si>
  <si>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</si>
  <si>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</si>
  <si>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</si>
  <si>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</si>
  <si>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</si>
  <si>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</si>
  <si>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</si>
  <si>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</si>
  <si>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</si>
  <si>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</si>
  <si>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</si>
  <si>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</si>
  <si>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</si>
  <si>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</si>
  <si>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</si>
  <si>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</si>
  <si>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</si>
  <si>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</si>
  <si>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</si>
  <si>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</si>
  <si>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</si>
  <si>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</si>
  <si>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</si>
  <si>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</si>
  <si>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</si>
  <si>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</si>
  <si>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</si>
  <si>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</si>
  <si>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</si>
  <si>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</si>
  <si>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</si>
  <si>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</si>
  <si>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</si>
  <si>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</si>
  <si>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</si>
  <si>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</si>
  <si>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</si>
  <si>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</si>
  <si>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</si>
  <si>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</si>
  <si>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</si>
  <si>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</si>
  <si>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</si>
  <si>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</si>
  <si>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</si>
  <si>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</si>
  <si>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</si>
  <si>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</si>
  <si>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</si>
  <si>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</si>
  <si>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</si>
  <si>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</si>
  <si>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</si>
  <si>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</si>
  <si>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</si>
  <si>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</si>
  <si>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</si>
  <si>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</si>
  <si>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</si>
  <si>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</si>
  <si>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</si>
  <si>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</si>
  <si>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</si>
  <si>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</si>
  <si>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</si>
  <si>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</si>
  <si>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</si>
  <si>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</si>
  <si>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</si>
  <si>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</si>
  <si>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</si>
  <si>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</si>
  <si>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</si>
  <si>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</si>
  <si>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</si>
  <si>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</si>
  <si>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</si>
  <si>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</si>
  <si>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</si>
  <si>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</si>
  <si>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</si>
  <si>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</si>
  <si>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</si>
  <si>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</si>
  <si>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</si>
  <si>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</si>
  <si>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</si>
  <si>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</si>
  <si>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</si>
  <si>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</si>
  <si>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</si>
  <si>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</si>
  <si>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</si>
  <si>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</si>
  <si>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</si>
  <si>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</si>
  <si>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</si>
  <si>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</si>
  <si>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</si>
  <si>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</si>
  <si>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</si>
  <si>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</si>
  <si>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</si>
  <si>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</si>
  <si>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</si>
  <si>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</si>
  <si>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</si>
  <si>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</si>
  <si>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</si>
  <si>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</si>
  <si>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</si>
  <si>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</si>
  <si>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</si>
  <si>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</si>
  <si>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</si>
  <si>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</si>
  <si>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</si>
  <si>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</si>
  <si>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</si>
  <si>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</si>
  <si>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</si>
  <si>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</si>
  <si>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</si>
  <si>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</si>
  <si>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</si>
  <si>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</si>
  <si>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</si>
  <si>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</si>
  <si>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</si>
  <si>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</si>
  <si>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</si>
  <si>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</si>
  <si>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</si>
  <si>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</si>
  <si>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</si>
  <si>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</si>
  <si>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</si>
  <si>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</si>
  <si>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</si>
  <si>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</si>
  <si>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</si>
  <si>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</si>
  <si>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</si>
  <si>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</si>
  <si>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</si>
  <si>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</si>
  <si>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</si>
  <si>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</si>
  <si>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</si>
  <si>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</si>
  <si>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</si>
  <si>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</si>
  <si>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</si>
  <si>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</si>
  <si>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</si>
  <si>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</si>
  <si>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</si>
  <si>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</si>
  <si>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</si>
  <si>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</si>
  <si>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</si>
  <si>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</si>
  <si>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</si>
  <si>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</si>
  <si>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</si>
  <si>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</si>
  <si>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</si>
  <si>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</si>
  <si>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</si>
  <si>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</si>
  <si>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</si>
  <si>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</si>
  <si>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</si>
  <si>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</si>
  <si>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</si>
  <si>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</si>
  <si>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</si>
  <si>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</si>
  <si>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</si>
  <si>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</si>
  <si>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</si>
  <si>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</si>
  <si>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</si>
  <si>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</si>
  <si>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</si>
  <si>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</si>
  <si>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</si>
  <si>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</si>
  <si>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</si>
  <si>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</si>
  <si>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</si>
  <si>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</si>
  <si>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</si>
  <si>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</si>
  <si>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</si>
  <si>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</si>
  <si>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</si>
  <si>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</si>
  <si>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</si>
  <si>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</si>
  <si>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</si>
  <si>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</si>
  <si>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</si>
  <si>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</si>
  <si>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</si>
  <si>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</si>
  <si>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</si>
  <si>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</si>
  <si>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</si>
  <si>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</si>
  <si>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</si>
  <si>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</si>
  <si>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</si>
  <si>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</si>
  <si>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</si>
  <si>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</si>
  <si>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</si>
  <si>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</si>
  <si>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</si>
  <si>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</si>
  <si>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</si>
  <si>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</si>
  <si>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</si>
  <si>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</si>
  <si>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</si>
  <si>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</si>
  <si>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</si>
  <si>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</si>
  <si>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</si>
  <si>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</si>
  <si>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</si>
  <si>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</si>
  <si>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</si>
  <si>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</si>
  <si>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</si>
  <si>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</si>
  <si>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</si>
  <si>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</si>
  <si>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</si>
  <si>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</si>
  <si>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</si>
  <si>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</si>
  <si>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</si>
  <si>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</si>
  <si>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</si>
  <si>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</si>
  <si>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</si>
  <si>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</si>
  <si>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</si>
  <si>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</si>
  <si>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</si>
  <si>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</si>
  <si>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</si>
  <si>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</si>
  <si>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</si>
  <si>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</si>
  <si>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</si>
  <si>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</si>
  <si>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</si>
  <si>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</si>
  <si>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</si>
  <si>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</si>
  <si>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</si>
  <si>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</si>
  <si>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</si>
  <si>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</si>
  <si>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</si>
  <si>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</si>
  <si>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</si>
  <si>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</si>
  <si>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</si>
  <si>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</si>
  <si>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</si>
  <si>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</si>
  <si>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</si>
  <si>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</si>
  <si>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</si>
  <si>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</si>
  <si>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</si>
  <si>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</si>
  <si>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</si>
  <si>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</si>
  <si>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</si>
  <si>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</si>
  <si>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</si>
  <si>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</si>
  <si>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</si>
  <si>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</si>
  <si>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</si>
  <si>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</si>
  <si>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</si>
  <si>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</si>
  <si>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</si>
  <si>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</si>
  <si>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</si>
  <si>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</si>
  <si>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</si>
  <si>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</si>
  <si>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</si>
  <si>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</si>
  <si>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</si>
  <si>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</si>
  <si>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</si>
  <si>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</si>
  <si>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</si>
  <si>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</si>
  <si>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</si>
  <si>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</si>
  <si>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</si>
  <si>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</si>
  <si>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</si>
  <si>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</si>
  <si>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</si>
  <si>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</si>
  <si>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</si>
  <si>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</si>
  <si>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</si>
  <si>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</si>
  <si>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</si>
  <si>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</si>
  <si>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</si>
  <si>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</si>
  <si>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</si>
  <si>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</si>
  <si>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</si>
  <si>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</si>
  <si>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</si>
  <si>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</si>
  <si>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</si>
  <si>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</si>
  <si>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</si>
  <si>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</si>
  <si>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</si>
  <si>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</si>
  <si>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</si>
  <si>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</si>
  <si>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</si>
  <si>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</si>
  <si>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</si>
  <si>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</si>
  <si>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</si>
  <si>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</si>
  <si>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</si>
  <si>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</si>
  <si>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</si>
  <si>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</si>
  <si>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</si>
  <si>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</si>
  <si>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</si>
  <si>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</si>
  <si>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</si>
  <si>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</si>
  <si>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</si>
  <si>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</si>
  <si>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</si>
  <si>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</si>
  <si>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</si>
  <si>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</si>
  <si>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</si>
  <si>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</si>
  <si>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</si>
  <si>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</si>
  <si>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</si>
  <si>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</si>
  <si>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</si>
  <si>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</si>
  <si>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</si>
  <si>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</si>
  <si>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</si>
  <si>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</si>
  <si>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</si>
  <si>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</si>
  <si>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</si>
  <si>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</si>
  <si>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</si>
  <si>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</si>
  <si>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</si>
  <si>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</si>
  <si>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</si>
  <si>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</si>
  <si>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</si>
  <si>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</si>
  <si>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</si>
  <si>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</si>
  <si>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</si>
  <si>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</si>
  <si>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</si>
  <si>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</si>
  <si>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</si>
  <si>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</si>
  <si>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</si>
  <si>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</si>
  <si>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</si>
  <si>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</si>
  <si>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</si>
  <si>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</si>
  <si>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</si>
  <si>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</si>
  <si>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</si>
  <si>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</si>
  <si>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</si>
  <si>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</si>
  <si>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</si>
  <si>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</si>
  <si>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</si>
  <si>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</si>
  <si>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</si>
  <si>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</si>
  <si>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</si>
  <si>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</si>
  <si>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</si>
  <si>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</si>
  <si>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</si>
  <si>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</si>
  <si>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</si>
  <si>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</si>
  <si>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</si>
  <si>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</si>
  <si>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</si>
  <si>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</si>
  <si>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</si>
  <si>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</si>
  <si>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</si>
  <si>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PARTLY  CLOUDY</t>
  </si>
  <si>
    <t xml:space="preserve">   PARTLY   SUNNY</t>
  </si>
  <si>
    <t xml:space="preserve">   BECOMING CLOUDY.    WINDS NW 10 TO 15 MPH</t>
  </si>
  <si>
    <t xml:space="preserve">   CLOUDY... WITH  A   30%   CHANCE  OF  LIGHT  SNOW  OR FLURRIES.  </t>
  </si>
  <si>
    <t xml:space="preserve">  A  CHANCE  OF   RAIN   OR  SNOW</t>
  </si>
  <si>
    <t xml:space="preserve">  A  CHANCE  OF   RAIN  OR 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</si>
</sst>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D554328-F92F-408D-A614-FC593C103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8DC0A9D-6A65-2BE1-0E5C-335892C22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E5D27ED-D0D0-09AC-2D91-E53B98CC8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0A6FDB5-6520-D8A5-7E02-AB7299E88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577E5A9-B973-5E8C-783A-E772A14A2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8E80B2F-8C6A-D45C-319D-D13A61F6C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470D080D-4AD6-6005-AB41-A2C6D00F9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5B0A2FD-9770-3FDA-E816-A94783F30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5A7DE9C-9076-5670-C27A-71C09B3D1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7FE2136-E7F8-0A98-9E7D-35CC76C20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9ED4F07-6493-AFD7-FD6C-1564EF333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09BF08D-C501-A360-5798-B16FEE813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B028B1E-9DC2-AF90-A354-A94A5887B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EDF65B8-2960-1C2B-890D-D2C201B8A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F4E5158A-B1C2-D8D3-4E44-085533634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C437F7D8-6E30-5B2D-F51E-136C72DCF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A56F675-97EC-98A7-0478-E6CC33AA6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0D5F795-8FF0-F2A7-5BAA-F0AACE16D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4D64DA1-1F41-AAA2-84D5-1ABED26B3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214392BB-BD7C-F202-4B01-0BCE7D984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CC26755-8821-1819-9B08-68ABFE2DE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069C132-FFAC-126E-F794-180DB5ED2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75D089B1-63A7-BC0C-D09D-87408F18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5B69210-55F2-F881-A216-C87B464E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330E469-644E-7F14-16CD-E891FAA15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16A99A3-7C0E-CDBD-94C6-B7A18E75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1832E56-09C1-04BD-571A-61D5D2A2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EC9DB90C-95DF-E378-6B5F-86829FDC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2505274F-245A-6B54-9155-BF71B063F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EE69AFB-F3B2-B6EF-27D6-D424E2E17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DCCD14B-5F32-BDD4-CFAC-87D1985B1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C28700AE-CE4F-D5E2-C2BA-3FF1C6914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64B402A-EE03-38F5-83FB-80BE0612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D3B472F4-FE00-550B-9D9E-24AA8C1AC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BDEBB94-3E46-8320-133D-6761876D7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1CBB0B6-D4F7-1064-03F2-39A98B29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55425DCD-631A-3CBA-B108-6F403A2ED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F7A46CBE-06F0-05A3-4A03-386FDD6CD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BDE4F4BA-214B-EC9C-55E2-3FC0E70F5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AF3C9444-2F5E-73F0-555C-B36EF8C11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972DF6C-4989-3A6A-840D-081A0472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8110C93-4B4E-A8E9-D291-EB2EBFA49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C708501F-D066-F968-5556-35150F0AC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63B50F2-F336-7AB8-85A6-230BEF73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03" name="Day_1">
          <a:extLst>
            <a:ext uri="{FF2B5EF4-FFF2-40B4-BE49-F238E27FC236}">
              <a16:creationId xmlns:a16="http://schemas.microsoft.com/office/drawing/2014/main" id="{6FAE1923-8AF2-A686-17B1-790AA72E2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04" name="Day_2">
          <a:extLst>
            <a:ext uri="{FF2B5EF4-FFF2-40B4-BE49-F238E27FC236}">
              <a16:creationId xmlns:a16="http://schemas.microsoft.com/office/drawing/2014/main" id="{EA89A65A-3F42-363C-9980-128422AC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05" name="Day_3">
          <a:extLst>
            <a:ext uri="{FF2B5EF4-FFF2-40B4-BE49-F238E27FC236}">
              <a16:creationId xmlns:a16="http://schemas.microsoft.com/office/drawing/2014/main" id="{55A8488E-731A-B143-E1B1-AE3052B22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06" name="Day_4">
          <a:extLst>
            <a:ext uri="{FF2B5EF4-FFF2-40B4-BE49-F238E27FC236}">
              <a16:creationId xmlns:a16="http://schemas.microsoft.com/office/drawing/2014/main" id="{8B4D3C97-3C99-069D-8E57-884C21E2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07" name="Day_5">
          <a:extLst>
            <a:ext uri="{FF2B5EF4-FFF2-40B4-BE49-F238E27FC236}">
              <a16:creationId xmlns:a16="http://schemas.microsoft.com/office/drawing/2014/main" id="{0584BDEB-FB71-D54B-EE45-8BD09640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08" name="Day_6">
          <a:extLst>
            <a:ext uri="{FF2B5EF4-FFF2-40B4-BE49-F238E27FC236}">
              <a16:creationId xmlns:a16="http://schemas.microsoft.com/office/drawing/2014/main" id="{707F1019-7CFF-1DFE-1E5B-9DED6515F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227FE2BA-03F4-D76B-DC9B-015DBC5861DF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F2BE16BF-E6E3-6CFD-D3C9-0FF0B5B9CEA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7003EB1C-2037-4590-357D-0645D06BB60D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DE7CFD7-5881-F77A-1F0E-C3402E820981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B99CD3EC-6DDD-0F0F-E856-D1EF26C17BF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4BCA9B70-1394-5B2D-4C7E-DB2EC3BC1B9A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077E670-4832-A442-CE19-3BB8894961C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96D2B81F-6D6F-EFB4-B044-2F98647A3082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F2706F13-DF1D-3D67-F48A-5D38236845BC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232EA36-465A-9338-DB3A-5B141C78AAA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6A02410-F2B2-12B5-C0B8-450B827EE57A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889D8F4-CA30-B331-4E0F-E7720EFEDE53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618E13E3-8C88-3A15-AC5E-0C9439A51EFE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783D2E4E-8087-431A-F22E-C65C5A95FB83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247A5A1A-C901-498B-F8A2-5D3A7C449412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7427E989-8BD2-4ED1-F048-3F9C62A36AF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738D43CC-2E45-DF8C-2109-B5729048C129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5B432E7-A1AC-181A-CE39-4CECD052E3A9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0D9E48D1-B4F4-8472-DDF9-ADE97E4BFAA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D806D69E-1E05-556B-2182-37707B539EA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850857B3-C654-155C-06EF-BE5CAB988276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2736B60-44D9-071F-0616-F9EB6D5C3530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B7C8A480-EDDC-733D-06BB-1755E87FB22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4AB74FF7-9743-1F78-6141-8B5389104D2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C127BD3-5808-2525-D9E2-A7E436AE2A37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EA1DA5D0-C02E-5913-5B34-63D1CC07CAF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1935A7AD-4B1B-07FE-D0AF-910350098BB2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B276FAA1-1728-C14A-A768-5AF1B49A9AD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D50D1A59-862F-2B76-10D8-630EC5BCFC57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FCE6FEAD-489F-928E-26AB-BE0C5929F7CE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8B35DDFC-57C7-AF69-8346-092D83080C7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0254032B-6551-8B2A-0B70-F9A6693FC98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0320A19B-BB88-6DE7-384D-CD6C8EFFC64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D83E18FB-E607-6A7A-CF35-85691934C856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B1BCDA9-E686-4522-62C5-C48058E51C0B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BCEBCC2-5AA6-7672-F7C5-A84BB0516CA3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E07CE30A-8FBF-71DB-3B78-3D19986C5EE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F028CE6-438D-C2F3-DD07-0F663ACDA00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9FB7171C-ED9C-7626-6C0C-D4FE5876BBC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5DE00A88-495E-76AD-6EFE-9BC5420E1373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BFEE3FC-6626-E39E-488C-F3E6194A279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33A7747A-0A17-3085-FDED-A58EE89F09FC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EA8EEFC5-D2E2-E319-F39B-5BC34E417E73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09D523B9-F2CC-297C-A05A-3A815ABA32F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93E8A035-445B-5C46-F891-814BD0E15539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87786C59-836F-79EC-4094-118CA242082F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665C08EA-2916-E6D3-E595-11B77EB7925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1239548-6CCD-5012-FD55-9E50C7BD29CC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0942B97-1FE0-1006-54A1-B1B75A54728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C6C7948E-8D1F-A5CF-0A33-9E026D66A48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C14DB25-A613-3D8A-F6DD-9907A467823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CE1B28B3-5A6F-47D9-787E-0B2028B038C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364BE617-72DB-3E5F-F4C6-6C9474FC2ED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C632E5A-857F-881D-F99F-07198753097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D465C1C6-FD43-6B7D-4117-C7875BDA2B8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48B7665C-8AC2-9FFF-1AAE-1D984F6A5BB1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235E8AB0-1F56-E12B-33B0-D54E526908F9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967F8A14-27EA-FE55-CDDD-27B3E6034F2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45D22EF-E4A2-3004-FA37-F2FDBDC580DC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0C2B53A7-03C2-7BDE-F992-93B21CF2364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5380205-BFC9-A101-29FF-E07212E3323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5BF92C35-9B65-75C8-E4C0-9474771AD0A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61856B9F-35A9-D9EF-FD23-F441F42CF71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9DC4422-B518-8F93-68F3-482ECB0B03E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35043D8-4F9B-D4A1-86E2-AEBC9D3CF2AA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B9C55E05-5A52-82C7-72C2-936288C2C8F6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7208665-534C-8D1C-EC78-9B13D6FB6562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201E9EB1-2626-8FF0-971F-650A88D1E0B1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5D22E51-9591-8087-C0E6-0AF4175BF08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A1863186-C668-5D7A-489B-764DCAED6B99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E60595A0-4744-D36A-7360-81EDF76F9BE2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2B039242-C559-80D8-D432-EE10F0A1971E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831B3ACA-B39C-7EA1-8428-12449FB1926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20C2EBCB-F36F-BF57-DC33-EE456C7A4E9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96D842B0-BBC3-6570-FAC8-0CA165AEF9E3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65582D7-1720-AB7C-EA74-DDD534F2249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943AE7A7-EE5A-023B-78F6-29FFE73F405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008221E-B5A1-E8F3-2EAE-2DE78027F5BB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DF36357E-97D6-DEC2-E55F-7A9FBCB32674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1D8616C-8073-F0FF-B2E5-84BA972F9BB9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DEA7AF4-0872-23E6-386D-7613A327CBA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2E1CF9D1-9476-7751-6646-C7786B12149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67B0EF3B-13FF-AB41-3E33-315D8719360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8E7CF32-974D-218C-A263-16C70FC6B29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FEB70343-F99F-7D67-034D-3AC80D59F940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EE99E83D-DF05-5FC1-48E8-F53E3F66766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1AE78E0-5F8E-D119-1554-0B94817E74C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AD73C539-1319-CBD7-9AF4-0AF30CD81F4C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F2E9BA0-DABC-2F8A-C987-B59665BC131C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CE48E0AE-009B-D73C-38D8-44AF0999E694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3743244-1A21-D338-7BB0-C8CAB5C0469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6BFEA53F-76DC-46AF-2BC9-7B043E08F2E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8F1190A-05D4-C3AF-F8AF-3B9D3DBC196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77B3BD2-7DC3-4D87-71AB-FE1D081EEEB0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15196FC0-1AF8-94B3-37BD-1660F4786EF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283EE2D-63E1-E034-25EB-3CE26011EBF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53D3FAA-324C-CEB6-5E93-F89285B8B35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565E053-740F-F0B7-F5A0-FF7F1CABCD2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D7EAC6B7-DAA4-559E-92FB-47AC9208EBB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064D9D2-950E-7C5C-ABAC-D0A2877BE7B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038A9E5C-6A6E-A428-73DC-03344BBFB691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5AC50011-A82E-0779-2DE3-DA148EC636A9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4C595A08-7234-8450-7E97-DE44A3BFE0F3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F3491A0-D421-B0A9-4F14-1341B3F6B2A2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6965C93-8DC9-81D5-1B65-4F8A43A3E17D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0BDAA844-0422-1705-B134-64A2FDB00F19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F322FAF9-F2BF-DAF7-38A2-481648D2187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C930695C-015C-67BD-F82E-B428EAD42BC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61FED46-CA39-A826-010C-687E8246A05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1BAE6D1-FDB6-2F03-DDC8-37C7A1A129F2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54DB426-DFC9-7524-9B63-7E9E43227582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2001AD78-5774-5D9D-BB14-135653A4E540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AEACE6E-F2A5-BC4D-E16D-9FA049AAB90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1D806B8-FDD3-959A-0E2E-0457EFBE99F1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56CF83E8-3F36-BC43-A082-A97253271FF1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C0F21187-94BA-7B9D-7446-DA8BCD8BBAE6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09DA9379-A7A8-E1FA-6B2A-18FC45ACCFB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34E7A20-4095-DFBB-4400-8AFCF512955B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65F2BDF-4733-0FCA-21F7-4C04547243A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B64DFA3-7525-299B-D822-CF0F598CDEC5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246CA1C6-8F87-AE1D-EB7B-CE7ACA5647D6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88B773F-A185-AA53-60E9-8CF64287E891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227E64F-07D8-9FB4-587E-089EA5CA1E4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901EE1D-BA6B-EBAE-79FD-3F78DD083D8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8D9DE99-67DC-7FAB-891A-A76B23E8E2B1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3914AB5A-4E6E-4A6D-259A-A985ADA737B4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A54D0F3-EF61-EB2F-AD17-A5723D533BA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742E3D9A-FE38-B9E5-A2E8-175155AD347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FE127A2E-135D-B732-5378-EFD5FD136CCE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255275C4-6346-D51B-0D6B-99B8B3C5C87C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WED</v>
      </c>
      <c r="I1" s="881">
        <f>D4</f>
        <v>36957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36957</v>
      </c>
      <c r="E4" s="848">
        <f>Weather_Input!A6</f>
        <v>36958</v>
      </c>
      <c r="F4" s="848">
        <f>Weather_Input!A7</f>
        <v>36959</v>
      </c>
      <c r="G4" s="848">
        <f>Weather_Input!A8</f>
        <v>36960</v>
      </c>
      <c r="H4" s="848">
        <f>Weather_Input!A9</f>
        <v>36961</v>
      </c>
      <c r="I4" s="849">
        <f>Weather_Input!A10</f>
        <v>36962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44/27/36</v>
      </c>
      <c r="E5" s="882" t="str">
        <f>TEXT(Weather_Input!B6,"0")&amp;"/"&amp;TEXT(Weather_Input!C6,"0") &amp; "/" &amp; TEXT((Weather_Input!B6+Weather_Input!C6)/2,"0")</f>
        <v>34/22/28</v>
      </c>
      <c r="F5" s="882" t="str">
        <f>TEXT(Weather_Input!B7,"0")&amp;"/"&amp;TEXT(Weather_Input!C7,"0") &amp; "/" &amp; TEXT((Weather_Input!B7+Weather_Input!C7)/2,"0")</f>
        <v>35/22/29</v>
      </c>
      <c r="G5" s="882" t="str">
        <f>TEXT(Weather_Input!B8,"0")&amp;"/"&amp;TEXT(Weather_Input!C8,"0") &amp; "/" &amp; TEXT((Weather_Input!B8+Weather_Input!C8)/2,"0")</f>
        <v>43/28/36</v>
      </c>
      <c r="H5" s="882" t="str">
        <f>TEXT(Weather_Input!B9,"0")&amp;"/"&amp;TEXT(Weather_Input!C9,"0") &amp; "/" &amp; TEXT((Weather_Input!B9+Weather_Input!C9)/2,"0")</f>
        <v>45/31/38</v>
      </c>
      <c r="I5" s="883" t="str">
        <f>TEXT(Weather_Input!B10,"0")&amp;"/"&amp;TEXT(Weather_Input!C10,"0") &amp; "/" &amp; TEXT((Weather_Input!B10+Weather_Input!C10)/2,"0")</f>
        <v>45/31/38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152</v>
      </c>
      <c r="E6" s="851">
        <f ca="1">VLOOKUP(E4,NSG_Sendouts,CELL("Col",NSG_Deliveries!C6),FALSE)/1000</f>
        <v>168</v>
      </c>
      <c r="F6" s="851">
        <f ca="1">VLOOKUP(F4,NSG_Sendouts,CELL("Col",NSG_Deliveries!C7),FALSE)/1000</f>
        <v>166</v>
      </c>
      <c r="G6" s="851">
        <f ca="1">VLOOKUP(G4,NSG_Sendouts,CELL("Col",NSG_Deliveries!C8),FALSE)/1000</f>
        <v>146</v>
      </c>
      <c r="H6" s="851">
        <f ca="1">VLOOKUP(H4,NSG_Sendouts,CELL("Col",NSG_Deliveries!C9),FALSE)/1000</f>
        <v>138</v>
      </c>
      <c r="I6" s="856">
        <f ca="1">VLOOKUP(I4,NSG_Sendouts,CELL("Col",NSG_Deliveries!C10),FALSE)/1000</f>
        <v>135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5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17.63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174.63</v>
      </c>
      <c r="E19" s="860">
        <f t="shared" ca="1" si="1"/>
        <v>168</v>
      </c>
      <c r="F19" s="860">
        <f t="shared" ca="1" si="1"/>
        <v>166</v>
      </c>
      <c r="G19" s="860">
        <f t="shared" ca="1" si="1"/>
        <v>146</v>
      </c>
      <c r="H19" s="860">
        <f t="shared" ca="1" si="1"/>
        <v>138</v>
      </c>
      <c r="I19" s="861">
        <f t="shared" ca="1" si="1"/>
        <v>135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51</v>
      </c>
      <c r="E23" s="851">
        <f>NSG_Supplies!L8/1000</f>
        <v>50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103.63200000000001</v>
      </c>
      <c r="E32" s="851">
        <f>NSG_Supplies!R8/1000</f>
        <v>103.657</v>
      </c>
      <c r="F32" s="851">
        <f>NSG_Supplies!R9/1000</f>
        <v>103.657</v>
      </c>
      <c r="G32" s="851">
        <f>NSG_Supplies!R10/1000</f>
        <v>103.657</v>
      </c>
      <c r="H32" s="851">
        <f>NSG_Supplies!R11/1000</f>
        <v>103.657</v>
      </c>
      <c r="I32" s="852">
        <f>NSG_Supplies!R12/1000</f>
        <v>103.657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174.63200000000001</v>
      </c>
      <c r="E37" s="891">
        <f t="shared" si="2"/>
        <v>173.65699999999998</v>
      </c>
      <c r="F37" s="891">
        <f t="shared" si="2"/>
        <v>143.65699999999998</v>
      </c>
      <c r="G37" s="891">
        <f t="shared" si="2"/>
        <v>143.65699999999998</v>
      </c>
      <c r="H37" s="891">
        <f t="shared" si="2"/>
        <v>143.65699999999998</v>
      </c>
      <c r="I37" s="892">
        <f t="shared" si="2"/>
        <v>143.65699999999998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2.0000000000095497E-3</v>
      </c>
      <c r="E38" s="895">
        <f t="shared" ca="1" si="3"/>
        <v>5.6569999999999823</v>
      </c>
      <c r="F38" s="895">
        <f t="shared" ca="1" si="3"/>
        <v>0</v>
      </c>
      <c r="G38" s="895">
        <f t="shared" ca="1" si="3"/>
        <v>0</v>
      </c>
      <c r="H38" s="895">
        <f t="shared" ca="1" si="3"/>
        <v>5.6569999999999823</v>
      </c>
      <c r="I38" s="896">
        <f t="shared" ca="1" si="3"/>
        <v>8.6569999999999823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22.343000000000018</v>
      </c>
      <c r="G39" s="877">
        <f t="shared" ca="1" si="4"/>
        <v>2.3430000000000177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33.622999999999998</v>
      </c>
      <c r="E40" s="1175">
        <f>NSG_Supplies!S8/1000</f>
        <v>33.622999999999998</v>
      </c>
      <c r="F40" s="1175">
        <f>NSG_Supplies!S9/1000</f>
        <v>33.622999999999998</v>
      </c>
      <c r="G40" s="1175">
        <f>NSG_Supplies!S10/1000</f>
        <v>33.622999999999998</v>
      </c>
      <c r="H40" s="1175">
        <f>NSG_Supplies!S11/1000</f>
        <v>33.622999999999998</v>
      </c>
      <c r="I40" s="1176">
        <f>NSG_Supplies!S12/1000</f>
        <v>33.622999999999998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10</v>
      </c>
      <c r="E42" s="902">
        <f>Weather_Input!D6</f>
        <v>14</v>
      </c>
      <c r="F42" s="902">
        <f>Weather_Input!D7</f>
        <v>10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36957</v>
      </c>
      <c r="G1" s="771" t="str">
        <f>CHOOSE(WEEKDAY(F1),"SUN","MON","TUE","WED","THU","FRI","SAT")</f>
        <v>WED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44</v>
      </c>
      <c r="C4" s="965">
        <f>Weather_Input!C5</f>
        <v>27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955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257.91199999999998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-0.66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136.73500000000001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261.98899999999998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101.2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97.5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732.67599999999993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222.32400000000007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222.32400000000007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54.4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-276.72300000000001</v>
      </c>
      <c r="D29" s="987" t="s">
        <v>11</v>
      </c>
      <c r="E29" s="986">
        <f>-PGL_Supplies!AC7/1000</f>
        <v>-276.72300000000001</v>
      </c>
      <c r="F29" s="307"/>
      <c r="G29" s="986">
        <f>-PGL_Supplies!AC7/1000</f>
        <v>-276.72300000000001</v>
      </c>
      <c r="H29" s="515"/>
      <c r="I29" s="988">
        <f>-PGL_Supplies!AC7/1000</f>
        <v>-276.72300000000001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257.91199999999998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257.91199999999998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137.73500000000001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136.73500000000001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-0.66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261.98899999999998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261.98899999999998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101.2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261.98899999999998</v>
      </c>
    </row>
    <row r="63" spans="1:9" ht="16.5" thickBot="1">
      <c r="A63" s="800" t="s">
        <v>565</v>
      </c>
      <c r="B63" s="1020">
        <f>+B62+B61-B60+B59</f>
        <v>101.2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WED</v>
      </c>
      <c r="G1" s="1084">
        <f>Weather_Input!A5</f>
        <v>36957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44</v>
      </c>
      <c r="C4" s="759">
        <f>Weather_Input!C5</f>
        <v>27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152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86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15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51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86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17.63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-103.63200000000001</v>
      </c>
      <c r="D26" s="719"/>
      <c r="E26" s="712">
        <f>-NSG_Supplies!R7/1000</f>
        <v>-103.63200000000001</v>
      </c>
      <c r="F26" s="719"/>
      <c r="G26" s="712">
        <f>-NSG_Supplies!R7/1000</f>
        <v>-103.63200000000001</v>
      </c>
      <c r="H26" s="718"/>
      <c r="I26" s="777">
        <f>-NSG_Supplies!R7/1000</f>
        <v>-103.63200000000001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51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51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5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15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44</v>
      </c>
      <c r="C5" s="266">
        <f>Weather_Input!C5</f>
        <v>27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955</v>
      </c>
      <c r="C8" s="274">
        <f>NSG_Deliveries!C5/1000</f>
        <v>152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434.017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359.11199999999997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97.5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-768.62899999999991</v>
      </c>
      <c r="C18" s="289">
        <f>-I63</f>
        <v>-51</v>
      </c>
      <c r="D18" s="290" t="s">
        <v>11</v>
      </c>
      <c r="E18" s="289">
        <f>-I63</f>
        <v>-51</v>
      </c>
      <c r="F18" s="290" t="s">
        <v>11</v>
      </c>
      <c r="G18" s="289">
        <f>-I63</f>
        <v>-51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186.37100000000009</v>
      </c>
      <c r="C20" s="295">
        <f>C8+C18+C19</f>
        <v>101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186.37100000000009</v>
      </c>
      <c r="C23" s="301">
        <f>C20</f>
        <v>101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-276.72300000000001</v>
      </c>
      <c r="C32" s="315">
        <f>-NSG_Supplies!R7/1000</f>
        <v>-103.63200000000001</v>
      </c>
      <c r="D32" s="315">
        <f>B32</f>
        <v>-276.72300000000001</v>
      </c>
      <c r="E32" s="315">
        <f>C32</f>
        <v>-103.63200000000001</v>
      </c>
      <c r="F32" s="315">
        <f>B32</f>
        <v>-276.72300000000001</v>
      </c>
      <c r="G32" s="315">
        <f>C32</f>
        <v>-103.63200000000001</v>
      </c>
      <c r="H32" s="320">
        <f>B32</f>
        <v>-276.72300000000001</v>
      </c>
      <c r="I32" s="321">
        <f>C32</f>
        <v>-103.63200000000001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-33.622999999999998</v>
      </c>
      <c r="D33" s="315">
        <f>B33</f>
        <v>0</v>
      </c>
      <c r="E33" s="315">
        <f>C33</f>
        <v>-33.622999999999998</v>
      </c>
      <c r="F33" s="315">
        <f>B33</f>
        <v>0</v>
      </c>
      <c r="G33" s="315">
        <f>C33</f>
        <v>-33.622999999999998</v>
      </c>
      <c r="H33" s="320">
        <f>B33</f>
        <v>0</v>
      </c>
      <c r="I33" s="321">
        <f>C33</f>
        <v>-33.622999999999998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54.4</v>
      </c>
      <c r="C35" s="310">
        <f>NSG_Requirements!H7/1000</f>
        <v>17.63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296.28199999999998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137.73500000000001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434.017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51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51</v>
      </c>
    </row>
    <row r="64" spans="1:9" ht="17.100000000000001" customHeight="1" thickBot="1">
      <c r="A64" s="425" t="s">
        <v>394</v>
      </c>
      <c r="B64" s="324">
        <f>PGL_Supplies!Y7/1000</f>
        <v>257.91199999999998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101.2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359.11199999999997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36957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124.4</v>
      </c>
      <c r="D97" s="603"/>
      <c r="E97" s="615">
        <f>+C97</f>
        <v>124.4</v>
      </c>
      <c r="F97" s="603"/>
      <c r="G97" s="615">
        <f>+C97</f>
        <v>124.4</v>
      </c>
      <c r="H97" s="603"/>
      <c r="I97" s="285">
        <f>+C97</f>
        <v>124.4</v>
      </c>
    </row>
    <row r="98" spans="1:9" ht="15">
      <c r="A98" s="494" t="s">
        <v>60</v>
      </c>
      <c r="B98" s="282" t="s">
        <v>11</v>
      </c>
      <c r="C98" s="624">
        <f>B149</f>
        <v>0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-565.98299999999995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359.11199999999997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97.5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-137.73500000000001</v>
      </c>
      <c r="C117" s="315">
        <f>-NSG_Supplies!X7/1000</f>
        <v>0</v>
      </c>
      <c r="D117" s="315">
        <f>-PGL_Supplies!AA7/1000</f>
        <v>-137.73500000000001</v>
      </c>
      <c r="E117" s="315">
        <f>-NSG_Supplies!X7/1000</f>
        <v>0</v>
      </c>
      <c r="F117" s="315">
        <f>-PGL_Supplies!AA7/1000</f>
        <v>-137.73500000000001</v>
      </c>
      <c r="G117" s="315">
        <f>-NSG_Supplies!X7/1000</f>
        <v>0</v>
      </c>
      <c r="H117" s="320">
        <f>-PGL_Supplies!AA7/1000</f>
        <v>-137.73500000000001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-33.622999999999998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54.4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124.4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137.73500000000001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296.28199999999998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-565.98299999999995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0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101.2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257.91199999999998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359.11199999999997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36958.20289375</v>
      </c>
      <c r="F22" s="164" t="s">
        <v>272</v>
      </c>
      <c r="G22" s="191">
        <f ca="1">NOW()</f>
        <v>36958.20289375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36958.20289375</v>
      </c>
      <c r="F22" s="164" t="s">
        <v>272</v>
      </c>
      <c r="G22" s="191">
        <f ca="1">NOW()</f>
        <v>36958.20289375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36957</v>
      </c>
      <c r="C5" s="15"/>
      <c r="D5" s="22" t="s">
        <v>290</v>
      </c>
      <c r="E5" s="23">
        <f>Weather_Input!B5</f>
        <v>44</v>
      </c>
      <c r="F5" s="24" t="s">
        <v>291</v>
      </c>
      <c r="G5" s="25">
        <f>Weather_Input!H5</f>
        <v>32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27</v>
      </c>
      <c r="F6" s="24" t="s">
        <v>293</v>
      </c>
      <c r="G6" s="25">
        <f>Weather_Input!F5</f>
        <v>239</v>
      </c>
      <c r="H6" s="26" t="s">
        <v>294</v>
      </c>
      <c r="I6" s="27">
        <f ca="1">G6-(VLOOKUP(B5,DD_Normal_Data,CELL("Col",C7),FALSE))</f>
        <v>16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35.5</v>
      </c>
      <c r="F7" s="24" t="s">
        <v>296</v>
      </c>
      <c r="G7" s="25">
        <f>Weather_Input!G5</f>
        <v>5324</v>
      </c>
      <c r="H7" s="26" t="s">
        <v>296</v>
      </c>
      <c r="I7" s="123">
        <f ca="1">G7-(VLOOKUP(B5,DD_Normal_Data,CELL("Col",D4),FALSE))</f>
        <v>306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 PARTLY  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BECOMING CLOUDY.    WINDS NW 10 TO 15 MPH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36958</v>
      </c>
      <c r="C10" s="15"/>
      <c r="D10" s="153" t="s">
        <v>290</v>
      </c>
      <c r="E10" s="23">
        <f>Weather_Input!B6</f>
        <v>34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176</v>
      </c>
      <c r="E11" s="23">
        <f>Weather_Input!C6</f>
        <v>22</v>
      </c>
      <c r="F11" s="24" t="s">
        <v>293</v>
      </c>
      <c r="G11" s="25">
        <f>IF(DAY(B10)=1,G10,G6+G10)</f>
        <v>276</v>
      </c>
      <c r="H11" s="30" t="s">
        <v>294</v>
      </c>
      <c r="I11" s="27">
        <f ca="1">G11-(VLOOKUP(B10,DD_Normal_Data,CELL("Col",C12),FALSE))</f>
        <v>23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5361</v>
      </c>
      <c r="H12" s="26" t="s">
        <v>296</v>
      </c>
      <c r="I12" s="27">
        <f ca="1">G12-(VLOOKUP(B10,DD_Normal_Data,CELL("Col",D9),FALSE))</f>
        <v>313</v>
      </c>
    </row>
    <row r="13" spans="1:109" ht="15">
      <c r="A13" s="18"/>
      <c r="B13" s="21"/>
      <c r="C13" s="15"/>
      <c r="D13" s="32" t="str">
        <f>IF(Weather_Input!I6=""," ",Weather_Input!I6)</f>
        <v xml:space="preserve">   CLOUDY... WITH  A   30%   CHANCE  OF  LIGHT  SNOW  OR FLURRIES.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36959</v>
      </c>
      <c r="C15" s="15"/>
      <c r="D15" s="22" t="s">
        <v>290</v>
      </c>
      <c r="E15" s="23">
        <f>Weather_Input!B7</f>
        <v>35</v>
      </c>
      <c r="F15" s="24" t="s">
        <v>291</v>
      </c>
      <c r="G15" s="25">
        <f>IF(E17&lt;65,65-(Weather_Input!B7+Weather_Input!C7)/2,0)</f>
        <v>36.5</v>
      </c>
      <c r="H15" s="26" t="s">
        <v>292</v>
      </c>
      <c r="I15" s="27">
        <f ca="1">G15-(VLOOKUP(B15,DD_Normal_Data,CELL("Col",B16),FALSE))</f>
        <v>6.5</v>
      </c>
    </row>
    <row r="16" spans="1:109" ht="15">
      <c r="A16" s="18"/>
      <c r="B16" s="20"/>
      <c r="C16" s="15"/>
      <c r="D16" s="22" t="s">
        <v>176</v>
      </c>
      <c r="E16" s="23">
        <f>Weather_Input!C7</f>
        <v>22</v>
      </c>
      <c r="F16" s="24" t="s">
        <v>293</v>
      </c>
      <c r="G16" s="25">
        <f>IF(DAY(B15)=1,G15,G11+G15)</f>
        <v>312.5</v>
      </c>
      <c r="H16" s="30" t="s">
        <v>294</v>
      </c>
      <c r="I16" s="27">
        <f ca="1">G16-(VLOOKUP(B15,DD_Normal_Data,CELL("Col",C17),FALSE))</f>
        <v>29.5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28.5</v>
      </c>
      <c r="F17" s="24" t="s">
        <v>296</v>
      </c>
      <c r="G17" s="25">
        <f>IF(AND(DAY(B15)=1,MONTH(B15)=8),G15,G12+G15)</f>
        <v>5397.5</v>
      </c>
      <c r="H17" s="26" t="s">
        <v>296</v>
      </c>
      <c r="I17" s="27">
        <f ca="1">G17-(VLOOKUP(B15,DD_Normal_Data,CELL("Col",D14),FALSE))</f>
        <v>319.5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36960</v>
      </c>
      <c r="C20" s="15"/>
      <c r="D20" s="22" t="s">
        <v>290</v>
      </c>
      <c r="E20" s="23">
        <f>Weather_Input!B8</f>
        <v>43</v>
      </c>
      <c r="F20" s="24" t="s">
        <v>291</v>
      </c>
      <c r="G20" s="25">
        <f>IF(E22&lt;65,65-(Weather_Input!B8+Weather_Input!C8)/2,0)</f>
        <v>29.5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28</v>
      </c>
      <c r="F21" s="24" t="s">
        <v>293</v>
      </c>
      <c r="G21" s="25">
        <f>IF(DAY(B20)=1,G20,G16+G20)</f>
        <v>342</v>
      </c>
      <c r="H21" s="30" t="s">
        <v>294</v>
      </c>
      <c r="I21" s="27">
        <f ca="1">G21-(VLOOKUP(B20,DD_Normal_Data,CELL("Col",C22),FALSE))</f>
        <v>29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35.5</v>
      </c>
      <c r="F22" s="24" t="s">
        <v>296</v>
      </c>
      <c r="G22" s="25">
        <f>IF(AND(DAY(B20)=1,MONTH(B20)=8),G20,G17+G20)</f>
        <v>5427</v>
      </c>
      <c r="H22" s="26" t="s">
        <v>296</v>
      </c>
      <c r="I22" s="27">
        <f ca="1">G22-(VLOOKUP(B20,DD_Normal_Data,CELL("Col",D19),FALSE))</f>
        <v>319</v>
      </c>
    </row>
    <row r="23" spans="1:109" ht="15">
      <c r="A23" s="18"/>
      <c r="B23" s="21"/>
      <c r="C23" s="15"/>
      <c r="D23" s="32" t="str">
        <f>IF(Weather_Input!I8=""," ",Weather_Input!I8)</f>
        <v xml:space="preserve">  A  CHANCE  OF   RAIN   OR  SNOW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36961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27</v>
      </c>
      <c r="H25" s="26" t="s">
        <v>292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369</v>
      </c>
      <c r="H26" s="30" t="s">
        <v>294</v>
      </c>
      <c r="I26" s="27">
        <f ca="1">G26-(VLOOKUP(B25,DD_Normal_Data,CELL("Col",C27),FALSE))</f>
        <v>26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38</v>
      </c>
      <c r="F27" s="24" t="s">
        <v>296</v>
      </c>
      <c r="G27" s="25">
        <f>IF(AND(DAY(B25)=1,MONTH(B25)=8),G25,G22+G25)</f>
        <v>5454</v>
      </c>
      <c r="H27" s="26" t="s">
        <v>296</v>
      </c>
      <c r="I27" s="27">
        <f ca="1">G27-(VLOOKUP(B25,DD_Normal_Data,CELL("Col",D24),FALSE))</f>
        <v>316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OR  SNOW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36962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27</v>
      </c>
      <c r="H30" s="26" t="s">
        <v>292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396</v>
      </c>
      <c r="H31" s="30" t="s">
        <v>294</v>
      </c>
      <c r="I31" s="27">
        <f ca="1">G31-(VLOOKUP(B30,DD_Normal_Data,CELL("Col",C32),FALSE))</f>
        <v>24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38</v>
      </c>
      <c r="F32" s="24" t="s">
        <v>296</v>
      </c>
      <c r="G32" s="25">
        <f>IF(AND(DAY(B30)=1,MONTH(B30)=8),G30,G27+G30)</f>
        <v>5481</v>
      </c>
      <c r="H32" s="26" t="s">
        <v>296</v>
      </c>
      <c r="I32" s="27">
        <f ca="1">G32-(VLOOKUP(B30,DD_Normal_Data,CELL("Col",D29),FALSE))</f>
        <v>314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OR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36957</v>
      </c>
      <c r="C36" s="91">
        <f>B10</f>
        <v>36958</v>
      </c>
      <c r="D36" s="91">
        <f>B15</f>
        <v>36959</v>
      </c>
      <c r="E36" s="91">
        <f xml:space="preserve">       B20</f>
        <v>36960</v>
      </c>
      <c r="F36" s="91">
        <f>B25</f>
        <v>36961</v>
      </c>
      <c r="G36" s="91">
        <f>B30</f>
        <v>36962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955</v>
      </c>
      <c r="C37" s="41">
        <f ca="1">(VLOOKUP(C36,PGL_Sendouts,(CELL("COL",PGL_Deliveries!C7))))/1000</f>
        <v>1045</v>
      </c>
      <c r="D37" s="41">
        <f ca="1">(VLOOKUP(D36,PGL_Sendouts,(CELL("COL",PGL_Deliveries!C8))))/1000</f>
        <v>1040</v>
      </c>
      <c r="E37" s="41">
        <f ca="1">(VLOOKUP(E36,PGL_Sendouts,(CELL("COL",PGL_Deliveries!C9))))/1000</f>
        <v>930</v>
      </c>
      <c r="F37" s="41">
        <f ca="1">(VLOOKUP(F36,PGL_Sendouts,(CELL("COL",PGL_Deliveries!C10))))/1000</f>
        <v>870</v>
      </c>
      <c r="G37" s="41">
        <f ca="1">(VLOOKUP(G36,PGL_Sendouts,(CELL("COL",PGL_Deliveries!C10))))/1000</f>
        <v>855</v>
      </c>
      <c r="H37" s="14"/>
      <c r="I37" s="15"/>
    </row>
    <row r="38" spans="1:9" ht="15">
      <c r="A38" s="15" t="s">
        <v>301</v>
      </c>
      <c r="B38" s="41">
        <f>PGL_6_Day_Report!D30</f>
        <v>1108.56</v>
      </c>
      <c r="C38" s="41">
        <f>PGL_6_Day_Report!E30</f>
        <v>1070.6600000000001</v>
      </c>
      <c r="D38" s="41">
        <f>PGL_6_Day_Report!F30</f>
        <v>1294.4100000000001</v>
      </c>
      <c r="E38" s="41">
        <f>PGL_6_Day_Report!G30</f>
        <v>1184.4100000000001</v>
      </c>
      <c r="F38" s="41">
        <f>PGL_6_Day_Report!H30</f>
        <v>1124.4100000000001</v>
      </c>
      <c r="G38" s="41">
        <f>PGL_6_Day_Report!I30</f>
        <v>1109.4100000000001</v>
      </c>
      <c r="H38" s="14"/>
      <c r="I38" s="15"/>
    </row>
    <row r="39" spans="1:9" ht="15">
      <c r="A39" s="42" t="s">
        <v>109</v>
      </c>
      <c r="B39" s="41">
        <f>SUM(PGL_Supplies!Z7:AE7)/1000</f>
        <v>847.64700000000005</v>
      </c>
      <c r="C39" s="41">
        <f>SUM(PGL_Supplies!Z8:AE8)/1000</f>
        <v>798.05799999999999</v>
      </c>
      <c r="D39" s="41">
        <f>SUM(PGL_Supplies!Z9:AE9)/1000</f>
        <v>798.05799999999999</v>
      </c>
      <c r="E39" s="41">
        <f>SUM(PGL_Supplies!Z10:AE10)/1000</f>
        <v>798.05799999999999</v>
      </c>
      <c r="F39" s="41">
        <f>SUM(PGL_Supplies!Z11:AE11)/1000</f>
        <v>798.05799999999999</v>
      </c>
      <c r="G39" s="41">
        <f>SUM(PGL_Supplies!Z12:AE12)/1000</f>
        <v>798.05799999999999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296.28199999999998</v>
      </c>
      <c r="C42" s="41">
        <f>PGL_Supplies!V8/1000</f>
        <v>296.28199999999998</v>
      </c>
      <c r="D42" s="41">
        <f>PGL_Supplies!V9/1000</f>
        <v>296.28199999999998</v>
      </c>
      <c r="E42" s="41">
        <f>PGL_Supplies!V10/1000</f>
        <v>296.28199999999998</v>
      </c>
      <c r="F42" s="41">
        <f>PGL_Supplies!V11/1000</f>
        <v>296.28199999999998</v>
      </c>
      <c r="G42" s="41">
        <f>PGL_Supplies!V12/1000</f>
        <v>296.28199999999998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36957</v>
      </c>
      <c r="C44" s="91">
        <f t="shared" si="0"/>
        <v>36958</v>
      </c>
      <c r="D44" s="91">
        <f t="shared" si="0"/>
        <v>36959</v>
      </c>
      <c r="E44" s="91">
        <f t="shared" si="0"/>
        <v>36960</v>
      </c>
      <c r="F44" s="91">
        <f t="shared" si="0"/>
        <v>36961</v>
      </c>
      <c r="G44" s="91">
        <f t="shared" si="0"/>
        <v>36962</v>
      </c>
      <c r="H44" s="14"/>
      <c r="I44" s="15"/>
    </row>
    <row r="45" spans="1:9" ht="15">
      <c r="A45" s="15" t="s">
        <v>56</v>
      </c>
      <c r="B45" s="41">
        <f ca="1">NSG_6_Day_Report!D6</f>
        <v>152</v>
      </c>
      <c r="C45" s="41">
        <f ca="1">NSG_6_Day_Report!E6</f>
        <v>168</v>
      </c>
      <c r="D45" s="41">
        <f ca="1">NSG_6_Day_Report!F6</f>
        <v>166</v>
      </c>
      <c r="E45" s="41">
        <f ca="1">NSG_6_Day_Report!G6</f>
        <v>146</v>
      </c>
      <c r="F45" s="41">
        <f ca="1">NSG_6_Day_Report!H6</f>
        <v>138</v>
      </c>
      <c r="G45" s="41">
        <f ca="1">NSG_6_Day_Report!I6</f>
        <v>135</v>
      </c>
      <c r="H45" s="14"/>
      <c r="I45" s="15"/>
    </row>
    <row r="46" spans="1:9" ht="15">
      <c r="A46" s="42" t="s">
        <v>301</v>
      </c>
      <c r="B46" s="41">
        <f ca="1">NSG_6_Day_Report!D19</f>
        <v>174.63</v>
      </c>
      <c r="C46" s="41">
        <f ca="1">NSG_6_Day_Report!E19</f>
        <v>168</v>
      </c>
      <c r="D46" s="41">
        <f ca="1">NSG_6_Day_Report!F19</f>
        <v>166</v>
      </c>
      <c r="E46" s="41">
        <f ca="1">NSG_6_Day_Report!G19</f>
        <v>146</v>
      </c>
      <c r="F46" s="41">
        <f ca="1">NSG_6_Day_Report!H19</f>
        <v>138</v>
      </c>
      <c r="G46" s="41">
        <f ca="1">NSG_6_Day_Report!I19</f>
        <v>135</v>
      </c>
      <c r="H46" s="14"/>
      <c r="I46" s="15"/>
    </row>
    <row r="47" spans="1:9" ht="15">
      <c r="A47" s="42" t="s">
        <v>109</v>
      </c>
      <c r="B47" s="41">
        <f>SUM(NSG_Supplies!P7:R7)/1000</f>
        <v>123.63200000000001</v>
      </c>
      <c r="C47" s="41">
        <f>SUM(NSG_Supplies!P8:R8)/1000</f>
        <v>123.657</v>
      </c>
      <c r="D47" s="41">
        <f>SUM(NSG_Supplies!P9:R9)/1000</f>
        <v>123.657</v>
      </c>
      <c r="E47" s="41">
        <f>SUM(NSG_Supplies!P10:R10)/1000</f>
        <v>123.657</v>
      </c>
      <c r="F47" s="41">
        <f>SUM(NSG_Supplies!P11:R11)/1000</f>
        <v>123.657</v>
      </c>
      <c r="G47" s="41">
        <f>SUM(NSG_Supplies!P12:R12)/1000</f>
        <v>123.657</v>
      </c>
      <c r="H47" s="14"/>
      <c r="I47" s="15"/>
    </row>
    <row r="48" spans="1:9" ht="15">
      <c r="A48" s="42" t="s">
        <v>302</v>
      </c>
      <c r="B48" s="41">
        <f>SUM(NSG_Supplies!I7:M7)/1000</f>
        <v>51</v>
      </c>
      <c r="C48" s="41">
        <f>SUM(NSG_Supplies!I8:M8)/1000</f>
        <v>50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33.622999999999998</v>
      </c>
      <c r="C50" s="41">
        <f>NSG_Supplies!S8/1000</f>
        <v>33.622999999999998</v>
      </c>
      <c r="D50" s="41">
        <f>NSG_Supplies!S9/1000</f>
        <v>33.622999999999998</v>
      </c>
      <c r="E50" s="41">
        <f>NSG_Supplies!S10/1000</f>
        <v>33.622999999999998</v>
      </c>
      <c r="F50" s="41">
        <f>NSG_Supplies!S11/1000</f>
        <v>33.622999999999998</v>
      </c>
      <c r="G50" s="41">
        <f>NSG_Supplies!S12/1000</f>
        <v>33.622999999999998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36957</v>
      </c>
      <c r="C52" s="91">
        <f t="shared" si="1"/>
        <v>36958</v>
      </c>
      <c r="D52" s="91">
        <f t="shared" si="1"/>
        <v>36959</v>
      </c>
      <c r="E52" s="91">
        <f t="shared" si="1"/>
        <v>36960</v>
      </c>
      <c r="F52" s="91">
        <f t="shared" si="1"/>
        <v>36961</v>
      </c>
      <c r="G52" s="91">
        <f t="shared" si="1"/>
        <v>36962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Thursday</v>
      </c>
      <c r="C4" s="1144" t="str">
        <f>Six_Day_Summary!A15</f>
        <v>Friday</v>
      </c>
      <c r="D4" s="1144" t="str">
        <f>Six_Day_Summary!A20</f>
        <v>Saturday</v>
      </c>
      <c r="E4" s="1144" t="str">
        <f>Six_Day_Summary!A25</f>
        <v>Sunday</v>
      </c>
      <c r="F4" s="1145" t="str">
        <f>Six_Day_Summary!A30</f>
        <v>Monday</v>
      </c>
      <c r="G4" s="100"/>
    </row>
    <row r="5" spans="1:8">
      <c r="A5" s="103" t="s">
        <v>312</v>
      </c>
      <c r="B5" s="1146">
        <f>Weather_Input!A6</f>
        <v>36958</v>
      </c>
      <c r="C5" s="1147">
        <f>Weather_Input!A7</f>
        <v>36959</v>
      </c>
      <c r="D5" s="1147">
        <f>Weather_Input!A8</f>
        <v>36960</v>
      </c>
      <c r="E5" s="1147">
        <f>Weather_Input!A9</f>
        <v>36961</v>
      </c>
      <c r="F5" s="1148">
        <f>Weather_Input!A10</f>
        <v>36962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265.88900000000001</v>
      </c>
      <c r="C6" s="1149">
        <f>PGL_Supplies!AC9/1000+PGL_Supplies!L9/1000-PGL_Requirements!O9/1000+C15-PGL_Requirements!T9/1000</f>
        <v>265.88900000000001</v>
      </c>
      <c r="D6" s="1149">
        <f>PGL_Supplies!AC10/1000+PGL_Supplies!L10/1000-PGL_Requirements!O10/1000+D15-PGL_Requirements!T10/1000</f>
        <v>265.88900000000001</v>
      </c>
      <c r="E6" s="1149">
        <f>PGL_Supplies!AC11/1000+PGL_Supplies!L11/1000-PGL_Requirements!O11/1000+E15-PGL_Requirements!T11/1000</f>
        <v>265.88900000000001</v>
      </c>
      <c r="F6" s="1150">
        <f>PGL_Supplies!AC12/1000+PGL_Supplies!L12/1000-PGL_Requirements!O12/1000+F15-PGL_Requirements!T12/1000</f>
        <v>265.88900000000001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Thursday</v>
      </c>
      <c r="C21" s="1159" t="str">
        <f t="shared" si="0"/>
        <v>Friday</v>
      </c>
      <c r="D21" s="1159" t="str">
        <f t="shared" si="0"/>
        <v>Saturday</v>
      </c>
      <c r="E21" s="1159" t="str">
        <f t="shared" si="0"/>
        <v>Sunday</v>
      </c>
      <c r="F21" s="1160" t="str">
        <f t="shared" si="0"/>
        <v>Monday</v>
      </c>
      <c r="G21" s="100"/>
    </row>
    <row r="22" spans="1:7">
      <c r="A22" s="107" t="s">
        <v>312</v>
      </c>
      <c r="B22" s="1161">
        <f t="shared" si="0"/>
        <v>36958</v>
      </c>
      <c r="C22" s="1161">
        <f t="shared" si="0"/>
        <v>36959</v>
      </c>
      <c r="D22" s="1161">
        <f t="shared" si="0"/>
        <v>36960</v>
      </c>
      <c r="E22" s="1161">
        <f t="shared" si="0"/>
        <v>36961</v>
      </c>
      <c r="F22" s="1162">
        <f t="shared" si="0"/>
        <v>36962</v>
      </c>
      <c r="G22" s="100"/>
    </row>
    <row r="23" spans="1:7">
      <c r="A23" s="100" t="s">
        <v>313</v>
      </c>
      <c r="B23" s="1155">
        <f>NSG_Supplies!R8/1000+NSG_Supplies!F8/1000-NSG_Requirements!H8/1000</f>
        <v>103.657</v>
      </c>
      <c r="C23" s="1155">
        <f>NSG_Supplies!R9/1000+NSG_Supplies!F9/1000-NSG_Requirements!H9/1000</f>
        <v>103.657</v>
      </c>
      <c r="D23" s="1155">
        <f>NSG_Supplies!R10/1000+NSG_Supplies!F10/1000-NSG_Requirements!H10/1000</f>
        <v>103.657</v>
      </c>
      <c r="E23" s="1155">
        <f>NSG_Supplies!R12/1000+NSG_Supplies!F11/1000-NSG_Requirements!H11/1000</f>
        <v>103.657</v>
      </c>
      <c r="F23" s="1150">
        <f>NSG_Supplies!R12/1000+NSG_Supplies!F12/1000-NSG_Requirements!H12/1000</f>
        <v>103.657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219.327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324.56799999999998</v>
      </c>
      <c r="D11" s="790"/>
      <c r="E11" s="1132"/>
      <c r="F11" s="435" t="s">
        <v>379</v>
      </c>
      <c r="G11" s="447">
        <f>G8+G10</f>
        <v>219.327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324.56799999999998</v>
      </c>
      <c r="D14" s="438"/>
      <c r="E14" s="440">
        <f>AVERAGE(C14/24)</f>
        <v>13.523666666666665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219.327</v>
      </c>
      <c r="H15" s="438"/>
      <c r="I15" s="440">
        <f>AVERAGE(G15/24)</f>
        <v>9.1386249999999993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5</v>
      </c>
      <c r="I19" s="443"/>
    </row>
    <row r="20" spans="1:9" ht="15.75" customHeight="1" thickTop="1" thickBot="1">
      <c r="B20" s="437" t="s">
        <v>559</v>
      </c>
      <c r="C20" s="448">
        <f>C17+C18-D19</f>
        <v>55</v>
      </c>
      <c r="D20" s="441" t="s">
        <v>11</v>
      </c>
      <c r="E20" s="440">
        <f>AVERAGE(C20/24)</f>
        <v>2.2916666666666665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146.643</v>
      </c>
      <c r="D21" s="154" t="s">
        <v>11</v>
      </c>
      <c r="E21" s="161"/>
      <c r="F21" s="172" t="s">
        <v>109</v>
      </c>
      <c r="G21" s="154">
        <f>PGL_Supplies!AD8/1000</f>
        <v>111.199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146.643</v>
      </c>
      <c r="D22" s="434"/>
      <c r="E22" s="436"/>
      <c r="F22" s="435" t="s">
        <v>379</v>
      </c>
      <c r="G22" s="447">
        <f>G21</f>
        <v>111.199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146.643</v>
      </c>
      <c r="D25" s="438"/>
      <c r="E25" s="440">
        <f>AVERAGE(C25/24)</f>
        <v>6.110125</v>
      </c>
      <c r="F25" s="552" t="s">
        <v>556</v>
      </c>
      <c r="G25" s="906">
        <f>G22+G23-H24+G20</f>
        <v>111.199</v>
      </c>
      <c r="H25" s="430"/>
      <c r="I25" s="907">
        <f>AVERAGE(G25/24)</f>
        <v>4.6332916666666666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36958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168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55</v>
      </c>
      <c r="B11" s="1053"/>
      <c r="H11" s="955">
        <f>NSG_Supplies!U8/1000</f>
        <v>0</v>
      </c>
      <c r="K11" s="936" t="s">
        <v>693</v>
      </c>
      <c r="L11" s="961">
        <f>SUM(K4+K17+K19+H11+H9-L9)</f>
        <v>5.6569999999999823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324.56799999999998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103.657</v>
      </c>
      <c r="N19" s="1059"/>
    </row>
    <row r="20" spans="1:17" ht="17.25" customHeight="1">
      <c r="A20" s="955">
        <f>Billy_Sheet!G15</f>
        <v>219.327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146.643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111.199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1045</v>
      </c>
      <c r="L26" s="933" t="s">
        <v>692</v>
      </c>
      <c r="M26" s="955">
        <f>NSG_Deliveries!C6/1000</f>
        <v>168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859.73699999999997</v>
      </c>
      <c r="L28" s="936" t="s">
        <v>746</v>
      </c>
      <c r="M28" s="961">
        <f>SUM(J2+K17+K19+H11+H9-M26)</f>
        <v>5.6569999999999823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265.88900000000001</v>
      </c>
    </row>
    <row r="30" spans="1:17" ht="10.5" customHeight="1">
      <c r="A30" s="938"/>
      <c r="B30" s="955"/>
      <c r="C30" s="936"/>
      <c r="D30" s="955"/>
      <c r="F30" s="1114">
        <f>PGL_Requirements!A8</f>
        <v>36958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80.625999999999976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859.73699999999997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859.73699999999997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36957</v>
      </c>
      <c r="B5" s="11">
        <v>44</v>
      </c>
      <c r="C5" s="49">
        <v>27</v>
      </c>
      <c r="D5" s="49">
        <v>10</v>
      </c>
      <c r="E5" s="11" t="s">
        <v>787</v>
      </c>
      <c r="F5" s="11">
        <v>239</v>
      </c>
      <c r="G5" s="11">
        <v>5324</v>
      </c>
      <c r="H5" s="11">
        <v>32</v>
      </c>
      <c r="I5" s="1194" t="s">
        <v>795</v>
      </c>
      <c r="J5" s="1194" t="s">
        <v>796</v>
      </c>
      <c r="K5" s="11">
        <v>2</v>
      </c>
      <c r="L5" s="11">
        <v>1</v>
      </c>
      <c r="N5" s="15" t="str">
        <f>I5&amp;" "&amp;I5</f>
        <v xml:space="preserve">   PARTLY   SUNNY    PARTLY   SUNNY</v>
      </c>
      <c r="AE5" s="15">
        <v>1</v>
      </c>
      <c r="AH5" s="15" t="s">
        <v>34</v>
      </c>
    </row>
    <row r="6" spans="1:34" ht="16.5" customHeight="1">
      <c r="A6" s="88">
        <f>A5+1</f>
        <v>36958</v>
      </c>
      <c r="B6" s="11">
        <v>34</v>
      </c>
      <c r="C6" s="49">
        <v>22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1194" t="s">
        <v>797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 CLOUDY... WITH  A   30%   CHANCE  OF  LIGHT  SNOW  OR FLURRIES.    </v>
      </c>
      <c r="AE6" s="15">
        <v>1</v>
      </c>
      <c r="AH6" s="15" t="s">
        <v>35</v>
      </c>
    </row>
    <row r="7" spans="1:34" ht="16.5" customHeight="1">
      <c r="A7" s="88">
        <f>A6+1</f>
        <v>36959</v>
      </c>
      <c r="B7" s="11">
        <v>35</v>
      </c>
      <c r="C7" s="49">
        <v>22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1194" t="s">
        <v>794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   PARTLY  CLOUDY  </v>
      </c>
    </row>
    <row r="8" spans="1:34" ht="16.5" customHeight="1">
      <c r="A8" s="88">
        <f>A7+1</f>
        <v>36960</v>
      </c>
      <c r="B8" s="11">
        <v>43</v>
      </c>
      <c r="C8" s="49">
        <v>28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1194" t="s">
        <v>798</v>
      </c>
      <c r="J8" s="912" t="s">
        <v>11</v>
      </c>
      <c r="K8" s="11">
        <v>3</v>
      </c>
      <c r="L8" s="11">
        <v>0</v>
      </c>
      <c r="N8" s="15" t="str">
        <f>I8&amp;" "&amp;J8</f>
        <v xml:space="preserve">  A  CHANCE  OF   RAIN   OR  SNOW  </v>
      </c>
    </row>
    <row r="9" spans="1:34" ht="16.5" customHeight="1">
      <c r="A9" s="88">
        <f>A8+1</f>
        <v>36961</v>
      </c>
      <c r="B9" s="11">
        <v>45</v>
      </c>
      <c r="C9" s="49">
        <v>31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1194" t="s">
        <v>799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OR  SNOW  </v>
      </c>
    </row>
    <row r="10" spans="1:34" ht="16.5" customHeight="1">
      <c r="A10" s="88">
        <f>A9+1</f>
        <v>36962</v>
      </c>
      <c r="B10" s="11">
        <v>45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257.91199999999998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257.91199999999998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137.73500000000001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101.2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54.4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276.72300000000001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234.63399999999999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261.98899999999998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27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10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36957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103.63200000000001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51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104.61</v>
      </c>
      <c r="C27" s="148"/>
      <c r="D27" s="241" t="s">
        <v>355</v>
      </c>
      <c r="E27" s="221">
        <f>SUM(E18:E26)-SUM(F18:F26)</f>
        <v>51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36957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206274</v>
      </c>
      <c r="O6" s="204">
        <v>0</v>
      </c>
      <c r="P6" s="204">
        <v>33833426</v>
      </c>
      <c r="Q6" s="204">
        <v>15045098</v>
      </c>
      <c r="R6" s="204">
        <v>18788328</v>
      </c>
      <c r="S6" s="204">
        <v>0</v>
      </c>
    </row>
    <row r="7" spans="1:19">
      <c r="A7" s="4">
        <f>B1</f>
        <v>36957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304687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34138113</v>
      </c>
      <c r="Q7">
        <f>IF(O7&gt;0,Q6+O7,Q6)</f>
        <v>15045098</v>
      </c>
      <c r="R7">
        <f>IF(P7&gt;Q7,P7-Q7,0)</f>
        <v>19093015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36957</v>
      </c>
      <c r="B5" s="1">
        <f>(Weather_Input!B5+Weather_Input!C5)/2</f>
        <v>35.5</v>
      </c>
      <c r="C5" s="913">
        <v>955000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36958</v>
      </c>
      <c r="B6" s="1">
        <f>(Weather_Input!B6+Weather_Input!C6)/2</f>
        <v>28</v>
      </c>
      <c r="C6" s="913">
        <v>1045000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36959</v>
      </c>
      <c r="B7" s="932">
        <f>(Weather_Input!B7+Weather_Input!C7)/2</f>
        <v>28.5</v>
      </c>
      <c r="C7" s="913">
        <v>1040000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36960</v>
      </c>
      <c r="B8" s="932">
        <f>(Weather_Input!B8+Weather_Input!C8)/2</f>
        <v>35.5</v>
      </c>
      <c r="C8" s="913">
        <v>930000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36961</v>
      </c>
      <c r="B9" s="932">
        <f>(Weather_Input!B9+Weather_Input!C9)/2</f>
        <v>38</v>
      </c>
      <c r="C9" s="913">
        <v>870000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36962</v>
      </c>
      <c r="B10" s="932">
        <f>(Weather_Input!B10+Weather_Input!C10)/2</f>
        <v>38</v>
      </c>
      <c r="C10" s="913">
        <v>855000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36957</v>
      </c>
      <c r="B5" s="1">
        <f>(Weather_Input!B5+Weather_Input!C5)/2</f>
        <v>35.5</v>
      </c>
      <c r="C5" s="913">
        <v>152000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36958</v>
      </c>
      <c r="B6" s="1">
        <f>(Weather_Input!B6+Weather_Input!C6)/2</f>
        <v>28</v>
      </c>
      <c r="C6" s="913">
        <v>168000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36959</v>
      </c>
      <c r="B7" s="932">
        <f>(Weather_Input!B7+Weather_Input!C7)/2</f>
        <v>28.5</v>
      </c>
      <c r="C7" s="913">
        <v>166000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36960</v>
      </c>
      <c r="B8" s="932">
        <f>(Weather_Input!B8+Weather_Input!C8)/2</f>
        <v>35.5</v>
      </c>
      <c r="C8" s="913">
        <v>146000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36961</v>
      </c>
      <c r="B9" s="932">
        <f>(Weather_Input!B9+Weather_Input!C9)/2</f>
        <v>38</v>
      </c>
      <c r="C9" s="913">
        <v>138000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36962</v>
      </c>
      <c r="B10" s="932">
        <f>(Weather_Input!B10+Weather_Input!C10)/2</f>
        <v>38</v>
      </c>
      <c r="C10" s="913">
        <v>135000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K1" zoomScale="75" workbookViewId="0">
      <selection activeCell="O7" sqref="O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36957</v>
      </c>
      <c r="B7" s="922">
        <v>0</v>
      </c>
      <c r="C7" s="923">
        <v>0</v>
      </c>
      <c r="D7" s="626">
        <v>1000</v>
      </c>
      <c r="E7" s="626">
        <v>0</v>
      </c>
      <c r="F7" s="922">
        <v>0</v>
      </c>
      <c r="G7" s="922">
        <v>97500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54400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36957</v>
      </c>
    </row>
    <row r="8" spans="1:89" s="1" customFormat="1" ht="12.75">
      <c r="A8" s="834">
        <f>A7+1</f>
        <v>36958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20000</v>
      </c>
      <c r="H8" s="924">
        <v>0</v>
      </c>
      <c r="I8" s="625">
        <v>5000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36959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36959</v>
      </c>
      <c r="AN9" s="625"/>
    </row>
    <row r="10" spans="1:89" s="1" customFormat="1" ht="12.75">
      <c r="A10" s="834">
        <f>A9+1</f>
        <v>36960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36960</v>
      </c>
    </row>
    <row r="11" spans="1:89" s="1" customFormat="1" ht="12.75">
      <c r="A11" s="834">
        <f>A10+1</f>
        <v>36961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36961</v>
      </c>
    </row>
    <row r="12" spans="1:89" s="1" customFormat="1" ht="12.75">
      <c r="A12" s="834">
        <f>A11+1</f>
        <v>36962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296282</v>
      </c>
      <c r="W7" s="627">
        <v>0</v>
      </c>
      <c r="X7" s="625">
        <v>0</v>
      </c>
      <c r="Y7" s="925">
        <v>257912</v>
      </c>
      <c r="Z7" s="627">
        <v>70000</v>
      </c>
      <c r="AA7" s="1">
        <v>137735</v>
      </c>
      <c r="AB7" s="625">
        <v>261989</v>
      </c>
      <c r="AC7" s="625">
        <v>276723</v>
      </c>
      <c r="AD7" s="625">
        <v>101200</v>
      </c>
      <c r="AE7" s="925">
        <v>0</v>
      </c>
      <c r="AF7" s="51">
        <f>Weather_Input!A5</f>
        <v>36957</v>
      </c>
      <c r="AI7" s="625"/>
      <c r="AJ7" s="625"/>
      <c r="AK7" s="625"/>
    </row>
    <row r="8" spans="1:37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296282</v>
      </c>
      <c r="W8" s="627">
        <v>0</v>
      </c>
      <c r="X8" s="625">
        <v>0</v>
      </c>
      <c r="Y8" s="925">
        <v>324568</v>
      </c>
      <c r="Z8" s="627">
        <v>55000</v>
      </c>
      <c r="AA8" s="1">
        <v>146643</v>
      </c>
      <c r="AB8" s="625">
        <v>219327</v>
      </c>
      <c r="AC8" s="625">
        <v>265889</v>
      </c>
      <c r="AD8" s="625">
        <v>111199</v>
      </c>
      <c r="AE8" s="925">
        <v>0</v>
      </c>
      <c r="AF8" s="834">
        <f>AF7+1</f>
        <v>36958</v>
      </c>
      <c r="AI8" s="625"/>
      <c r="AJ8" s="625"/>
      <c r="AK8" s="625"/>
    </row>
    <row r="9" spans="1:37" s="625" customFormat="1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296282</v>
      </c>
      <c r="W9" s="627">
        <v>0</v>
      </c>
      <c r="X9" s="625">
        <v>0</v>
      </c>
      <c r="Y9" s="925">
        <v>284218</v>
      </c>
      <c r="Z9" s="627">
        <v>55000</v>
      </c>
      <c r="AA9" s="1">
        <v>146643</v>
      </c>
      <c r="AB9" s="625">
        <v>219327</v>
      </c>
      <c r="AC9" s="625">
        <v>265889</v>
      </c>
      <c r="AD9" s="625">
        <v>111199</v>
      </c>
      <c r="AE9" s="925">
        <v>0</v>
      </c>
      <c r="AF9" s="834">
        <f>AF8+1</f>
        <v>36959</v>
      </c>
    </row>
    <row r="10" spans="1:37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296282</v>
      </c>
      <c r="W10" s="627">
        <v>0</v>
      </c>
      <c r="X10" s="625">
        <v>0</v>
      </c>
      <c r="Y10" s="925">
        <v>284218</v>
      </c>
      <c r="Z10" s="627">
        <v>55000</v>
      </c>
      <c r="AA10" s="1">
        <v>146643</v>
      </c>
      <c r="AB10" s="625">
        <v>219327</v>
      </c>
      <c r="AC10" s="625">
        <v>265889</v>
      </c>
      <c r="AD10" s="625">
        <v>111199</v>
      </c>
      <c r="AE10" s="925">
        <v>0</v>
      </c>
      <c r="AF10" s="834">
        <f>AF9+1</f>
        <v>36960</v>
      </c>
      <c r="AI10" s="625"/>
      <c r="AJ10" s="625"/>
      <c r="AK10" s="625"/>
    </row>
    <row r="11" spans="1:37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296282</v>
      </c>
      <c r="W11" s="627">
        <v>0</v>
      </c>
      <c r="X11" s="625">
        <v>0</v>
      </c>
      <c r="Y11" s="925">
        <v>284218</v>
      </c>
      <c r="Z11" s="627">
        <v>55000</v>
      </c>
      <c r="AA11" s="1">
        <v>146643</v>
      </c>
      <c r="AB11" s="625">
        <v>219327</v>
      </c>
      <c r="AC11" s="625">
        <v>265889</v>
      </c>
      <c r="AD11" s="625">
        <v>111199</v>
      </c>
      <c r="AE11" s="925">
        <v>0</v>
      </c>
      <c r="AF11" s="834">
        <f>AF10+1</f>
        <v>36961</v>
      </c>
    </row>
    <row r="12" spans="1:37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296282</v>
      </c>
      <c r="W12" s="627">
        <v>0</v>
      </c>
      <c r="X12" s="625">
        <v>0</v>
      </c>
      <c r="Y12" s="925">
        <v>284218</v>
      </c>
      <c r="Z12" s="627">
        <v>55000</v>
      </c>
      <c r="AA12" s="1">
        <v>146643</v>
      </c>
      <c r="AB12" s="625">
        <v>219327</v>
      </c>
      <c r="AC12" s="625">
        <v>265889</v>
      </c>
      <c r="AD12" s="625">
        <v>111199</v>
      </c>
      <c r="AE12" s="925">
        <v>0</v>
      </c>
      <c r="AF12" s="834">
        <f>AF11+1</f>
        <v>36962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17630</v>
      </c>
      <c r="I7" s="923">
        <v>7197</v>
      </c>
      <c r="J7" s="923">
        <v>5000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36957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36958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36959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36959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36960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36961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36962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L7" sqref="L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6862.75</v>
      </c>
      <c r="H7" s="629">
        <v>0</v>
      </c>
      <c r="I7" s="628">
        <v>0</v>
      </c>
      <c r="J7" s="628">
        <v>0</v>
      </c>
      <c r="K7" s="628">
        <v>0</v>
      </c>
      <c r="L7" s="628">
        <v>51000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103632</v>
      </c>
      <c r="S7" s="628">
        <v>33623</v>
      </c>
      <c r="T7" s="628">
        <v>0</v>
      </c>
      <c r="U7" s="628">
        <v>0</v>
      </c>
      <c r="V7" s="834">
        <f>Weather_Input!A5</f>
        <v>36957</v>
      </c>
      <c r="W7" s="625"/>
      <c r="X7" s="625"/>
    </row>
    <row r="8" spans="1:24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6864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103657</v>
      </c>
      <c r="S8" s="628">
        <v>33623</v>
      </c>
      <c r="T8" s="628">
        <v>0</v>
      </c>
      <c r="U8" s="628">
        <v>0</v>
      </c>
      <c r="V8" s="834">
        <f>V7+1</f>
        <v>36958</v>
      </c>
      <c r="W8" s="625"/>
      <c r="X8" s="625"/>
    </row>
    <row r="9" spans="1:24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6864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103657</v>
      </c>
      <c r="S9" s="628">
        <v>33623</v>
      </c>
      <c r="T9" s="628">
        <v>0</v>
      </c>
      <c r="U9" s="628">
        <v>0</v>
      </c>
      <c r="V9" s="834">
        <f>V8+1</f>
        <v>36959</v>
      </c>
      <c r="W9" s="625"/>
      <c r="X9" s="625"/>
    </row>
    <row r="10" spans="1:24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6864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103657</v>
      </c>
      <c r="S10" s="628">
        <v>33623</v>
      </c>
      <c r="T10" s="628">
        <v>0</v>
      </c>
      <c r="U10" s="628">
        <v>0</v>
      </c>
      <c r="V10" s="834">
        <f>V9+1</f>
        <v>36960</v>
      </c>
      <c r="W10" s="625"/>
      <c r="X10" s="625"/>
    </row>
    <row r="11" spans="1:24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6864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103657</v>
      </c>
      <c r="S11" s="628">
        <v>33623</v>
      </c>
      <c r="T11" s="628">
        <v>0</v>
      </c>
      <c r="U11" s="628">
        <v>0</v>
      </c>
      <c r="V11" s="834">
        <f>V10+1</f>
        <v>36961</v>
      </c>
      <c r="W11" s="625"/>
      <c r="X11" s="625"/>
    </row>
    <row r="12" spans="1:24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6864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103657</v>
      </c>
      <c r="S12" s="628">
        <v>33623</v>
      </c>
      <c r="T12" s="628">
        <v>0</v>
      </c>
      <c r="U12" s="628">
        <v>0</v>
      </c>
      <c r="V12" s="834">
        <f>V11+1</f>
        <v>36962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WED</v>
      </c>
      <c r="I1" s="839">
        <f>D4</f>
        <v>36957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</row>
    <row r="4" spans="1:256" ht="15.75" thickBot="1">
      <c r="A4" s="846"/>
      <c r="B4" s="847"/>
      <c r="C4" s="847"/>
      <c r="D4" s="466">
        <f>Weather_Input!A5</f>
        <v>36957</v>
      </c>
      <c r="E4" s="466">
        <f>Weather_Input!A6</f>
        <v>36958</v>
      </c>
      <c r="F4" s="466">
        <f>Weather_Input!A7</f>
        <v>36959</v>
      </c>
      <c r="G4" s="466">
        <f>Weather_Input!A8</f>
        <v>36960</v>
      </c>
      <c r="H4" s="466">
        <f>Weather_Input!A9</f>
        <v>36961</v>
      </c>
      <c r="I4" s="467">
        <f>Weather_Input!A10</f>
        <v>36962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44/27/36</v>
      </c>
      <c r="E5" s="468" t="str">
        <f>TEXT(Weather_Input!B6,"0")&amp;"/"&amp;TEXT(Weather_Input!C6,"0") &amp; "/" &amp; TEXT((Weather_Input!B6+Weather_Input!C6)/2,"0")</f>
        <v>34/22/28</v>
      </c>
      <c r="F5" s="468" t="str">
        <f>TEXT(Weather_Input!B7,"0")&amp;"/"&amp;TEXT(Weather_Input!C7,"0") &amp; "/" &amp; TEXT((Weather_Input!B7+Weather_Input!C7)/2,"0")</f>
        <v>35/22/29</v>
      </c>
      <c r="G5" s="468" t="str">
        <f>TEXT(Weather_Input!B8,"0")&amp;"/"&amp;TEXT(Weather_Input!C8,"0") &amp; "/" &amp; TEXT((Weather_Input!B8+Weather_Input!C8)/2,"0")</f>
        <v>43/28/36</v>
      </c>
      <c r="H5" s="468" t="str">
        <f>TEXT(Weather_Input!B9,"0")&amp;"/"&amp;TEXT(Weather_Input!C9,"0") &amp; "/" &amp; TEXT((Weather_Input!B9+Weather_Input!C9)/2,"0")</f>
        <v>45/31/38</v>
      </c>
      <c r="I5" s="469" t="str">
        <f>TEXT(Weather_Input!B10,"0")&amp;"/"&amp;TEXT(Weather_Input!C10,"0") &amp; "/" &amp; TEXT((Weather_Input!B10+Weather_Input!C10)/2,"0")</f>
        <v>45/31/38</v>
      </c>
    </row>
    <row r="6" spans="1:256" ht="15.75">
      <c r="A6" s="853" t="s">
        <v>139</v>
      </c>
      <c r="B6" s="841"/>
      <c r="C6" s="841"/>
      <c r="D6" s="468">
        <f>PGL_Deliveries!C5/1000</f>
        <v>955</v>
      </c>
      <c r="E6" s="468">
        <f>PGL_Deliveries!C6/1000</f>
        <v>1045</v>
      </c>
      <c r="F6" s="468">
        <f>PGL_Deliveries!C7/1000</f>
        <v>1040</v>
      </c>
      <c r="G6" s="468">
        <f>PGL_Deliveries!C8/1000</f>
        <v>930</v>
      </c>
      <c r="H6" s="468">
        <f>PGL_Deliveries!C9/1000</f>
        <v>870</v>
      </c>
      <c r="I6" s="469">
        <f>PGL_Deliveries!C10/1000</f>
        <v>855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5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54.4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97.5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1108.56</v>
      </c>
      <c r="E30" s="472">
        <f t="shared" si="1"/>
        <v>1070.6600000000001</v>
      </c>
      <c r="F30" s="472">
        <f t="shared" si="1"/>
        <v>1294.4100000000001</v>
      </c>
      <c r="G30" s="472">
        <f t="shared" si="1"/>
        <v>1184.4100000000001</v>
      </c>
      <c r="H30" s="472">
        <f t="shared" si="1"/>
        <v>1124.4100000000001</v>
      </c>
      <c r="I30" s="1177">
        <f t="shared" si="1"/>
        <v>1109.4100000000001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257.91199999999998</v>
      </c>
      <c r="E47" s="468">
        <f>PGL_Supplies!Y8/1000</f>
        <v>324.56799999999998</v>
      </c>
      <c r="F47" s="468">
        <f>PGL_Supplies!Y9/1000</f>
        <v>284.21800000000002</v>
      </c>
      <c r="G47" s="468">
        <f>PGL_Supplies!Y10/1000</f>
        <v>284.21800000000002</v>
      </c>
      <c r="H47" s="468">
        <f>PGL_Supplies!Y11/1000</f>
        <v>284.21800000000002</v>
      </c>
      <c r="I47" s="469">
        <f>PGL_Supplies!Y12/1000</f>
        <v>284.21800000000002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 ht="15.75">
      <c r="A49" s="853"/>
      <c r="B49" s="841" t="s">
        <v>147</v>
      </c>
      <c r="C49" s="854"/>
      <c r="D49" s="468">
        <f>PGL_Supplies!AA7/1000</f>
        <v>137.73500000000001</v>
      </c>
      <c r="E49" s="468">
        <f>PGL_Supplies!AA8/1000</f>
        <v>146.643</v>
      </c>
      <c r="F49" s="468">
        <f>PGL_Supplies!AA9/1000</f>
        <v>146.643</v>
      </c>
      <c r="G49" s="468">
        <f>PGL_Supplies!AA10/1000</f>
        <v>146.643</v>
      </c>
      <c r="H49" s="468">
        <f>PGL_Supplies!AA11/1000</f>
        <v>146.643</v>
      </c>
      <c r="I49" s="469">
        <f>PGL_Supplies!AA12/1000</f>
        <v>146.643</v>
      </c>
    </row>
    <row r="50" spans="1:10" ht="15.75">
      <c r="A50" s="853"/>
      <c r="B50" s="841" t="s">
        <v>421</v>
      </c>
      <c r="C50" s="854"/>
      <c r="D50" s="468">
        <f>PGL_Supplies!AB7/1000</f>
        <v>261.98899999999998</v>
      </c>
      <c r="E50" s="468">
        <f>PGL_Supplies!AB8/1000</f>
        <v>219.327</v>
      </c>
      <c r="F50" s="468">
        <f>PGL_Supplies!AB9/1000</f>
        <v>219.327</v>
      </c>
      <c r="G50" s="468">
        <f>PGL_Supplies!AB10/1000</f>
        <v>219.327</v>
      </c>
      <c r="H50" s="468">
        <f>PGL_Supplies!AB11/1000</f>
        <v>219.327</v>
      </c>
      <c r="I50" s="469">
        <f>PGL_Supplies!AB12/1000</f>
        <v>219.327</v>
      </c>
    </row>
    <row r="51" spans="1:10" ht="15.75">
      <c r="A51" s="853"/>
      <c r="B51" s="841" t="s">
        <v>141</v>
      </c>
      <c r="C51" s="841"/>
      <c r="D51" s="468">
        <f>PGL_Supplies!AC7/1000</f>
        <v>276.72300000000001</v>
      </c>
      <c r="E51" s="468">
        <f>PGL_Supplies!AC8/1000</f>
        <v>265.88900000000001</v>
      </c>
      <c r="F51" s="468">
        <f>PGL_Supplies!AC9/1000</f>
        <v>265.88900000000001</v>
      </c>
      <c r="G51" s="468">
        <f>PGL_Supplies!AC10/1000</f>
        <v>265.88900000000001</v>
      </c>
      <c r="H51" s="468">
        <f>PGL_Supplies!AC11/1000</f>
        <v>265.88900000000001</v>
      </c>
      <c r="I51" s="469">
        <f>PGL_Supplies!AC12/1000</f>
        <v>265.88900000000001</v>
      </c>
    </row>
    <row r="52" spans="1:10" ht="15.75">
      <c r="A52" s="853"/>
      <c r="B52" s="841" t="s">
        <v>142</v>
      </c>
      <c r="C52" s="841"/>
      <c r="D52" s="468">
        <f>PGL_Supplies!AD7/1000</f>
        <v>101.2</v>
      </c>
      <c r="E52" s="468">
        <f>PGL_Supplies!AD8/1000</f>
        <v>111.199</v>
      </c>
      <c r="F52" s="468">
        <f>PGL_Supplies!AD9/1000</f>
        <v>111.199</v>
      </c>
      <c r="G52" s="468">
        <f>PGL_Supplies!AD10/1000</f>
        <v>111.199</v>
      </c>
      <c r="H52" s="468">
        <f>PGL_Supplies!AD11/1000</f>
        <v>111.199</v>
      </c>
      <c r="I52" s="469">
        <f>PGL_Supplies!AD12/1000</f>
        <v>111.199</v>
      </c>
    </row>
    <row r="53" spans="1:10" ht="15.75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1108.559</v>
      </c>
      <c r="E61" s="478">
        <f t="shared" si="2"/>
        <v>1125.626</v>
      </c>
      <c r="F61" s="478">
        <f t="shared" si="2"/>
        <v>1085.2760000000001</v>
      </c>
      <c r="G61" s="478">
        <f t="shared" si="2"/>
        <v>1085.2760000000001</v>
      </c>
      <c r="H61" s="478">
        <f t="shared" si="2"/>
        <v>1085.2760000000001</v>
      </c>
      <c r="I61" s="1179">
        <f t="shared" si="2"/>
        <v>1085.2760000000001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54.965999999999894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9.9999999997635314E-4</v>
      </c>
      <c r="E63" s="480">
        <f t="shared" si="4"/>
        <v>0</v>
      </c>
      <c r="F63" s="480">
        <f t="shared" si="4"/>
        <v>209.13400000000001</v>
      </c>
      <c r="G63" s="480">
        <f t="shared" si="4"/>
        <v>99.134000000000015</v>
      </c>
      <c r="H63" s="480">
        <f t="shared" si="4"/>
        <v>39.134000000000015</v>
      </c>
      <c r="I63" s="1181">
        <f t="shared" si="4"/>
        <v>24.134000000000015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296.28199999999998</v>
      </c>
      <c r="E64" s="1170">
        <f>PGL_Supplies!V8/1000</f>
        <v>296.28199999999998</v>
      </c>
      <c r="F64" s="1170">
        <f>PGL_Supplies!V9/1000</f>
        <v>296.28199999999998</v>
      </c>
      <c r="G64" s="1170">
        <f>PGL_Supplies!V10/1000</f>
        <v>296.28199999999998</v>
      </c>
      <c r="H64" s="1170">
        <f>PGL_Supplies!V11/1000</f>
        <v>296.28199999999998</v>
      </c>
      <c r="I64" s="1171">
        <f>PGL_Supplies!V12/1000</f>
        <v>296.28199999999998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2001-03-08T10:52:11Z</cp:lastPrinted>
  <dcterms:created xsi:type="dcterms:W3CDTF">1997-07-16T16:14:22Z</dcterms:created>
  <dcterms:modified xsi:type="dcterms:W3CDTF">2023-09-10T17:14:19Z</dcterms:modified>
</cp:coreProperties>
</file>