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B3510B-CDB3-4094-BC1C-3F7654E8BF0F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<sst xmlns="http://schemas.openxmlformats.org/spreadsheetml/2006/main" count="2145" uniqueCount="800">
  <si>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</si>
  <si>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</si>
  <si>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</si>
  <si>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</si>
  <si>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</si>
  <si>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</si>
  <si>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</si>
  <si>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</si>
  <si>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</si>
  <si>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</si>
  <si>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</si>
  <si>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</si>
  <si>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</si>
  <si>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</si>
  <si>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</si>
  <si>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</si>
  <si>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</si>
  <si>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</si>
  <si>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</si>
  <si>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</si>
  <si>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</si>
  <si>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</si>
  <si>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</si>
  <si>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</si>
  <si>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</si>
  <si>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</si>
  <si>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</si>
  <si>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</si>
  <si>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</si>
  <si>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</si>
  <si>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</si>
  <si>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</si>
  <si>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</si>
  <si>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</si>
  <si>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</si>
  <si>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</si>
  <si>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</si>
  <si>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</si>
  <si>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</si>
  <si>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</si>
  <si>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</si>
  <si>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</si>
  <si>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</si>
  <si>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</si>
  <si>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</si>
  <si>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</si>
  <si>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</si>
  <si>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</si>
  <si>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</si>
  <si>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</si>
  <si>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</si>
  <si>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</si>
  <si>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</si>
  <si>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</si>
  <si>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</si>
  <si>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</si>
  <si>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</si>
  <si>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</si>
  <si>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</si>
  <si>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</si>
  <si>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</si>
  <si>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</si>
  <si>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</si>
  <si>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</si>
  <si>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</si>
  <si>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</si>
  <si>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</si>
  <si>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</si>
  <si>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</si>
  <si>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</si>
  <si>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</si>
  <si>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</si>
  <si>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</si>
  <si>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</si>
  <si>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</si>
  <si>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</si>
  <si>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</si>
  <si>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</si>
  <si>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</si>
  <si>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</si>
  <si>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</si>
  <si>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</si>
  <si>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</si>
  <si>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</si>
  <si>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</si>
  <si>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</si>
  <si>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</si>
  <si>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</si>
  <si>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</si>
  <si>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</si>
  <si>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</si>
  <si>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</si>
  <si>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</si>
  <si>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</si>
  <si>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</si>
  <si>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</si>
  <si>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</si>
  <si>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</si>
  <si>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</si>
  <si>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</si>
  <si>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</si>
  <si>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</si>
  <si>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</si>
  <si>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</si>
  <si>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</si>
  <si>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</si>
  <si>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</si>
  <si>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</si>
  <si>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</si>
  <si>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</si>
  <si>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</si>
  <si>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</si>
  <si>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</si>
  <si>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</si>
  <si>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</si>
  <si>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</si>
  <si>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</si>
  <si>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</si>
  <si>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</si>
  <si>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</si>
  <si>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</si>
  <si>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</si>
  <si>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</si>
  <si>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</si>
  <si>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</si>
  <si>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</si>
  <si>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</si>
  <si>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</si>
  <si>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</si>
  <si>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</si>
  <si>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</si>
  <si>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</si>
  <si>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</si>
  <si>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</si>
  <si>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</si>
  <si>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</si>
  <si>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</si>
  <si>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</si>
  <si>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</si>
  <si>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</si>
  <si>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</si>
  <si>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</si>
  <si>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</si>
  <si>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</si>
  <si>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</si>
  <si>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</si>
  <si>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</si>
  <si>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</si>
  <si>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</si>
  <si>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</si>
  <si>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</si>
  <si>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</si>
  <si>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</si>
  <si>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</si>
  <si>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</si>
  <si>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</si>
  <si>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</si>
  <si>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</si>
  <si>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</si>
  <si>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</si>
  <si>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</si>
  <si>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</si>
  <si>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</si>
  <si>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</si>
  <si>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</si>
  <si>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</si>
  <si>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</si>
  <si>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</si>
  <si>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</si>
  <si>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</si>
  <si>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</si>
  <si>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</si>
  <si>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</si>
  <si>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</si>
  <si>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</si>
  <si>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</si>
  <si>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</si>
  <si>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</si>
  <si>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</si>
  <si>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</si>
  <si>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</si>
  <si>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</si>
  <si>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</si>
  <si>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</si>
  <si>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</si>
  <si>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</si>
  <si>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</si>
  <si>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</si>
  <si>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</si>
  <si>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</si>
  <si>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</si>
  <si>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</si>
  <si>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</si>
  <si>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</si>
  <si>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</si>
  <si>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</si>
  <si>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</si>
  <si>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</si>
  <si>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</si>
  <si>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</si>
  <si>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</si>
  <si>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</si>
  <si>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</si>
  <si>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</si>
  <si>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</si>
  <si>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</si>
  <si>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</si>
  <si>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</si>
  <si>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</si>
  <si>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</si>
  <si>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</si>
  <si>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</si>
  <si>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</si>
  <si>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</si>
  <si>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</si>
  <si>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</si>
  <si>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</si>
  <si>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</si>
  <si>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</si>
  <si>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</si>
  <si>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</si>
  <si>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</si>
  <si>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</si>
  <si>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</si>
  <si>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</si>
  <si>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</si>
  <si>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</si>
  <si>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</si>
  <si>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</si>
  <si>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</si>
  <si>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</si>
  <si>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</si>
  <si>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</si>
  <si>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</si>
  <si>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</si>
  <si>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</si>
  <si>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</si>
  <si>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</si>
  <si>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</si>
  <si>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</si>
  <si>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</si>
  <si>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</si>
  <si>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</si>
  <si>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</si>
  <si>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</si>
  <si>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</si>
  <si>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</si>
  <si>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</si>
  <si>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</si>
  <si>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</si>
  <si>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</si>
  <si>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</si>
  <si>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</si>
  <si>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</si>
  <si>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</si>
  <si>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</si>
  <si>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</si>
  <si>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</si>
  <si>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</si>
  <si>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</si>
  <si>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</si>
  <si>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</si>
  <si>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</si>
  <si>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</si>
  <si>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</si>
  <si>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</si>
  <si>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</si>
  <si>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</si>
  <si>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</si>
  <si>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</si>
  <si>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</si>
  <si>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</si>
  <si>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</si>
  <si>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</si>
  <si>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</si>
  <si>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</si>
  <si>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</si>
  <si>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</si>
  <si>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</si>
  <si>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</si>
  <si>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</si>
  <si>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</si>
  <si>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</si>
  <si>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</si>
  <si>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</si>
  <si>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</si>
  <si>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</si>
  <si>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</si>
  <si>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</si>
  <si>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</si>
  <si>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</si>
  <si>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</si>
  <si>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</si>
  <si>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</si>
  <si>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</si>
  <si>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</si>
  <si>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</si>
  <si>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</si>
  <si>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</si>
  <si>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</si>
  <si>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</si>
  <si>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</si>
  <si>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</si>
  <si>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</si>
  <si>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</si>
  <si>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</si>
  <si>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</si>
  <si>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</si>
  <si>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</si>
  <si>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</si>
  <si>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</si>
  <si>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</si>
  <si>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</si>
  <si>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</si>
  <si>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</si>
  <si>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</si>
  <si>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</si>
  <si>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</si>
  <si>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</si>
  <si>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</si>
  <si>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</si>
  <si>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</si>
  <si>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</si>
  <si>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</si>
  <si>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</si>
  <si>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</si>
  <si>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</si>
  <si>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</si>
  <si>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</si>
  <si>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</si>
  <si>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</si>
  <si>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</si>
  <si>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</si>
  <si>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</si>
  <si>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</si>
  <si>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</si>
  <si>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</si>
  <si>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</si>
  <si>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</si>
  <si>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</si>
  <si>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</si>
  <si>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</si>
  <si>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</si>
  <si>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</si>
  <si>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</si>
  <si>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</si>
  <si>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</si>
  <si>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</si>
  <si>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</si>
  <si>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</si>
  <si>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</si>
  <si>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</si>
  <si>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</si>
  <si>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</si>
  <si>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</si>
  <si>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</si>
  <si>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</si>
  <si>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</si>
  <si>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</si>
  <si>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</si>
  <si>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</si>
  <si>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</si>
  <si>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</si>
  <si>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</si>
  <si>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</si>
  <si>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</si>
  <si>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</si>
  <si>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</si>
  <si>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</si>
  <si>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</si>
  <si>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</si>
  <si>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</si>
  <si>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</si>
  <si>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</si>
  <si>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</si>
  <si>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</si>
  <si>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</si>
  <si>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</si>
  <si>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</si>
  <si>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</si>
  <si>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</si>
  <si>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</si>
  <si>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</si>
  <si>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</si>
  <si>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</si>
  <si>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</si>
  <si>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</si>
  <si>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</si>
  <si>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</si>
  <si>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</si>
  <si>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</si>
  <si>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</si>
  <si>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</si>
  <si>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</si>
  <si>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</si>
  <si>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</si>
  <si>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</si>
  <si>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</si>
  <si>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</si>
  <si>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</si>
  <si>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</si>
  <si>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</si>
  <si>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</si>
  <si>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</si>
  <si>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</si>
  <si>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</si>
  <si>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</si>
  <si>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</si>
  <si>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</si>
  <si>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</si>
  <si>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</si>
  <si>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</si>
  <si>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</si>
  <si>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</si>
  <si>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</si>
  <si>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</si>
  <si>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</si>
  <si>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</si>
  <si>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</si>
  <si>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</si>
  <si>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</si>
  <si>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</si>
  <si>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</si>
  <si>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</si>
  <si>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</si>
  <si>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</si>
  <si>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</si>
  <si>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</si>
  <si>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</si>
  <si>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</si>
  <si>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</si>
  <si>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</si>
  <si>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</si>
  <si>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</si>
  <si>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</si>
  <si>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</si>
  <si>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</si>
  <si>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</si>
  <si>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</si>
  <si>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</si>
  <si>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</si>
  <si>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</si>
  <si>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</si>
  <si>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</si>
  <si>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</si>
  <si>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</si>
  <si>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</si>
  <si>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</si>
  <si>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</si>
  <si>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</si>
  <si>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</si>
  <si>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</si>
  <si>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</si>
  <si>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</si>
  <si>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</si>
  <si>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</si>
  <si>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</si>
  <si>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</si>
  <si>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</si>
  <si>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</si>
  <si>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</si>
  <si>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</si>
  <si>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</si>
  <si>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</si>
  <si>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</si>
  <si>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</si>
  <si>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</si>
  <si>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</si>
  <si>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</si>
  <si>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</si>
  <si>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</si>
  <si>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</si>
  <si>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</si>
  <si>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</si>
  <si>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</si>
  <si>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</si>
  <si>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</si>
  <si>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</si>
  <si>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</si>
  <si>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</si>
  <si>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</si>
  <si>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</si>
  <si>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</si>
  <si>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</si>
  <si>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</si>
  <si>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</si>
  <si>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</si>
  <si>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</si>
  <si>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</si>
  <si>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</si>
  <si>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</si>
  <si>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</si>
  <si>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</si>
  <si>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</si>
  <si>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</si>
  <si>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</si>
  <si>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</si>
  <si>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</si>
  <si>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</si>
  <si>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</si>
  <si>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</si>
  <si>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</si>
  <si>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</si>
  <si>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</si>
  <si>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</si>
  <si>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</si>
  <si>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</si>
  <si>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</si>
  <si>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</si>
  <si>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</si>
  <si>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</si>
  <si>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</si>
  <si>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</si>
  <si>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</si>
  <si>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</si>
  <si>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</si>
  <si>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</si>
  <si>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</si>
  <si>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</si>
  <si>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</si>
  <si>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</si>
  <si>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</si>
  <si>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</si>
  <si>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</si>
  <si>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</si>
  <si>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</si>
  <si>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</si>
  <si>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</si>
  <si>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</si>
  <si>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</si>
  <si>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</si>
  <si>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</si>
  <si>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</si>
  <si>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</si>
  <si>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</si>
  <si>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</si>
  <si>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</si>
  <si>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</si>
  <si>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</si>
  <si>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</si>
  <si>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</si>
  <si>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</si>
  <si>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</si>
  <si>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</si>
  <si>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</si>
  <si>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</si>
  <si>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</si>
  <si>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</si>
  <si>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</si>
  <si>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</si>
  <si>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</si>
  <si>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</si>
  <si>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</si>
  <si>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</si>
  <si>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</si>
  <si>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</si>
  <si>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</si>
  <si>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</si>
  <si>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</si>
  <si>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</si>
  <si>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</si>
  <si>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</si>
  <si>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</si>
  <si>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</si>
  <si>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</si>
  <si>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</si>
  <si>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</si>
  <si>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</si>
  <si>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</si>
  <si>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</si>
  <si>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</si>
  <si>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</si>
  <si>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</si>
  <si>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</si>
  <si>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</si>
  <si>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</si>
  <si>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</si>
  <si>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</si>
  <si>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</si>
  <si>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</si>
  <si>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</si>
  <si>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</si>
  <si>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</si>
  <si>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</si>
  <si>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</si>
  <si>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</si>
  <si>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</si>
  <si>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</si>
  <si>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</si>
  <si>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</si>
  <si>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</si>
  <si>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</si>
  <si>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</si>
  <si>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</si>
  <si>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</si>
  <si>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</si>
  <si>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</si>
  <si>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</si>
  <si>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</si>
  <si>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</si>
  <si>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</si>
  <si>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</si>
  <si>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</si>
  <si>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</si>
  <si>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</si>
  <si>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</si>
  <si>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</si>
  <si>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</si>
  <si>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</si>
  <si>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</si>
  <si>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</si>
  <si>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</si>
  <si>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</si>
  <si>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</si>
  <si>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</si>
  <si>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</si>
  <si>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</si>
  <si>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</si>
  <si>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</si>
  <si>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</si>
  <si>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</si>
  <si>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</si>
  <si>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</si>
  <si>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</si>
  <si>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</si>
  <si>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</si>
  <si>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</si>
  <si>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</si>
  <si>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</si>
  <si>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</si>
  <si>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</si>
  <si>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</si>
  <si>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</si>
  <si>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</si>
  <si>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</si>
  <si>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</si>
  <si>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</si>
  <si>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</si>
  <si>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</si>
  <si>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</si>
  <si>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</si>
  <si>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</si>
  <si>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</si>
  <si>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</si>
  <si>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</si>
  <si>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</si>
  <si>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</si>
  <si>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</si>
  <si>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</si>
  <si>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</si>
  <si>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</si>
  <si>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</si>
  <si>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</si>
  <si>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</si>
  <si>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</si>
  <si>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</si>
  <si>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</si>
  <si>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</si>
  <si>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</si>
  <si>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</si>
  <si>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</si>
  <si>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</si>
  <si>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</si>
  <si>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</si>
  <si>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</si>
  <si>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</si>
  <si>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</si>
  <si>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</si>
  <si>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</si>
  <si>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</si>
  <si>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</si>
  <si>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</si>
  <si>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</si>
  <si>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</si>
  <si>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</si>
  <si>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</si>
  <si>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</si>
  <si>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</si>
  <si>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</si>
  <si>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</si>
  <si>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</si>
  <si>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</si>
  <si>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</si>
  <si>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</si>
  <si>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</si>
  <si>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</si>
  <si>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</si>
  <si>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</si>
  <si>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</si>
  <si>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</si>
  <si>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</si>
  <si>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</si>
  <si>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</si>
  <si>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</si>
  <si>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</si>
  <si>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</si>
  <si>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</si>
  <si>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</si>
  <si>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</si>
  <si>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</si>
  <si>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</si>
  <si>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</si>
  <si>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</si>
  <si>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</si>
  <si>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</si>
  <si>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</si>
  <si>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</si>
  <si>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</si>
  <si>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</si>
  <si>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</si>
  <si>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</si>
  <si>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</si>
  <si>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</si>
  <si>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</si>
  <si>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</si>
  <si>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</si>
  <si>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</si>
  <si>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</si>
  <si>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</si>
  <si>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</si>
  <si>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</si>
  <si>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</si>
  <si>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</si>
  <si>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</si>
  <si>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</si>
  <si>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</si>
  <si>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</si>
  <si>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</si>
  <si>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</si>
  <si>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</si>
  <si>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</si>
  <si>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</si>
  <si>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</si>
  <si>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</si>
  <si>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</si>
  <si>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</si>
  <si>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</si>
  <si>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</si>
  <si>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</si>
  <si>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</si>
  <si>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</si>
  <si>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</si>
  <si>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</si>
  <si>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</si>
  <si>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</si>
  <si>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</si>
  <si>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</si>
  <si>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</si>
  <si>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</si>
  <si>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</si>
  <si>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</si>
  <si>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</si>
  <si>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</si>
  <si>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</si>
  <si>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</si>
  <si>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</si>
  <si>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</si>
  <si>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</si>
  <si>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</si>
  <si>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</si>
  <si>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</si>
  <si>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</si>
  <si>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</si>
  <si>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</si>
  <si>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</si>
  <si>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</si>
  <si>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</si>
  <si>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</si>
  <si>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</si>
  <si>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</si>
  <si>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</si>
  <si>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</si>
  <si>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</si>
  <si>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</si>
  <si>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</si>
  <si>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</si>
  <si>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</si>
  <si>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</si>
  <si>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</si>
  <si>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</si>
  <si>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</si>
  <si>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</si>
  <si>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</si>
  <si>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</si>
  <si>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</si>
  <si>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</si>
  <si>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</si>
  <si>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</si>
  <si>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</si>
  <si>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</si>
  <si>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</si>
  <si>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</si>
  <si>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</si>
  <si>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MOSTLY CLOUDY AND WINDY. FLURRIES AT TIMES. HIGH IN THE 30S. WINDS 20 TO </t>
  </si>
  <si>
    <t>30 MPH. CLOUDY AND WINDY AT NIGHT. LOW NEAR 20. NW WINDS 15 TO 25 MPH.</t>
  </si>
  <si>
    <t xml:space="preserve">   TONIGHT  FAIR.  LOW AROUND  20.  WIND  NE  5  TO 10 MPH.</t>
  </si>
  <si>
    <t xml:space="preserve">   PARTLY  CLOUDY</t>
  </si>
  <si>
    <t xml:space="preserve">  MOSTLY CLOUDY.  A  CHANCE  OF  LIGHT  SNOW  OR FLURRIES.  </t>
  </si>
  <si>
    <t xml:space="preserve">  A  CHANCE  OF  SNOW</t>
  </si>
  <si>
    <t xml:space="preserve">  PARTLY CLOUDY.  WIND  NW  10 TO 20 MPH.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</si>
</sst>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5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quotePrefix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4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9342054-AFB1-9BC9-1056-76FFF18D0D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8174FEFF-E216-5DAF-E87A-BE7E040243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6D7F60FC-5ACA-6618-CD96-FB8941DEFA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8EA5FC68-F6C9-3515-5361-6A841C1384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382433CA-4502-AF71-6407-E86BC71660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CF1B8A3B-0375-CB63-1457-6BF4CDE431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329182B-B362-388A-1EA5-8064B1F6CC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723121C1-1B86-A7BE-3CE3-E225F7251F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3AD945C9-229A-E494-E160-132E985C25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E895D5F2-6344-4FD3-D564-7E44BF12DC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25BA10C9-A197-CEC8-8EDB-C618483E8D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31D2F759-5B5A-D3E3-8C1A-779732336B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4CC39714-2CE3-46BF-EA68-159721A2B3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167FE486-14BD-4738-1066-2C85853D6B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AF781F76-C406-3692-7BC5-D162DB4364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66249703-BAF4-2100-79CE-EB8F8E025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13200543-5D48-63B1-7B98-AD00E86235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AD9BBB6B-E416-28EC-E6D3-65BC09A24F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65E743E5-55F1-AF74-D735-37E6603648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C4C1A593-5891-BC36-BD20-44857D9C17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6A4D4CAC-AB50-370C-5514-4CABB47FF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6EA35706-F021-D68B-64F5-334196856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75778D97-BBD3-2B33-D861-678E54524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5E8F0437-73E3-2489-E4C7-C1B516B44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30A55539-4014-512C-D98D-D0839AF03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41E9FBF6-C68D-C8A4-20ED-AA6D9D84E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A1507DD2-FD87-0416-A436-A34BE9E70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9CAB9AB5-BC0E-4B9C-8286-344F151B2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91F30841-EBCE-52B7-C28D-E05FE7102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0717E236-D18B-78B9-303E-F8C683139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F95E6005-7886-A349-FA87-5FBE2467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D95607BE-04F4-9F0B-4A34-B5B1A57E0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57C99A63-6BF1-79E5-2B07-1ADAD8CD1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03DFB677-714F-5C8B-22B3-7075A2590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38932A0C-912E-91F7-5444-40FA90E1F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076CA5AC-3E62-4B9E-D8CC-3E3867F51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CE37282A-7FE8-967B-2C9F-F45AC98AC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B45CB007-436B-860C-035F-EC6689B99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23654C6A-3ECA-FFC6-D585-DEE66A21C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94220F99-81FD-4D57-EB0B-3C1884CFE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4933B149-AE92-8B3D-42C2-F9CC13B30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FB6B7BB7-38B2-2DBC-C943-F88C82E8C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00A5CA2D-4488-2CAC-A21C-27F578B0B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59FBFB5B-0285-0CE7-4210-A2A1E18A5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8167" name="Day_1">
          <a:extLst>
            <a:ext uri="{FF2B5EF4-FFF2-40B4-BE49-F238E27FC236}">
              <a16:creationId xmlns:a16="http://schemas.microsoft.com/office/drawing/2014/main" id="{7A8BE315-98B7-6FCA-3260-E91EE9C1A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8168" name="Day_2">
          <a:extLst>
            <a:ext uri="{FF2B5EF4-FFF2-40B4-BE49-F238E27FC236}">
              <a16:creationId xmlns:a16="http://schemas.microsoft.com/office/drawing/2014/main" id="{61368A22-0A9A-5017-1820-F15D97523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8169" name="Day_3">
          <a:extLst>
            <a:ext uri="{FF2B5EF4-FFF2-40B4-BE49-F238E27FC236}">
              <a16:creationId xmlns:a16="http://schemas.microsoft.com/office/drawing/2014/main" id="{4CF6CE56-C55E-5347-E092-EF09EC5EF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8170" name="Day_4">
          <a:extLst>
            <a:ext uri="{FF2B5EF4-FFF2-40B4-BE49-F238E27FC236}">
              <a16:creationId xmlns:a16="http://schemas.microsoft.com/office/drawing/2014/main" id="{9A568F9B-D01D-4CF0-6CAB-5429BE04F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8171" name="Day_5">
          <a:extLst>
            <a:ext uri="{FF2B5EF4-FFF2-40B4-BE49-F238E27FC236}">
              <a16:creationId xmlns:a16="http://schemas.microsoft.com/office/drawing/2014/main" id="{AE2A61AC-DC55-5485-FC4E-6FD7CECFF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8172" name="Day_6">
          <a:extLst>
            <a:ext uri="{FF2B5EF4-FFF2-40B4-BE49-F238E27FC236}">
              <a16:creationId xmlns:a16="http://schemas.microsoft.com/office/drawing/2014/main" id="{619B11C1-C6B9-9186-EF83-9437CBB5B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AEDDAF31-A861-AB65-953F-B3DE16249B90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609D307C-4A3C-A01A-3E13-45ED8F836706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B9B6ECDC-CF8C-915C-1DEB-6CF5324F54CE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E8EF583A-0566-08CD-529B-F8399A5517B4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6D4F7488-B443-AEF4-E642-6117F0820C19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856A5D19-6156-A30C-DC2C-FC002D9E330D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31D47FE5-4057-5B46-17A8-CDC29C479E85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E935EF78-0028-6338-B99A-FA4DDFEC233F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EC31759C-DF74-B455-5AF2-453C524145E9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EDA9E6A3-C55C-8E79-0BEC-1F4F7E89C0AC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B662178B-D3EE-D1D8-C983-B0E9F598D5DD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B0809D58-E381-65F1-9690-5F10DA33C7A1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32C0C59E-630E-D934-F5DB-13C598167662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45720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A4628C8A-9AB6-C864-0D83-690E974E3711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9974FDF2-3250-5B7B-AF01-6A97DF2A15D7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CA3BF7E8-935F-C2CD-6738-019983C9F189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2325C303-F662-6FEE-BC93-A4DDAD14BF0D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77768470-618B-E5E7-2322-6E449F760580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EC2E8B1E-B392-882F-A1F1-EF2E977F355D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75825DD6-9704-0D61-FDC1-26BECB2FE6D6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443F4D8F-2A5E-50C3-B3A9-31BECB8CE2DE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AB814FFD-283C-0CB4-3C33-BB73C3645752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4C2A5C8E-852E-FB83-34FB-09BF97E147BC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B8DE06BB-F961-7ADB-545F-2293A92A5693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85479D2B-14B0-6DCE-25AE-E4688874E49F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F960D6BA-9D87-61D8-EF53-E09A772B03E8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50548090-0E16-3898-E1CD-6516B7653EA1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473BD706-27EF-0BE2-E4AC-F7AD55C9A775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B0456128-24E6-8A84-CFEA-EC82A1E5EAA5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C66986B7-3CBB-B7AE-EF1A-6E6B3D729D36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AE67C08A-E734-AD49-1A11-E3F5BCB7AD74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68430A42-F331-AE91-32AD-4BED8F14E187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A6A692D3-1B9F-F62A-88D6-63EF6D5CA273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B649A60F-428E-057C-CB51-F090F022047A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15277B8A-416C-FE9D-A6CB-6479CA401C70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EA7C6DAD-D294-86E6-661D-B26F70699FB2}"/>
            </a:ext>
          </a:extLst>
        </xdr:cNvPr>
        <xdr:cNvSpPr>
          <a:spLocks noChangeShapeType="1"/>
        </xdr:cNvSpPr>
      </xdr:nvSpPr>
      <xdr:spPr bwMode="auto">
        <a:xfrm rot="3026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E152A015-F74D-B59E-2764-EEB2FB52058C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58CB5CB9-E771-1547-D9C9-E9FD7B7A9A70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6DCDDB1F-4698-5F52-5388-243D5B32D308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9EBC0A92-CF11-5B26-B6FC-1C69CC9F9AB8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4F9632D1-BCEB-5C14-6BA4-52DC82893E23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99C386EA-7A14-BE01-F723-4C28B13511CA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C6B40AF9-E27C-10EC-CC43-8F38F6835624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D5A18893-A3A9-3B76-0945-4595E1ACB061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3C20923C-8BE9-A5FB-21FC-F52678F0BA76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568CD5C3-168C-5C94-CCAC-D749FB9F5676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D0A346C6-2DC2-7FDC-0788-F124C7743706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22D71930-3C26-60EE-0D5D-0A6DCF942D42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B46F91E4-8D18-1121-4ABE-3D7EFFD3A291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D69B7CAA-1BD6-BDF6-F726-058D879486FD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6C57B493-4B96-FA39-6B6B-C4CD63345B6E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AAC11BC1-40C0-8D52-C57C-DCDCCAC11C75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4A513887-C64C-95E4-9B68-8AB898412C9D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27AB1E04-0BE6-DCD5-2A63-BB27E10CC864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196BCEA2-34E7-43F6-8D3D-0EC25D2682DF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77CAAEF9-0B0E-876C-10AC-1276C5588066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D32C9918-27CF-2010-1AB9-2A54CDBB8BFC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CFCF5BDF-91A6-7EA4-FA90-CD5B1DA3255D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B11F0DDC-0E5A-6AFA-4CE3-90097E28F750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41FEE958-CF38-11D1-56AF-34E6F5F89EAB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1A5B35DC-1CE1-A898-6D8C-AE010FD9BA2A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8D221323-C43F-DD57-456B-3D0B60A4FFF0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A99FD1AD-CD5B-4356-4415-F5EA9AB9EB69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4FB3BFF6-4D73-E4B1-FF8B-F0773E096B9A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2E89F008-66A7-0C98-C5BF-569E60614688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913B5942-81AE-85B9-185F-4E0D914C7806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F097483F-BE12-095A-4FE1-9A98FB93AEDC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1C3E910E-C0DA-A486-7C1F-797CAD0F2D2B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86E7D6DB-6759-A438-1343-FF62C49CF950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3EAF446F-5A7E-CB9B-5FEC-102243F46B8D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264FE10A-0332-1663-2E3E-29F504DB750E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D335B5EC-E68A-4803-3448-4731F3FABE08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C514D855-1850-5446-69F7-3D90EA6282EB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517B9D75-4448-24A7-B827-ED70A9771841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4808CFC7-5125-19F7-BA9C-807F4E6E2712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32385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0763AF57-4507-AB64-B22B-032321C745C5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94B862DC-875E-03D8-45A5-49BF74EB59B2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6494B549-8FC2-A9F4-37CA-020EE5ECAE14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A359697C-FE1C-17EC-9CA5-3363E4809B78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BC370CA7-3C51-9144-D852-DFA3B7BC73C7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AC4A3984-E0A5-8C06-2EBA-990DF4B9CBF6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37399452-8384-F17A-DA09-6D0723CFDC0F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21B405E8-5439-7B4B-956C-58EA065DBCF1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A2E90F6F-63D5-B9A5-6536-A2D7A580D030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69A94685-3D1E-5078-3805-7CBC2EF0D867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0C4D7DC0-A574-3F86-104F-C146286034F4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517B3BAD-D4A4-A9FE-C1FD-9DA82F50B599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219075</xdr:rowOff>
    </xdr:from>
    <xdr:to>
      <xdr:col>2</xdr:col>
      <xdr:colOff>666750</xdr:colOff>
      <xdr:row>9</xdr:row>
      <xdr:rowOff>219075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522D14F5-BBD4-E7F6-355A-FBC991E5B8C2}"/>
            </a:ext>
          </a:extLst>
        </xdr:cNvPr>
        <xdr:cNvSpPr>
          <a:spLocks noChangeShapeType="1"/>
        </xdr:cNvSpPr>
      </xdr:nvSpPr>
      <xdr:spPr bwMode="auto">
        <a:xfrm>
          <a:off x="742950" y="215265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B5844A31-91C8-CD9C-EFFE-C70973FD979E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FAD10895-8AC4-A2E7-919D-3872FBED4E88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BF6606EF-FD05-ABED-2677-B404B19BB4A1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EFA9C182-E1D9-A6DA-C8A1-807785135A58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10B7B675-8AE3-1BE1-83D7-5F3ABA981114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E2F6D66F-2124-6711-FFD5-E5F9CE316A75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31BAE9F3-A9A3-2368-FB12-CD7189559062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0B21EDF7-C2E2-CD28-CFAA-BA674E3DF495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23CA3455-269C-A266-BB01-2A75C801AA8F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F1657A91-2B7F-149B-D95F-DC70E9FFDF2E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9F9F89A3-2448-0F3A-007E-FE6BAB1FC1F3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1C1A362F-9F16-ACC6-E96A-6DB016D8F2DA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B3EFEB02-7FB3-0A1A-435F-3606F99A7457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2E3C3BB4-D3DF-2EB3-CA07-E24A6CA088E8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2B2572D1-489E-514F-7BD6-E7CB4B2D2894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32385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A5B40948-000A-4C33-6492-B8F0C44F31C5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A9EC8D01-CEFC-2236-4D41-F34301BF84B9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209550</xdr:colOff>
      <xdr:row>17</xdr:row>
      <xdr:rowOff>180975</xdr:rowOff>
    </xdr:from>
    <xdr:to>
      <xdr:col>5</xdr:col>
      <xdr:colOff>180975</xdr:colOff>
      <xdr:row>18</xdr:row>
      <xdr:rowOff>0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31FFC155-B063-2869-E345-DB0006CEB46B}"/>
            </a:ext>
          </a:extLst>
        </xdr:cNvPr>
        <xdr:cNvSpPr>
          <a:spLocks noChangeShapeType="1"/>
        </xdr:cNvSpPr>
      </xdr:nvSpPr>
      <xdr:spPr bwMode="auto">
        <a:xfrm rot="307948828" flipH="1" flipV="1">
          <a:off x="3000375" y="4114800"/>
          <a:ext cx="9525" cy="352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4FFED9E3-3989-8574-042E-441E315F0380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59B08141-D384-D88B-8DB3-A82E51718033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9ED7C3F5-231C-7445-990C-BB7E6610BE67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C6BF4D5B-7120-99ED-7826-92813C291E06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3C1E9DCB-16DB-CF43-1063-D3D0A537A7B0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155571EA-7E01-2013-EE88-898490283C24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F4346209-D75C-6D4A-1FB3-3137DE56C589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58B6905A-64E3-2C9B-BE71-DEB9EE74138C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FFD2C0F8-92E6-E2D7-34B6-7D88792BC8E4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3980C8A3-52C4-8A73-9A13-AC38FA591112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E560F934-6008-C27E-7B3C-00D3B5EFA298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783B2475-BA54-66E9-DA10-3E86B0ECA01B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3436C57C-8E86-1BE9-8428-FD09DA427208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CCE5310A-10D4-E80D-0FE5-3E99BB28A669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4557FBFD-DF69-8C48-685F-A71D8AD80F18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95250</xdr:rowOff>
    </xdr:from>
    <xdr:to>
      <xdr:col>8</xdr:col>
      <xdr:colOff>752475</xdr:colOff>
      <xdr:row>10</xdr:row>
      <xdr:rowOff>114300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A4C27724-F0CD-EF48-5454-440B31C2B370}"/>
            </a:ext>
          </a:extLst>
        </xdr:cNvPr>
        <xdr:cNvSpPr>
          <a:spLocks noChangeShapeType="1"/>
        </xdr:cNvSpPr>
      </xdr:nvSpPr>
      <xdr:spPr bwMode="auto">
        <a:xfrm flipV="1">
          <a:off x="4981575" y="2028825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767B56AC-54AD-8734-F570-F547E1E8D78D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BABF42F0-790B-2957-A8B6-53535544814A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2F77FA92-28C6-4417-E932-3093AA6A040C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34D622A4-FEEA-1F85-4D30-1B4F30D7947D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C322AB08-14BC-337C-DC42-6D32C7CAC101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72F86143-A1C3-D089-FE7D-D1D79F73C38A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3F820842-A62D-F76B-3F6C-449B74762182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D523355F-E68A-F7CB-8BB2-EFB4F68E8442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13" t="s">
        <v>638</v>
      </c>
      <c r="B1" s="813" t="s">
        <v>11</v>
      </c>
    </row>
    <row r="2" spans="1:88">
      <c r="A2" s="1113" t="s">
        <v>11</v>
      </c>
      <c r="B2" t="s">
        <v>11</v>
      </c>
    </row>
    <row r="3" spans="1:88" ht="15.75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791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21" zoomScale="75" workbookViewId="0">
      <selection activeCell="A21" sqref="A21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8.6640625" style="114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MON</v>
      </c>
      <c r="I1" s="881">
        <f>D4</f>
        <v>36955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MON</v>
      </c>
      <c r="E3" s="844" t="str">
        <f t="shared" si="0"/>
        <v>TUE</v>
      </c>
      <c r="F3" s="844" t="str">
        <f t="shared" si="0"/>
        <v>WED</v>
      </c>
      <c r="G3" s="844" t="str">
        <f t="shared" si="0"/>
        <v>THU</v>
      </c>
      <c r="H3" s="844" t="str">
        <f t="shared" si="0"/>
        <v>FRI</v>
      </c>
      <c r="I3" s="845" t="str">
        <f t="shared" si="0"/>
        <v>SAT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36955</v>
      </c>
      <c r="E4" s="848">
        <f>Weather_Input!A6</f>
        <v>36956</v>
      </c>
      <c r="F4" s="848">
        <f>Weather_Input!A7</f>
        <v>36957</v>
      </c>
      <c r="G4" s="848">
        <f>Weather_Input!A8</f>
        <v>36958</v>
      </c>
      <c r="H4" s="848">
        <f>Weather_Input!A9</f>
        <v>36959</v>
      </c>
      <c r="I4" s="849">
        <f>Weather_Input!A10</f>
        <v>36960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28/21/25</v>
      </c>
      <c r="E5" s="882" t="str">
        <f>TEXT(Weather_Input!B6,"0")&amp;"/"&amp;TEXT(Weather_Input!C6,"0") &amp; "/" &amp; TEXT((Weather_Input!B6+Weather_Input!C6)/2,"0")</f>
        <v>35/21/28</v>
      </c>
      <c r="F5" s="882" t="str">
        <f>TEXT(Weather_Input!B7,"0")&amp;"/"&amp;TEXT(Weather_Input!C7,"0") &amp; "/" &amp; TEXT((Weather_Input!B7+Weather_Input!C7)/2,"0")</f>
        <v>37/25/31</v>
      </c>
      <c r="G5" s="882" t="str">
        <f>TEXT(Weather_Input!B8,"0")&amp;"/"&amp;TEXT(Weather_Input!C8,"0") &amp; "/" &amp; TEXT((Weather_Input!B8+Weather_Input!C8)/2,"0")</f>
        <v>36/22/29</v>
      </c>
      <c r="H5" s="882" t="str">
        <f>TEXT(Weather_Input!B9,"0")&amp;"/"&amp;TEXT(Weather_Input!C9,"0") &amp; "/" &amp; TEXT((Weather_Input!B9+Weather_Input!C9)/2,"0")</f>
        <v>33/20/27</v>
      </c>
      <c r="I5" s="883" t="str">
        <f>TEXT(Weather_Input!B10,"0")&amp;"/"&amp;TEXT(Weather_Input!C10,"0") &amp; "/" &amp; TEXT((Weather_Input!B10+Weather_Input!C10)/2,"0")</f>
        <v>40/28/34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203</v>
      </c>
      <c r="E6" s="851">
        <f ca="1">VLOOKUP(E4,NSG_Sendouts,CELL("Col",NSG_Deliveries!C6),FALSE)/1000</f>
        <v>189</v>
      </c>
      <c r="F6" s="851">
        <f ca="1">VLOOKUP(F4,NSG_Sendouts,CELL("Col",NSG_Deliveries!C7),FALSE)/1000</f>
        <v>173</v>
      </c>
      <c r="G6" s="851">
        <f ca="1">VLOOKUP(G4,NSG_Sendouts,CELL("Col",NSG_Deliveries!C8),FALSE)/1000</f>
        <v>179</v>
      </c>
      <c r="H6" s="851">
        <f ca="1">VLOOKUP(H4,NSG_Sendouts,CELL("Col",NSG_Deliveries!C9),FALSE)/1000</f>
        <v>184</v>
      </c>
      <c r="I6" s="856">
        <f ca="1">VLOOKUP(I4,NSG_Sendouts,CELL("Col",NSG_Deliveries!C10),FALSE)/1000</f>
        <v>156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0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5.0339999999999998</v>
      </c>
      <c r="E13" s="851">
        <f>NSG_Requirements!H8/1000</f>
        <v>4.55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208.03399999999999</v>
      </c>
      <c r="E19" s="860">
        <f t="shared" ca="1" si="1"/>
        <v>193.55</v>
      </c>
      <c r="F19" s="860">
        <f t="shared" ca="1" si="1"/>
        <v>173</v>
      </c>
      <c r="G19" s="860">
        <f t="shared" ca="1" si="1"/>
        <v>179</v>
      </c>
      <c r="H19" s="860">
        <f t="shared" ca="1" si="1"/>
        <v>184</v>
      </c>
      <c r="I19" s="861">
        <f t="shared" ca="1" si="1"/>
        <v>156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60</v>
      </c>
      <c r="E23" s="851">
        <f>NSG_Supplies!L8/1000</f>
        <v>50</v>
      </c>
      <c r="F23" s="851">
        <f>NSG_Supplies!L9/1000</f>
        <v>50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4.9080000000000004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123.429</v>
      </c>
      <c r="E32" s="851">
        <f>NSG_Supplies!R8/1000</f>
        <v>123.554</v>
      </c>
      <c r="F32" s="851">
        <f>NSG_Supplies!R9/1000</f>
        <v>123.554</v>
      </c>
      <c r="G32" s="851">
        <f>NSG_Supplies!R10/1000</f>
        <v>123.554</v>
      </c>
      <c r="H32" s="851">
        <f>NSG_Supplies!R11/1000</f>
        <v>123.554</v>
      </c>
      <c r="I32" s="852">
        <f>NSG_Supplies!R12/1000</f>
        <v>123.554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208.33699999999999</v>
      </c>
      <c r="E37" s="891">
        <f t="shared" si="2"/>
        <v>193.554</v>
      </c>
      <c r="F37" s="891">
        <f t="shared" si="2"/>
        <v>193.554</v>
      </c>
      <c r="G37" s="891">
        <f t="shared" si="2"/>
        <v>163.554</v>
      </c>
      <c r="H37" s="891">
        <f t="shared" si="2"/>
        <v>163.554</v>
      </c>
      <c r="I37" s="892">
        <f t="shared" si="2"/>
        <v>163.554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0.30299999999999727</v>
      </c>
      <c r="E38" s="895">
        <f t="shared" ca="1" si="3"/>
        <v>3.9999999999906777E-3</v>
      </c>
      <c r="F38" s="895">
        <f t="shared" ca="1" si="3"/>
        <v>20.554000000000002</v>
      </c>
      <c r="G38" s="895">
        <f t="shared" ca="1" si="3"/>
        <v>0</v>
      </c>
      <c r="H38" s="895">
        <f t="shared" ca="1" si="3"/>
        <v>0</v>
      </c>
      <c r="I38" s="896">
        <f t="shared" ca="1" si="3"/>
        <v>7.554000000000002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</v>
      </c>
      <c r="E39" s="877">
        <f t="shared" ca="1" si="4"/>
        <v>0</v>
      </c>
      <c r="F39" s="877">
        <f t="shared" ca="1" si="4"/>
        <v>0</v>
      </c>
      <c r="G39" s="877">
        <f t="shared" ca="1" si="4"/>
        <v>15.445999999999998</v>
      </c>
      <c r="H39" s="877">
        <f t="shared" ca="1" si="4"/>
        <v>20.445999999999998</v>
      </c>
      <c r="I39" s="878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33.42</v>
      </c>
      <c r="E40" s="1175">
        <f>NSG_Supplies!S8/1000</f>
        <v>33.545000000000002</v>
      </c>
      <c r="F40" s="1175">
        <f>NSG_Supplies!S9/1000</f>
        <v>33.545000000000002</v>
      </c>
      <c r="G40" s="1175">
        <f>NSG_Supplies!S10/1000</f>
        <v>33.545000000000002</v>
      </c>
      <c r="H40" s="1175">
        <f>NSG_Supplies!S11/1000</f>
        <v>33.545000000000002</v>
      </c>
      <c r="I40" s="1176">
        <f>NSG_Supplies!S12/1000</f>
        <v>33.545000000000002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17.3</v>
      </c>
      <c r="E42" s="902">
        <f>Weather_Input!D6</f>
        <v>11</v>
      </c>
      <c r="F42" s="902">
        <f>Weather_Input!D7</f>
        <v>10</v>
      </c>
      <c r="G42" s="903"/>
      <c r="H42" s="898"/>
      <c r="I42" s="898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8" t="s">
        <v>11</v>
      </c>
      <c r="B1" s="589"/>
      <c r="C1" s="589"/>
      <c r="D1" s="589"/>
      <c r="E1" s="590" t="s">
        <v>173</v>
      </c>
      <c r="F1" s="591">
        <f>Weather_Input!A5</f>
        <v>36955</v>
      </c>
      <c r="G1" s="771" t="str">
        <f>CHOOSE(WEEKDAY(F1),"SUN","MON","TUE","WED","THU","FRI","SAT")</f>
        <v>MON</v>
      </c>
      <c r="H1" s="593" t="s">
        <v>258</v>
      </c>
      <c r="I1" s="594"/>
    </row>
    <row r="2" spans="1:9" ht="15.75">
      <c r="A2" s="258" t="s">
        <v>11</v>
      </c>
      <c r="B2" s="610" t="s">
        <v>697</v>
      </c>
      <c r="C2" s="963" t="s">
        <v>11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75">
      <c r="A4" s="258" t="s">
        <v>11</v>
      </c>
      <c r="B4" s="964">
        <f>Weather_Input!B5</f>
        <v>28</v>
      </c>
      <c r="C4" s="965">
        <f>Weather_Input!C5</f>
        <v>21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75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75">
      <c r="A6" s="262" t="s">
        <v>424</v>
      </c>
      <c r="B6" s="1165" t="s">
        <v>11</v>
      </c>
      <c r="C6" s="968">
        <f>PGL_Deliveries!C5/1000</f>
        <v>1195</v>
      </c>
      <c r="D6" s="1165" t="s">
        <v>11</v>
      </c>
      <c r="E6" s="269"/>
      <c r="F6" s="603"/>
      <c r="G6" s="269"/>
      <c r="H6" s="603"/>
      <c r="I6" s="267"/>
    </row>
    <row r="7" spans="1:9" ht="15.75" thickBot="1">
      <c r="A7" s="249" t="s">
        <v>778</v>
      </c>
      <c r="B7" s="1166"/>
      <c r="C7" s="1138">
        <f>PGL_Requirements!I7/1000</f>
        <v>9.9870000000000001</v>
      </c>
      <c r="D7" s="122"/>
      <c r="E7" s="122"/>
      <c r="F7" s="1166"/>
      <c r="G7" s="1167"/>
      <c r="H7" s="122"/>
      <c r="I7" s="118"/>
    </row>
    <row r="8" spans="1:9" ht="16.5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160.43199999999999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94.331000000000003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331.858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127.804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245.45099999999999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10.113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196.22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75" thickBot="1">
      <c r="A18" s="292" t="s">
        <v>573</v>
      </c>
      <c r="B18" s="616" t="s">
        <v>11</v>
      </c>
      <c r="C18" s="1138">
        <f>PGL_Requirements!G7/1000</f>
        <v>24.33</v>
      </c>
      <c r="D18" s="602"/>
      <c r="E18" s="269"/>
      <c r="F18" s="603"/>
      <c r="G18" s="269"/>
      <c r="H18" s="603"/>
      <c r="I18" s="267"/>
    </row>
    <row r="19" spans="1:12" ht="16.5" thickBot="1">
      <c r="A19" s="617" t="s">
        <v>706</v>
      </c>
      <c r="B19" s="618" t="s">
        <v>11</v>
      </c>
      <c r="C19" s="512">
        <f>SUM(C9:C17)-C18</f>
        <v>1141.8790000000001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5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63.107999999999947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5" thickBot="1">
      <c r="A24" s="494" t="s">
        <v>432</v>
      </c>
      <c r="B24" s="974" t="s">
        <v>11</v>
      </c>
      <c r="C24" s="975">
        <f>+B56</f>
        <v>103.2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7.25" thickTop="1" thickBot="1">
      <c r="A25" s="638" t="s">
        <v>433</v>
      </c>
      <c r="B25" s="979" t="s">
        <v>11</v>
      </c>
      <c r="C25" s="980">
        <f>SUM(C22:C24)</f>
        <v>166.30799999999994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75" thickTop="1">
      <c r="A26" s="332" t="s">
        <v>743</v>
      </c>
      <c r="B26" s="983"/>
      <c r="C26" s="972">
        <f>SUM(-PGL_Supplies!M7/1000)</f>
        <v>-239.77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0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-123.83799999999999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-52.670999999999999</v>
      </c>
      <c r="D29" s="987" t="s">
        <v>11</v>
      </c>
      <c r="E29" s="986">
        <f>-PGL_Supplies!AC7/1000</f>
        <v>-52.670999999999999</v>
      </c>
      <c r="F29" s="307"/>
      <c r="G29" s="986">
        <f>-PGL_Supplies!AC7/1000</f>
        <v>-52.670999999999999</v>
      </c>
      <c r="H29" s="515"/>
      <c r="I29" s="988">
        <f>-PGL_Supplies!AC7/1000</f>
        <v>-52.670999999999999</v>
      </c>
      <c r="L29" s="1104"/>
    </row>
    <row r="30" spans="1:12" ht="16.5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75" thickBot="1">
      <c r="A33" s="1135" t="s">
        <v>4</v>
      </c>
      <c r="B33" s="324">
        <f>PGL_Supplies!Y7/1000</f>
        <v>160.43199999999999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5" thickBot="1">
      <c r="A34" s="560" t="s">
        <v>448</v>
      </c>
      <c r="B34" s="1126">
        <f>+B33+B32-B31</f>
        <v>160.43199999999999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5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24.331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75" thickBot="1">
      <c r="A40" s="639" t="s">
        <v>704</v>
      </c>
      <c r="B40" s="324">
        <f>PGL_Supplies!Z7/1000</f>
        <v>70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5" thickBot="1">
      <c r="A41" s="560" t="s">
        <v>448</v>
      </c>
      <c r="B41" s="567">
        <f>B40+B37-B36-B38+B39</f>
        <v>94.331000000000003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5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127.804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75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5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5" thickBot="1">
      <c r="A47" s="560" t="s">
        <v>448</v>
      </c>
      <c r="B47" s="1001">
        <f>B43+B44-B45+B46</f>
        <v>127.804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5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75" thickBot="1">
      <c r="A50" s="425" t="s">
        <v>453</v>
      </c>
      <c r="B50" s="324">
        <f>PGL_Supplies!M7/1000</f>
        <v>239.77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75" thickBot="1">
      <c r="A51" s="425" t="s">
        <v>454</v>
      </c>
      <c r="B51" s="324">
        <f>SUM(PGL_Requirements!B7/1000)</f>
        <v>10.452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5" thickBot="1">
      <c r="A52" s="425" t="s">
        <v>455</v>
      </c>
      <c r="B52" s="324">
        <f>PGL_Supplies!H7/1000</f>
        <v>0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0.66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5" thickBot="1">
      <c r="A54" s="425" t="s">
        <v>749</v>
      </c>
      <c r="B54" s="324">
        <f>PGL_Requirements!Q7/1000</f>
        <v>0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5" thickBot="1">
      <c r="A55" s="519" t="s">
        <v>457</v>
      </c>
      <c r="B55" s="520">
        <f>-B49+B50+B52+B56+B57-B53-B51</f>
        <v>331.858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103.2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75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245.45099999999999</v>
      </c>
      <c r="I57" s="1008" t="s">
        <v>11</v>
      </c>
    </row>
    <row r="58" spans="1:9" ht="16.5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75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5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245.45099999999999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75" thickBot="1">
      <c r="A62" s="425" t="s">
        <v>109</v>
      </c>
      <c r="B62" s="1018">
        <f>PGL_Supplies!AD7/1000</f>
        <v>196.22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245.45099999999999</v>
      </c>
    </row>
    <row r="63" spans="1:9" ht="16.5" thickBot="1">
      <c r="A63" s="800" t="s">
        <v>565</v>
      </c>
      <c r="B63" s="1020">
        <f>+B62+B61-B60+B59</f>
        <v>196.22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75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788</v>
      </c>
      <c r="G64" s="434"/>
      <c r="H64" s="1118"/>
      <c r="I64" s="1012"/>
    </row>
    <row r="65" spans="1:9" ht="15.75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5" thickBot="1">
      <c r="A66" s="1191" t="s">
        <v>790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5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5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5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5" thickBot="1">
      <c r="A70" s="1190" t="s">
        <v>789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67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MON</v>
      </c>
      <c r="G1" s="1084">
        <f>Weather_Input!A5</f>
        <v>36955</v>
      </c>
      <c r="H1" s="590" t="s">
        <v>258</v>
      </c>
      <c r="I1" s="594"/>
    </row>
    <row r="2" spans="1:9" ht="20.25">
      <c r="A2" s="643" t="s">
        <v>11</v>
      </c>
      <c r="B2" s="794" t="s">
        <v>561</v>
      </c>
      <c r="C2" s="954" t="s">
        <v>11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0.25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28</v>
      </c>
      <c r="C4" s="759">
        <f>Weather_Input!C5</f>
        <v>21</v>
      </c>
      <c r="D4" s="653"/>
      <c r="E4" s="654"/>
      <c r="F4" s="653"/>
      <c r="G4" s="654"/>
      <c r="H4" s="655"/>
      <c r="I4" s="656"/>
    </row>
    <row r="5" spans="1:9" ht="24" thickBot="1">
      <c r="A5" s="657" t="s">
        <v>139</v>
      </c>
      <c r="B5" s="658"/>
      <c r="C5" s="659">
        <f>NSG_Deliveries!C5/1000</f>
        <v>203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4" thickBot="1">
      <c r="A7" s="667" t="s">
        <v>86</v>
      </c>
      <c r="B7" s="658"/>
      <c r="C7" s="764">
        <f>C5-C9-C11-C12</f>
        <v>118.09199999999998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24.908000000000001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3.25">
      <c r="A11" s="671" t="s">
        <v>503</v>
      </c>
      <c r="B11" s="672"/>
      <c r="C11" s="673">
        <f>B38</f>
        <v>60</v>
      </c>
      <c r="D11" s="674"/>
      <c r="E11" s="675"/>
      <c r="F11" s="674"/>
      <c r="G11" s="674" t="s">
        <v>11</v>
      </c>
      <c r="H11" s="676"/>
      <c r="I11" s="677"/>
    </row>
    <row r="12" spans="1:9" ht="23.25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4" thickBot="1">
      <c r="A19" s="704" t="s">
        <v>433</v>
      </c>
      <c r="B19" s="705"/>
      <c r="C19" s="706">
        <f>C7+C12</f>
        <v>118.09199999999998</v>
      </c>
      <c r="D19" s="707"/>
      <c r="E19" s="708"/>
      <c r="F19" s="707"/>
      <c r="G19" s="707" t="s">
        <v>11</v>
      </c>
      <c r="H19" s="705"/>
      <c r="I19" s="709"/>
    </row>
    <row r="20" spans="1:9" ht="20.25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25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25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25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10" t="s">
        <v>441</v>
      </c>
      <c r="B24" s="718"/>
      <c r="C24" s="712">
        <f>NSG_Requirements!H7/1000</f>
        <v>5.0339999999999998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25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25">
      <c r="A26" s="710" t="s">
        <v>197</v>
      </c>
      <c r="B26" s="718"/>
      <c r="C26" s="712">
        <f>-NSG_Supplies!R7/1000</f>
        <v>-123.429</v>
      </c>
      <c r="D26" s="719"/>
      <c r="E26" s="712">
        <f>-NSG_Supplies!R7/1000</f>
        <v>-123.429</v>
      </c>
      <c r="F26" s="719"/>
      <c r="G26" s="712">
        <f>-NSG_Supplies!R7/1000</f>
        <v>-123.429</v>
      </c>
      <c r="H26" s="718"/>
      <c r="I26" s="777">
        <f>-NSG_Supplies!R7/1000</f>
        <v>-123.429</v>
      </c>
    </row>
    <row r="27" spans="1:9" ht="20.25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0.25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25">
      <c r="A31" s="785" t="s">
        <v>538</v>
      </c>
      <c r="B31" s="760">
        <f>NSG_Supplies!L7/1000+PGL_Requirements!V7/1000</f>
        <v>60</v>
      </c>
      <c r="C31" s="719"/>
      <c r="D31" s="737"/>
      <c r="E31" s="720"/>
      <c r="F31" s="644"/>
      <c r="G31" s="716"/>
      <c r="H31" s="716"/>
      <c r="I31" s="735"/>
    </row>
    <row r="32" spans="1:9" ht="20.25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25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25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25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25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" thickBot="1">
      <c r="A38" s="742" t="s">
        <v>510</v>
      </c>
      <c r="B38" s="763">
        <f>-B30+B31+B32-B33-B34-B35+B36+B37</f>
        <v>60</v>
      </c>
      <c r="C38" s="644"/>
      <c r="D38" s="743"/>
      <c r="E38" s="744"/>
      <c r="F38" s="644"/>
      <c r="G38" s="716"/>
      <c r="H38" s="716"/>
      <c r="I38" s="735"/>
    </row>
    <row r="39" spans="1:9" ht="2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25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25">
      <c r="A41" s="710" t="s">
        <v>512</v>
      </c>
      <c r="B41" s="823">
        <f>NSG_Requirements!J7/1000</f>
        <v>0</v>
      </c>
      <c r="C41" s="719"/>
      <c r="D41" s="737"/>
      <c r="E41" s="720"/>
      <c r="F41" s="644"/>
      <c r="G41" s="716"/>
      <c r="H41" s="716"/>
      <c r="I41" s="735"/>
    </row>
    <row r="42" spans="1:9" ht="20.25">
      <c r="A42" s="710" t="s">
        <v>513</v>
      </c>
      <c r="B42" s="824">
        <f>NSG_Supplies!E7/1000</f>
        <v>4.9080000000000004</v>
      </c>
      <c r="C42" s="644"/>
      <c r="D42" s="747"/>
      <c r="E42" s="748"/>
      <c r="F42" s="644"/>
      <c r="G42" s="716"/>
      <c r="H42" s="716"/>
      <c r="I42" s="735"/>
    </row>
    <row r="43" spans="1:9" ht="20.25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25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" thickBot="1">
      <c r="A46" s="742" t="s">
        <v>510</v>
      </c>
      <c r="B46" s="825">
        <f>B45+B42-B41</f>
        <v>24.908000000000001</v>
      </c>
      <c r="C46" s="750"/>
      <c r="D46" s="749"/>
      <c r="E46" s="751"/>
      <c r="F46" s="644"/>
      <c r="G46" s="716"/>
      <c r="H46" s="716"/>
      <c r="I46" s="735"/>
    </row>
    <row r="47" spans="1:9" ht="2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25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25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25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25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36955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28</v>
      </c>
      <c r="C5" s="266">
        <f>Weather_Input!C5</f>
        <v>21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1195</v>
      </c>
      <c r="C8" s="274">
        <f>NSG_Deliveries!C5/1000</f>
        <v>203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84.344000000000008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439.005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10.113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356.65199999999999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239.77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24.33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-1105.5540000000001</v>
      </c>
      <c r="C18" s="289">
        <f>-I63</f>
        <v>-60</v>
      </c>
      <c r="D18" s="290" t="s">
        <v>11</v>
      </c>
      <c r="E18" s="289">
        <f>-I63</f>
        <v>-60</v>
      </c>
      <c r="F18" s="290" t="s">
        <v>11</v>
      </c>
      <c r="G18" s="289">
        <f>-I63</f>
        <v>-60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89.445999999999913</v>
      </c>
      <c r="C20" s="295">
        <f>C8+C18+C19</f>
        <v>143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0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89.445999999999913</v>
      </c>
      <c r="C23" s="301">
        <f>C20</f>
        <v>143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0.66</v>
      </c>
      <c r="C27" s="310">
        <f>NSG_Requirements!P7/1000</f>
        <v>0</v>
      </c>
      <c r="D27" s="310">
        <f>PGL_Requirements!R7/1000</f>
        <v>0.66</v>
      </c>
      <c r="E27" s="310">
        <f>NSG_Requirements!P7/1000</f>
        <v>0</v>
      </c>
      <c r="F27" s="310">
        <f>PGL_Requirements!R7/1000</f>
        <v>0.66</v>
      </c>
      <c r="G27" s="310">
        <f>NSG_Requirements!P7/1000</f>
        <v>0</v>
      </c>
      <c r="H27" s="311">
        <f>+B27</f>
        <v>0.66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-52.670999999999999</v>
      </c>
      <c r="C32" s="315">
        <f>-NSG_Supplies!R7/1000</f>
        <v>-123.429</v>
      </c>
      <c r="D32" s="315">
        <f>B32</f>
        <v>-52.670999999999999</v>
      </c>
      <c r="E32" s="315">
        <f>C32</f>
        <v>-123.429</v>
      </c>
      <c r="F32" s="315">
        <f>B32</f>
        <v>-52.670999999999999</v>
      </c>
      <c r="G32" s="315">
        <f>C32</f>
        <v>-123.429</v>
      </c>
      <c r="H32" s="320">
        <f>B32</f>
        <v>-52.670999999999999</v>
      </c>
      <c r="I32" s="321">
        <f>C32</f>
        <v>-123.429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-33.42</v>
      </c>
      <c r="D33" s="315">
        <f>B33</f>
        <v>0</v>
      </c>
      <c r="E33" s="315">
        <f>C33</f>
        <v>-33.42</v>
      </c>
      <c r="F33" s="315">
        <f>B33</f>
        <v>0</v>
      </c>
      <c r="G33" s="315">
        <f>C33</f>
        <v>-33.42</v>
      </c>
      <c r="H33" s="320">
        <f>B33</f>
        <v>0</v>
      </c>
      <c r="I33" s="321">
        <f>C33</f>
        <v>-33.42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5.0339999999999998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-123.83799999999999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239.77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10.452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0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0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239.77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311.20100000000002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127.804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439.005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70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24.331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9.9870000000000001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60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84.344000000000008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60</v>
      </c>
    </row>
    <row r="64" spans="1:9" ht="17.100000000000001" customHeight="1" thickBot="1">
      <c r="A64" s="425" t="s">
        <v>394</v>
      </c>
      <c r="B64" s="324">
        <f>PGL_Supplies!Y7/1000</f>
        <v>160.43199999999999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196.22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356.65199999999999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MON</v>
      </c>
      <c r="H73" s="406">
        <f>Weather_Input!A5</f>
        <v>36955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75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75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5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5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84.344000000000008</v>
      </c>
      <c r="D97" s="603"/>
      <c r="E97" s="615">
        <f>+C97</f>
        <v>84.344000000000008</v>
      </c>
      <c r="F97" s="603"/>
      <c r="G97" s="615">
        <f>+C97</f>
        <v>84.344000000000008</v>
      </c>
      <c r="H97" s="603"/>
      <c r="I97" s="285">
        <f>+C97</f>
        <v>84.344000000000008</v>
      </c>
    </row>
    <row r="98" spans="1:9" ht="15">
      <c r="A98" s="494" t="s">
        <v>60</v>
      </c>
      <c r="B98" s="282" t="s">
        <v>11</v>
      </c>
      <c r="C98" s="624">
        <f>B149</f>
        <v>239.77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439.005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356.65199999999999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24.33</v>
      </c>
      <c r="D103" s="621"/>
      <c r="E103" s="269"/>
      <c r="F103" s="603"/>
      <c r="G103" s="269"/>
      <c r="H103" s="603"/>
      <c r="I103" s="267"/>
    </row>
    <row r="104" spans="1:9" ht="15.75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5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5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75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5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75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75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-70</v>
      </c>
      <c r="C116" s="419">
        <f>-NSG_Supplies!W7/1000</f>
        <v>0</v>
      </c>
      <c r="D116" s="315">
        <f>-PGL_Supplies!Z7/1000</f>
        <v>-70</v>
      </c>
      <c r="E116" s="315">
        <f>-NSG_Supplies!W7/1000</f>
        <v>0</v>
      </c>
      <c r="F116" s="315">
        <f>-PGL_Supplies!Z7/1000</f>
        <v>-70</v>
      </c>
      <c r="G116" s="315">
        <f>-NSG_Supplies!W7/1000</f>
        <v>0</v>
      </c>
      <c r="H116" s="320">
        <f>-PGL_Supplies!Z7/1000</f>
        <v>-70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-127.804</v>
      </c>
      <c r="C117" s="315">
        <f>-NSG_Supplies!X7/1000</f>
        <v>0</v>
      </c>
      <c r="D117" s="315">
        <f>-PGL_Supplies!AA7/1000</f>
        <v>-127.804</v>
      </c>
      <c r="E117" s="315">
        <f>-NSG_Supplies!X7/1000</f>
        <v>0</v>
      </c>
      <c r="F117" s="315">
        <f>-PGL_Supplies!AA7/1000</f>
        <v>-127.804</v>
      </c>
      <c r="G117" s="315">
        <f>-NSG_Supplies!X7/1000</f>
        <v>0</v>
      </c>
      <c r="H117" s="320">
        <f>-PGL_Supplies!AA7/1000</f>
        <v>-127.804</v>
      </c>
      <c r="I117" s="321">
        <f>-NSG_Supplies!X7/1000</f>
        <v>0</v>
      </c>
    </row>
    <row r="118" spans="1:9" ht="15.75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75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75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-33.42</v>
      </c>
      <c r="D123" s="313"/>
      <c r="E123" s="313"/>
      <c r="F123" s="313"/>
      <c r="G123" s="313"/>
      <c r="H123" s="317"/>
      <c r="I123" s="318"/>
    </row>
    <row r="124" spans="1:9" ht="16.5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24.331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0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9.9870000000000001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70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75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5" thickBot="1">
      <c r="A133" s="560" t="s">
        <v>448</v>
      </c>
      <c r="B133" s="567">
        <f>B126+B127+B130+B131+B132-B125-B128-B129</f>
        <v>84.344000000000008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5.75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127.804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75" thickBot="1">
      <c r="A140" s="425" t="s">
        <v>394</v>
      </c>
      <c r="B140" s="324">
        <f>PGL_Supplies!V7/1000</f>
        <v>311.20100000000002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5" thickBot="1">
      <c r="A141" s="560" t="s">
        <v>448</v>
      </c>
      <c r="B141" s="562">
        <f>-B135+B136+B137-B138+B139+B140</f>
        <v>439.005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5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239.77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75" thickBot="1">
      <c r="A145" s="425" t="s">
        <v>454</v>
      </c>
      <c r="B145" s="324">
        <f>PGL_Requirements!B7/1000</f>
        <v>10.452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75" thickBot="1">
      <c r="A146" s="425" t="s">
        <v>455</v>
      </c>
      <c r="B146" s="324">
        <f>PGL_Supplies!H7/1000</f>
        <v>0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5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75" thickBot="1">
      <c r="A148" s="425" t="s">
        <v>456</v>
      </c>
      <c r="B148" s="324">
        <f>PGL_Requirements!Q7/1000</f>
        <v>0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5" thickBot="1">
      <c r="A149" s="519" t="s">
        <v>457</v>
      </c>
      <c r="B149" s="520">
        <f>B144+B146</f>
        <v>239.77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75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5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5.75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75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75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75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5" thickBot="1">
      <c r="A159" s="425" t="s">
        <v>109</v>
      </c>
      <c r="B159" s="324">
        <f>PGL_Supplies!AD7/1000</f>
        <v>196.22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75" thickBot="1">
      <c r="A160" s="425" t="s">
        <v>394</v>
      </c>
      <c r="B160" s="612">
        <f>PGL_Supplies!Y7/1000</f>
        <v>160.43199999999999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5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5" thickBot="1">
      <c r="A162" s="399" t="s">
        <v>457</v>
      </c>
      <c r="B162" s="613">
        <f>B154+B156+B158+B159+B160-B153-B155-B157-B161</f>
        <v>356.65199999999999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.75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75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36956.45237939815</v>
      </c>
      <c r="F22" s="164" t="s">
        <v>272</v>
      </c>
      <c r="G22" s="191">
        <f ca="1">NOW()</f>
        <v>36956.45237939815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75" thickBot="1"/>
    <row r="26" spans="1:9" ht="15.75" thickBot="1">
      <c r="B26" s="209" t="s">
        <v>11</v>
      </c>
      <c r="C26" s="164" t="s">
        <v>276</v>
      </c>
    </row>
    <row r="27" spans="1:9" ht="15.75" thickBot="1">
      <c r="B27" s="209" t="s">
        <v>11</v>
      </c>
      <c r="C27" s="164" t="s">
        <v>277</v>
      </c>
    </row>
    <row r="28" spans="1:9" ht="15.75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15000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75">
      <c r="D11" s="197" t="s">
        <v>264</v>
      </c>
    </row>
    <row r="12" spans="1:10" ht="15.75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75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36956.45237939815</v>
      </c>
      <c r="F22" s="164" t="s">
        <v>272</v>
      </c>
      <c r="G22" s="191">
        <f ca="1">NOW()</f>
        <v>36956.45237939815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75" thickBot="1"/>
    <row r="26" spans="2:9" ht="15.75" thickBot="1">
      <c r="B26" s="209" t="s">
        <v>11</v>
      </c>
      <c r="C26" s="164" t="s">
        <v>276</v>
      </c>
    </row>
    <row r="27" spans="2:9" ht="15.75" thickBot="1">
      <c r="B27" s="209" t="s">
        <v>11</v>
      </c>
      <c r="C27" s="164" t="s">
        <v>277</v>
      </c>
    </row>
    <row r="28" spans="2:9" ht="15.75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75">
      <c r="B34" s="164" t="s">
        <v>279</v>
      </c>
      <c r="E34" s="190">
        <v>0</v>
      </c>
      <c r="F34" t="s">
        <v>280</v>
      </c>
    </row>
    <row r="36" spans="2:8" ht="15.75">
      <c r="B36" s="164" t="s">
        <v>281</v>
      </c>
      <c r="E36" s="190">
        <v>0</v>
      </c>
      <c r="F36" t="s">
        <v>280</v>
      </c>
    </row>
    <row r="38" spans="2:8" ht="15.75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75">
      <c r="E39" s="166">
        <f>+E38+1</f>
        <v>35917</v>
      </c>
      <c r="F39" s="190">
        <v>0</v>
      </c>
      <c r="G39" t="s">
        <v>280</v>
      </c>
    </row>
    <row r="40" spans="2:8" ht="15.75">
      <c r="E40" s="166">
        <f>+E39+1</f>
        <v>35918</v>
      </c>
      <c r="F40" s="190">
        <v>0</v>
      </c>
      <c r="G40" t="s">
        <v>280</v>
      </c>
    </row>
    <row r="41" spans="2:8" ht="15.75">
      <c r="E41" s="166">
        <f>+E40+1</f>
        <v>35919</v>
      </c>
      <c r="F41" s="190">
        <v>0</v>
      </c>
      <c r="G41" t="s">
        <v>280</v>
      </c>
    </row>
    <row r="42" spans="2:8" ht="15.75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36955</v>
      </c>
      <c r="C5" s="15"/>
      <c r="D5" s="22" t="s">
        <v>290</v>
      </c>
      <c r="E5" s="23">
        <f>Weather_Input!B5</f>
        <v>28</v>
      </c>
      <c r="F5" s="24" t="s">
        <v>291</v>
      </c>
      <c r="G5" s="25">
        <f>Weather_Input!H5</f>
        <v>42</v>
      </c>
      <c r="H5" s="26" t="s">
        <v>292</v>
      </c>
      <c r="I5" s="27">
        <f ca="1">G5-(VLOOKUP(B5,DD_Normal_Data,CELL("Col",B6),FALSE))</f>
        <v>11</v>
      </c>
    </row>
    <row r="6" spans="1:109" ht="15">
      <c r="A6" s="18"/>
      <c r="B6" s="21"/>
      <c r="C6" s="15"/>
      <c r="D6" s="22" t="s">
        <v>176</v>
      </c>
      <c r="E6" s="23">
        <f>Weather_Input!C5</f>
        <v>21</v>
      </c>
      <c r="F6" s="24" t="s">
        <v>293</v>
      </c>
      <c r="G6" s="25">
        <f>Weather_Input!F5</f>
        <v>170</v>
      </c>
      <c r="H6" s="26" t="s">
        <v>294</v>
      </c>
      <c r="I6" s="27">
        <f ca="1">G6-(VLOOKUP(B5,DD_Normal_Data,CELL("Col",C7),FALSE))</f>
        <v>9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24.7</v>
      </c>
      <c r="F7" s="24" t="s">
        <v>296</v>
      </c>
      <c r="G7" s="25">
        <f>Weather_Input!G5</f>
        <v>5255</v>
      </c>
      <c r="H7" s="26" t="s">
        <v>296</v>
      </c>
      <c r="I7" s="123">
        <f ca="1">G7-(VLOOKUP(B5,DD_Normal_Data,CELL("Col",D4),FALSE))</f>
        <v>299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MOSTLY CLOUDY AND WINDY. FLURRIES AT TIMES. HIGH IN THE 30S. WINDS 20 TO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30 MPH. CLOUDY AND WINDY AT NIGHT. LOW NEAR 20. NW WINDS 15 TO 25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36956</v>
      </c>
      <c r="C10" s="15"/>
      <c r="D10" s="153" t="s">
        <v>290</v>
      </c>
      <c r="E10" s="23">
        <f>Weather_Input!B6</f>
        <v>35</v>
      </c>
      <c r="F10" s="24" t="s">
        <v>291</v>
      </c>
      <c r="G10" s="25">
        <f>IF(E12&lt;65,65-(Weather_Input!B6+Weather_Input!C6)/2,0)</f>
        <v>37</v>
      </c>
      <c r="H10" s="26" t="s">
        <v>292</v>
      </c>
      <c r="I10" s="27">
        <f ca="1">G10-(VLOOKUP(B10,DD_Normal_Data,CELL("Col",B11),FALSE))</f>
        <v>6</v>
      </c>
    </row>
    <row r="11" spans="1:109" ht="15">
      <c r="A11" s="18"/>
      <c r="B11" s="21"/>
      <c r="C11" s="15"/>
      <c r="D11" s="22" t="s">
        <v>176</v>
      </c>
      <c r="E11" s="23">
        <f>Weather_Input!C6</f>
        <v>21</v>
      </c>
      <c r="F11" s="24" t="s">
        <v>293</v>
      </c>
      <c r="G11" s="25">
        <f>IF(DAY(B10)=1,G10,G6+G10)</f>
        <v>207</v>
      </c>
      <c r="H11" s="30" t="s">
        <v>294</v>
      </c>
      <c r="I11" s="27">
        <f ca="1">G11-(VLOOKUP(B10,DD_Normal_Data,CELL("Col",C12),FALSE))</f>
        <v>15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28</v>
      </c>
      <c r="F12" s="24" t="s">
        <v>296</v>
      </c>
      <c r="G12" s="25">
        <f>IF(AND(DAY(B10)=1,MONTH(B10)=8),G10,G7+G10)</f>
        <v>5292</v>
      </c>
      <c r="H12" s="26" t="s">
        <v>296</v>
      </c>
      <c r="I12" s="27">
        <f ca="1">G12-(VLOOKUP(B10,DD_Normal_Data,CELL("Col",D9),FALSE))</f>
        <v>305</v>
      </c>
    </row>
    <row r="13" spans="1:109" ht="15">
      <c r="A13" s="18"/>
      <c r="B13" s="21"/>
      <c r="C13" s="15"/>
      <c r="D13" s="32" t="str">
        <f>IF(Weather_Input!I6=""," ",Weather_Input!I6)</f>
        <v xml:space="preserve">  PARTLY CLOUDY.  WIND  NW  10 TO 20 MPH.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 TONIGHT  FAIR.  LOW AROUND  20.  WIND  NE  5  TO 10 MPH.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36957</v>
      </c>
      <c r="C15" s="15"/>
      <c r="D15" s="22" t="s">
        <v>290</v>
      </c>
      <c r="E15" s="23">
        <f>Weather_Input!B7</f>
        <v>37</v>
      </c>
      <c r="F15" s="24" t="s">
        <v>291</v>
      </c>
      <c r="G15" s="25">
        <f>IF(E17&lt;65,65-(Weather_Input!B7+Weather_Input!C7)/2,0)</f>
        <v>34</v>
      </c>
      <c r="H15" s="26" t="s">
        <v>292</v>
      </c>
      <c r="I15" s="27">
        <f ca="1">G15-(VLOOKUP(B15,DD_Normal_Data,CELL("Col",B16),FALSE))</f>
        <v>3</v>
      </c>
    </row>
    <row r="16" spans="1:109" ht="15">
      <c r="A16" s="18"/>
      <c r="B16" s="20"/>
      <c r="C16" s="15"/>
      <c r="D16" s="22" t="s">
        <v>176</v>
      </c>
      <c r="E16" s="23">
        <f>Weather_Input!C7</f>
        <v>25</v>
      </c>
      <c r="F16" s="24" t="s">
        <v>293</v>
      </c>
      <c r="G16" s="25">
        <f>IF(DAY(B15)=1,G15,G11+G15)</f>
        <v>241</v>
      </c>
      <c r="H16" s="30" t="s">
        <v>294</v>
      </c>
      <c r="I16" s="27">
        <f ca="1">G16-(VLOOKUP(B15,DD_Normal_Data,CELL("Col",C17),FALSE))</f>
        <v>18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31</v>
      </c>
      <c r="F17" s="24" t="s">
        <v>296</v>
      </c>
      <c r="G17" s="25">
        <f>IF(AND(DAY(B15)=1,MONTH(B15)=8),G15,G12+G15)</f>
        <v>5326</v>
      </c>
      <c r="H17" s="26" t="s">
        <v>296</v>
      </c>
      <c r="I17" s="27">
        <f ca="1">G17-(VLOOKUP(B15,DD_Normal_Data,CELL("Col",D14),FALSE))</f>
        <v>308</v>
      </c>
    </row>
    <row r="18" spans="1:109" ht="15">
      <c r="A18" s="18"/>
      <c r="B18" s="20"/>
      <c r="C18" s="15"/>
      <c r="D18" s="32" t="str">
        <f>IF(Weather_Input!I7=""," ",Weather_Input!I7)</f>
        <v xml:space="preserve">   PARTLY  CLOUDY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36958</v>
      </c>
      <c r="C20" s="15"/>
      <c r="D20" s="22" t="s">
        <v>290</v>
      </c>
      <c r="E20" s="23">
        <f>Weather_Input!B8</f>
        <v>36</v>
      </c>
      <c r="F20" s="24" t="s">
        <v>291</v>
      </c>
      <c r="G20" s="25">
        <f>IF(E22&lt;65,65-(Weather_Input!B8+Weather_Input!C8)/2,0)</f>
        <v>36</v>
      </c>
      <c r="H20" s="26" t="s">
        <v>292</v>
      </c>
      <c r="I20" s="27">
        <f ca="1">G20-(VLOOKUP(B20,DD_Normal_Data,CELL("Col",B21),FALSE))</f>
        <v>6</v>
      </c>
    </row>
    <row r="21" spans="1:109" ht="15">
      <c r="A21" s="18"/>
      <c r="B21" s="21"/>
      <c r="C21" s="15"/>
      <c r="D21" s="22" t="s">
        <v>176</v>
      </c>
      <c r="E21" s="23">
        <f>Weather_Input!C8</f>
        <v>22</v>
      </c>
      <c r="F21" s="24" t="s">
        <v>293</v>
      </c>
      <c r="G21" s="25">
        <f>IF(DAY(B20)=1,G20,G16+G20)</f>
        <v>277</v>
      </c>
      <c r="H21" s="30" t="s">
        <v>294</v>
      </c>
      <c r="I21" s="27">
        <f ca="1">G21-(VLOOKUP(B20,DD_Normal_Data,CELL("Col",C22),FALSE))</f>
        <v>24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29</v>
      </c>
      <c r="F22" s="24" t="s">
        <v>296</v>
      </c>
      <c r="G22" s="25">
        <f>IF(AND(DAY(B20)=1,MONTH(B20)=8),G20,G17+G20)</f>
        <v>5362</v>
      </c>
      <c r="H22" s="26" t="s">
        <v>296</v>
      </c>
      <c r="I22" s="27">
        <f ca="1">G22-(VLOOKUP(B20,DD_Normal_Data,CELL("Col",D19),FALSE))</f>
        <v>314</v>
      </c>
    </row>
    <row r="23" spans="1:109" ht="15">
      <c r="A23" s="18"/>
      <c r="B23" s="21"/>
      <c r="C23" s="15"/>
      <c r="D23" s="32" t="str">
        <f>IF(Weather_Input!I8=""," ",Weather_Input!I8)</f>
        <v xml:space="preserve">  MOSTLY CLOUDY.  A  CHANCE  OF  LIGHT  SNOW  OR FLURRIES. 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36959</v>
      </c>
      <c r="C25" s="15"/>
      <c r="D25" s="22" t="s">
        <v>290</v>
      </c>
      <c r="E25" s="23">
        <f>Weather_Input!B9</f>
        <v>33</v>
      </c>
      <c r="F25" s="24" t="s">
        <v>291</v>
      </c>
      <c r="G25" s="25">
        <f>IF(E27&lt;65,65-(Weather_Input!B9+Weather_Input!C9)/2,0)</f>
        <v>38.5</v>
      </c>
      <c r="H25" s="26" t="s">
        <v>292</v>
      </c>
      <c r="I25" s="27">
        <f ca="1">G25-(VLOOKUP(B25,DD_Normal_Data,CELL("Col",B26),FALSE))</f>
        <v>8.5</v>
      </c>
    </row>
    <row r="26" spans="1:109" ht="15">
      <c r="A26" s="18"/>
      <c r="B26" s="21"/>
      <c r="C26" s="15"/>
      <c r="D26" s="22" t="s">
        <v>176</v>
      </c>
      <c r="E26" s="23">
        <f>Weather_Input!C9</f>
        <v>20</v>
      </c>
      <c r="F26" s="24" t="s">
        <v>293</v>
      </c>
      <c r="G26" s="25">
        <f>IF(DAY(B25)=1,G25,G21+G25)</f>
        <v>315.5</v>
      </c>
      <c r="H26" s="30" t="s">
        <v>294</v>
      </c>
      <c r="I26" s="27">
        <f ca="1">G26-(VLOOKUP(B25,DD_Normal_Data,CELL("Col",C27),FALSE))</f>
        <v>32.5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26.5</v>
      </c>
      <c r="F27" s="24" t="s">
        <v>296</v>
      </c>
      <c r="G27" s="25">
        <f>IF(AND(DAY(B25)=1,MONTH(B25)=8),G25,G22+G25)</f>
        <v>5400.5</v>
      </c>
      <c r="H27" s="26" t="s">
        <v>296</v>
      </c>
      <c r="I27" s="27">
        <f ca="1">G27-(VLOOKUP(B25,DD_Normal_Data,CELL("Col",D24),FALSE))</f>
        <v>322.5</v>
      </c>
    </row>
    <row r="28" spans="1:109" ht="15">
      <c r="A28" s="18"/>
      <c r="B28" s="20"/>
      <c r="C28" s="15"/>
      <c r="D28" s="32" t="str">
        <f>IF(Weather_Input!I9=""," ",Weather_Input!I9)</f>
        <v xml:space="preserve">   PARTLY  CLOUDY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36960</v>
      </c>
      <c r="C30" s="15"/>
      <c r="D30" s="22" t="s">
        <v>290</v>
      </c>
      <c r="E30" s="23">
        <f>Weather_Input!B10</f>
        <v>40</v>
      </c>
      <c r="F30" s="24" t="s">
        <v>291</v>
      </c>
      <c r="G30" s="25">
        <f>IF(E32&lt;65,65-(Weather_Input!B10+Weather_Input!C10)/2,0)</f>
        <v>31</v>
      </c>
      <c r="H30" s="26" t="s">
        <v>292</v>
      </c>
      <c r="I30" s="27">
        <f ca="1">G30-(VLOOKUP(B30,DD_Normal_Data,CELL("Col",B31),FALSE))</f>
        <v>1</v>
      </c>
    </row>
    <row r="31" spans="1:109" ht="15">
      <c r="A31" s="15"/>
      <c r="B31" s="15"/>
      <c r="C31" s="15"/>
      <c r="D31" s="22" t="s">
        <v>176</v>
      </c>
      <c r="E31" s="23">
        <f>Weather_Input!C10</f>
        <v>28</v>
      </c>
      <c r="F31" s="24" t="s">
        <v>293</v>
      </c>
      <c r="G31" s="25">
        <f>IF(DAY(B30)=1,G30,G26+G30)</f>
        <v>346.5</v>
      </c>
      <c r="H31" s="30" t="s">
        <v>294</v>
      </c>
      <c r="I31" s="27">
        <f ca="1">G31-(VLOOKUP(B30,DD_Normal_Data,CELL("Col",C32),FALSE))</f>
        <v>33.5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34</v>
      </c>
      <c r="F32" s="24" t="s">
        <v>296</v>
      </c>
      <c r="G32" s="25">
        <f>IF(AND(DAY(B30)=1,MONTH(B30)=8),G30,G27+G30)</f>
        <v>5431.5</v>
      </c>
      <c r="H32" s="26" t="s">
        <v>296</v>
      </c>
      <c r="I32" s="27">
        <f ca="1">G32-(VLOOKUP(B30,DD_Normal_Data,CELL("Col",D29),FALSE))</f>
        <v>323.5</v>
      </c>
    </row>
    <row r="33" spans="1:9" ht="15">
      <c r="A33" s="15"/>
      <c r="B33" s="34"/>
      <c r="C33" s="15"/>
      <c r="D33" s="32" t="str">
        <f>IF(Weather_Input!I10=""," ",Weather_Input!I10)</f>
        <v xml:space="preserve">  A  CHANCE  OF  SNOW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36955</v>
      </c>
      <c r="C36" s="91">
        <f>B10</f>
        <v>36956</v>
      </c>
      <c r="D36" s="91">
        <f>B15</f>
        <v>36957</v>
      </c>
      <c r="E36" s="91">
        <f xml:space="preserve">       B20</f>
        <v>36958</v>
      </c>
      <c r="F36" s="91">
        <f>B25</f>
        <v>36959</v>
      </c>
      <c r="G36" s="91">
        <f>B30</f>
        <v>36960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1195</v>
      </c>
      <c r="C37" s="41">
        <f ca="1">(VLOOKUP(C36,PGL_Sendouts,(CELL("COL",PGL_Deliveries!C7))))/1000</f>
        <v>1125</v>
      </c>
      <c r="D37" s="41">
        <f ca="1">(VLOOKUP(D36,PGL_Sendouts,(CELL("COL",PGL_Deliveries!C8))))/1000</f>
        <v>1045</v>
      </c>
      <c r="E37" s="41">
        <f ca="1">(VLOOKUP(E36,PGL_Sendouts,(CELL("COL",PGL_Deliveries!C9))))/1000</f>
        <v>1075</v>
      </c>
      <c r="F37" s="41">
        <f ca="1">(VLOOKUP(F36,PGL_Sendouts,(CELL("COL",PGL_Deliveries!C10))))/1000</f>
        <v>1090</v>
      </c>
      <c r="G37" s="41">
        <f ca="1">(VLOOKUP(G36,PGL_Sendouts,(CELL("COL",PGL_Deliveries!C10))))/1000</f>
        <v>965</v>
      </c>
      <c r="H37" s="14"/>
      <c r="I37" s="15"/>
    </row>
    <row r="38" spans="1:9" ht="15">
      <c r="A38" s="15" t="s">
        <v>301</v>
      </c>
      <c r="B38" s="41">
        <f>PGL_6_Day_Report!D30</f>
        <v>1240.4290000000001</v>
      </c>
      <c r="C38" s="41">
        <f>PGL_6_Day_Report!E30</f>
        <v>1135.6600000000001</v>
      </c>
      <c r="D38" s="41">
        <f>PGL_6_Day_Report!F30</f>
        <v>1095.6600000000001</v>
      </c>
      <c r="E38" s="41">
        <f>PGL_6_Day_Report!G30</f>
        <v>1125.6600000000001</v>
      </c>
      <c r="F38" s="41">
        <f>PGL_6_Day_Report!H30</f>
        <v>1344.41</v>
      </c>
      <c r="G38" s="41">
        <f>PGL_6_Day_Report!I30</f>
        <v>1219.4100000000001</v>
      </c>
      <c r="H38" s="14"/>
      <c r="I38" s="15"/>
    </row>
    <row r="39" spans="1:9" ht="15">
      <c r="A39" s="42" t="s">
        <v>109</v>
      </c>
      <c r="B39" s="41">
        <f>SUM(PGL_Supplies!Z7:AE7)/1000</f>
        <v>692.14599999999996</v>
      </c>
      <c r="C39" s="41">
        <f>SUM(PGL_Supplies!Z8:AE8)/1000</f>
        <v>660.97400000000005</v>
      </c>
      <c r="D39" s="41">
        <f>SUM(PGL_Supplies!Z9:AE9)/1000</f>
        <v>660.97400000000005</v>
      </c>
      <c r="E39" s="41">
        <f>SUM(PGL_Supplies!Z10:AE10)/1000</f>
        <v>660.97400000000005</v>
      </c>
      <c r="F39" s="41">
        <f>SUM(PGL_Supplies!Z11:AE11)/1000</f>
        <v>660.97400000000005</v>
      </c>
      <c r="G39" s="41">
        <f>SUM(PGL_Supplies!Z12:AE12)/1000</f>
        <v>660.97400000000005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24.331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0.66</v>
      </c>
      <c r="C41" s="41">
        <f>SUM(PGL_Requirements!R7:U7)/1000</f>
        <v>0.66</v>
      </c>
      <c r="D41" s="41">
        <f>SUM(PGL_Requirements!R7:U7)/1000</f>
        <v>0.66</v>
      </c>
      <c r="E41" s="41">
        <f>SUM(PGL_Requirements!R7:U7)/1000</f>
        <v>0.66</v>
      </c>
      <c r="F41" s="41">
        <f>SUM(PGL_Requirements!R7:U7)/1000</f>
        <v>0.66</v>
      </c>
      <c r="G41" s="41">
        <f>SUM(PGL_Requirements!R7:U7)/1000</f>
        <v>0.66</v>
      </c>
      <c r="H41" s="14"/>
      <c r="I41" s="15"/>
    </row>
    <row r="42" spans="1:9" ht="15">
      <c r="A42" s="15" t="s">
        <v>132</v>
      </c>
      <c r="B42" s="41">
        <f>PGL_Supplies!V7/1000</f>
        <v>311.20100000000002</v>
      </c>
      <c r="C42" s="41">
        <f>PGL_Supplies!V8/1000</f>
        <v>271.28500000000003</v>
      </c>
      <c r="D42" s="41">
        <f>PGL_Supplies!V9/1000</f>
        <v>271.28500000000003</v>
      </c>
      <c r="E42" s="41">
        <f>PGL_Supplies!V10/1000</f>
        <v>271.28500000000003</v>
      </c>
      <c r="F42" s="41">
        <f>PGL_Supplies!V11/1000</f>
        <v>271.28500000000003</v>
      </c>
      <c r="G42" s="41">
        <f>PGL_Supplies!V12/1000</f>
        <v>271.28500000000003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36955</v>
      </c>
      <c r="C44" s="91">
        <f t="shared" si="0"/>
        <v>36956</v>
      </c>
      <c r="D44" s="91">
        <f t="shared" si="0"/>
        <v>36957</v>
      </c>
      <c r="E44" s="91">
        <f t="shared" si="0"/>
        <v>36958</v>
      </c>
      <c r="F44" s="91">
        <f t="shared" si="0"/>
        <v>36959</v>
      </c>
      <c r="G44" s="91">
        <f t="shared" si="0"/>
        <v>36960</v>
      </c>
      <c r="H44" s="14"/>
      <c r="I44" s="15"/>
    </row>
    <row r="45" spans="1:9" ht="15">
      <c r="A45" s="15" t="s">
        <v>56</v>
      </c>
      <c r="B45" s="41">
        <f ca="1">NSG_6_Day_Report!D6</f>
        <v>203</v>
      </c>
      <c r="C45" s="41">
        <f ca="1">NSG_6_Day_Report!E6</f>
        <v>189</v>
      </c>
      <c r="D45" s="41">
        <f ca="1">NSG_6_Day_Report!F6</f>
        <v>173</v>
      </c>
      <c r="E45" s="41">
        <f ca="1">NSG_6_Day_Report!G6</f>
        <v>179</v>
      </c>
      <c r="F45" s="41">
        <f ca="1">NSG_6_Day_Report!H6</f>
        <v>184</v>
      </c>
      <c r="G45" s="41">
        <f ca="1">NSG_6_Day_Report!I6</f>
        <v>156</v>
      </c>
      <c r="H45" s="14"/>
      <c r="I45" s="15"/>
    </row>
    <row r="46" spans="1:9" ht="15">
      <c r="A46" s="42" t="s">
        <v>301</v>
      </c>
      <c r="B46" s="41">
        <f ca="1">NSG_6_Day_Report!D19</f>
        <v>208.03399999999999</v>
      </c>
      <c r="C46" s="41">
        <f ca="1">NSG_6_Day_Report!E19</f>
        <v>193.55</v>
      </c>
      <c r="D46" s="41">
        <f ca="1">NSG_6_Day_Report!F19</f>
        <v>173</v>
      </c>
      <c r="E46" s="41">
        <f ca="1">NSG_6_Day_Report!G19</f>
        <v>179</v>
      </c>
      <c r="F46" s="41">
        <f ca="1">NSG_6_Day_Report!H19</f>
        <v>184</v>
      </c>
      <c r="G46" s="41">
        <f ca="1">NSG_6_Day_Report!I19</f>
        <v>156</v>
      </c>
      <c r="H46" s="14"/>
      <c r="I46" s="15"/>
    </row>
    <row r="47" spans="1:9" ht="15">
      <c r="A47" s="42" t="s">
        <v>109</v>
      </c>
      <c r="B47" s="41">
        <f>SUM(NSG_Supplies!P7:R7)/1000</f>
        <v>143.429</v>
      </c>
      <c r="C47" s="41">
        <f>SUM(NSG_Supplies!P8:R8)/1000</f>
        <v>143.554</v>
      </c>
      <c r="D47" s="41">
        <f>SUM(NSG_Supplies!P9:R9)/1000</f>
        <v>143.554</v>
      </c>
      <c r="E47" s="41">
        <f>SUM(NSG_Supplies!P10:R10)/1000</f>
        <v>143.554</v>
      </c>
      <c r="F47" s="41">
        <f>SUM(NSG_Supplies!P11:R11)/1000</f>
        <v>143.554</v>
      </c>
      <c r="G47" s="41">
        <f>SUM(NSG_Supplies!P12:R12)/1000</f>
        <v>143.554</v>
      </c>
      <c r="H47" s="14"/>
      <c r="I47" s="15"/>
    </row>
    <row r="48" spans="1:9" ht="15">
      <c r="A48" s="42" t="s">
        <v>302</v>
      </c>
      <c r="B48" s="41">
        <f>SUM(NSG_Supplies!I7:M7)/1000</f>
        <v>60</v>
      </c>
      <c r="C48" s="41">
        <f>SUM(NSG_Supplies!I8:M8)/1000</f>
        <v>50</v>
      </c>
      <c r="D48" s="41">
        <f>SUM(NSG_Supplies!I9:M9)/1000</f>
        <v>50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33.42</v>
      </c>
      <c r="C50" s="41">
        <f>NSG_Supplies!S8/1000</f>
        <v>33.545000000000002</v>
      </c>
      <c r="D50" s="41">
        <f>NSG_Supplies!S9/1000</f>
        <v>33.545000000000002</v>
      </c>
      <c r="E50" s="41">
        <f>NSG_Supplies!S10/1000</f>
        <v>33.545000000000002</v>
      </c>
      <c r="F50" s="41">
        <f>NSG_Supplies!S11/1000</f>
        <v>33.545000000000002</v>
      </c>
      <c r="G50" s="41">
        <f>NSG_Supplies!S12/1000</f>
        <v>33.545000000000002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36955</v>
      </c>
      <c r="C52" s="91">
        <f t="shared" si="1"/>
        <v>36956</v>
      </c>
      <c r="D52" s="91">
        <f t="shared" si="1"/>
        <v>36957</v>
      </c>
      <c r="E52" s="91">
        <f t="shared" si="1"/>
        <v>36958</v>
      </c>
      <c r="F52" s="91">
        <f t="shared" si="1"/>
        <v>36959</v>
      </c>
      <c r="G52" s="91">
        <f t="shared" si="1"/>
        <v>36960</v>
      </c>
      <c r="H52" s="14"/>
      <c r="I52" s="15"/>
    </row>
    <row r="53" spans="1:9" ht="15">
      <c r="A53" s="94" t="s">
        <v>305</v>
      </c>
      <c r="B53" s="41">
        <f>PGL_Requirements!P7/1000</f>
        <v>0</v>
      </c>
      <c r="C53" s="41">
        <f>PGL_Requirements!P8/1000</f>
        <v>0</v>
      </c>
      <c r="D53" s="41">
        <f>PGL_Requirements!P9/1000</f>
        <v>0</v>
      </c>
      <c r="E53" s="41">
        <f>PGL_Requirements!P10/1000</f>
        <v>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239.77</v>
      </c>
      <c r="C54" s="41">
        <f>PGL_Supplies!M8/1000</f>
        <v>220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60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42"/>
    </row>
    <row r="3" spans="1:8" ht="15.75" thickBot="1">
      <c r="A3" s="98" t="s">
        <v>311</v>
      </c>
    </row>
    <row r="4" spans="1:8">
      <c r="A4" s="99"/>
      <c r="B4" s="1143" t="str">
        <f>Six_Day_Summary!A10</f>
        <v>Tuesday</v>
      </c>
      <c r="C4" s="1144" t="str">
        <f>Six_Day_Summary!A15</f>
        <v>Wednesday</v>
      </c>
      <c r="D4" s="1144" t="str">
        <f>Six_Day_Summary!A20</f>
        <v>Thursday</v>
      </c>
      <c r="E4" s="1144" t="str">
        <f>Six_Day_Summary!A25</f>
        <v>Friday</v>
      </c>
      <c r="F4" s="1145" t="str">
        <f>Six_Day_Summary!A30</f>
        <v>Saturday</v>
      </c>
      <c r="G4" s="100"/>
    </row>
    <row r="5" spans="1:8">
      <c r="A5" s="103" t="s">
        <v>312</v>
      </c>
      <c r="B5" s="1146">
        <f>Weather_Input!A6</f>
        <v>36956</v>
      </c>
      <c r="C5" s="1147">
        <f>Weather_Input!A7</f>
        <v>36957</v>
      </c>
      <c r="D5" s="1147">
        <f>Weather_Input!A8</f>
        <v>36958</v>
      </c>
      <c r="E5" s="1147">
        <f>Weather_Input!A9</f>
        <v>36959</v>
      </c>
      <c r="F5" s="1148">
        <f>Weather_Input!A10</f>
        <v>36960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243.48</v>
      </c>
      <c r="C6" s="1149">
        <f>PGL_Supplies!AC9/1000+PGL_Supplies!L9/1000-PGL_Requirements!O9/1000+C15-PGL_Requirements!T9/1000</f>
        <v>180.95</v>
      </c>
      <c r="D6" s="1149">
        <f>PGL_Supplies!AC10/1000+PGL_Supplies!L10/1000-PGL_Requirements!O10/1000+D15-PGL_Requirements!T10/1000</f>
        <v>180.95</v>
      </c>
      <c r="E6" s="1149">
        <f>PGL_Supplies!AC11/1000+PGL_Supplies!L11/1000-PGL_Requirements!O11/1000+E15-PGL_Requirements!T11/1000</f>
        <v>180.95</v>
      </c>
      <c r="F6" s="1150">
        <f>PGL_Supplies!AC12/1000+PGL_Supplies!L12/1000-PGL_Requirements!O12/1000+F15-PGL_Requirements!T12/1000</f>
        <v>180.95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100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75" thickBot="1">
      <c r="A17" s="102" t="s">
        <v>542</v>
      </c>
      <c r="B17" s="1156">
        <v>50</v>
      </c>
      <c r="C17" s="1157"/>
      <c r="D17" s="1157"/>
      <c r="E17" s="1157"/>
      <c r="F17" s="1158"/>
      <c r="G17" s="100"/>
    </row>
    <row r="20" spans="1:7" ht="15.75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Tuesday</v>
      </c>
      <c r="C21" s="1159" t="str">
        <f t="shared" si="0"/>
        <v>Wednesday</v>
      </c>
      <c r="D21" s="1159" t="str">
        <f t="shared" si="0"/>
        <v>Thursday</v>
      </c>
      <c r="E21" s="1159" t="str">
        <f t="shared" si="0"/>
        <v>Friday</v>
      </c>
      <c r="F21" s="1160" t="str">
        <f t="shared" si="0"/>
        <v>Saturday</v>
      </c>
      <c r="G21" s="100"/>
    </row>
    <row r="22" spans="1:7">
      <c r="A22" s="107" t="s">
        <v>312</v>
      </c>
      <c r="B22" s="1161">
        <f t="shared" si="0"/>
        <v>36956</v>
      </c>
      <c r="C22" s="1161">
        <f t="shared" si="0"/>
        <v>36957</v>
      </c>
      <c r="D22" s="1161">
        <f t="shared" si="0"/>
        <v>36958</v>
      </c>
      <c r="E22" s="1161">
        <f t="shared" si="0"/>
        <v>36959</v>
      </c>
      <c r="F22" s="1162">
        <f t="shared" si="0"/>
        <v>36960</v>
      </c>
      <c r="G22" s="100"/>
    </row>
    <row r="23" spans="1:7">
      <c r="A23" s="100" t="s">
        <v>313</v>
      </c>
      <c r="B23" s="1155">
        <f>NSG_Supplies!R8/1000+NSG_Supplies!F8/1000-NSG_Requirements!H8/1000</f>
        <v>119.004</v>
      </c>
      <c r="C23" s="1155">
        <f>NSG_Supplies!R9/1000+NSG_Supplies!F9/1000-NSG_Requirements!H9/1000</f>
        <v>123.554</v>
      </c>
      <c r="D23" s="1155">
        <f>NSG_Supplies!R10/1000+NSG_Supplies!F10/1000-NSG_Requirements!H10/1000</f>
        <v>123.554</v>
      </c>
      <c r="E23" s="1155">
        <f>NSG_Supplies!R12/1000+NSG_Supplies!F11/1000-NSG_Requirements!H11/1000</f>
        <v>123.554</v>
      </c>
      <c r="F23" s="1150">
        <f>NSG_Supplies!R12/1000+NSG_Supplies!F12/1000-NSG_Requirements!H12/1000</f>
        <v>123.554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75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5"/>
      <c r="B1" s="811" t="s">
        <v>382</v>
      </c>
      <c r="C1" s="910">
        <f>Weather_Input!A6</f>
        <v>36956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0</v>
      </c>
      <c r="I4" s="176">
        <f>AVERAGE(H4/1.025)</f>
        <v>0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220</v>
      </c>
      <c r="H5" s="168"/>
      <c r="I5" s="1021">
        <f>AVERAGE(G5/1.025)</f>
        <v>214.63414634146343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787</v>
      </c>
      <c r="G6" s="909">
        <f>AVERAGE(G5/24)</f>
        <v>9.1666666666666661</v>
      </c>
      <c r="H6" s="430"/>
      <c r="I6" s="1082"/>
    </row>
    <row r="7" spans="1:11" ht="15.75" customHeight="1">
      <c r="B7" s="172" t="s">
        <v>374</v>
      </c>
      <c r="C7" s="154">
        <f>NSG_Supplies!L8/1000</f>
        <v>50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50</v>
      </c>
      <c r="D10" s="438"/>
      <c r="E10" s="440">
        <f>AVERAGE(C10/24)</f>
        <v>2.0833333333333335</v>
      </c>
      <c r="F10" s="172" t="s">
        <v>450</v>
      </c>
      <c r="G10" s="154">
        <f>PGL_Supplies!AB8/1000</f>
        <v>251.751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189.161</v>
      </c>
      <c r="D11" s="790"/>
      <c r="E11" s="1132"/>
      <c r="F11" s="435" t="s">
        <v>379</v>
      </c>
      <c r="G11" s="447">
        <f>G8+G10</f>
        <v>251.751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189.161</v>
      </c>
      <c r="D14" s="438"/>
      <c r="E14" s="440">
        <f>AVERAGE(C14/24)</f>
        <v>7.8817083333333331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70</v>
      </c>
      <c r="D15" s="60"/>
      <c r="E15" s="161"/>
      <c r="F15" s="783" t="s">
        <v>564</v>
      </c>
      <c r="G15" s="447">
        <f>G8+G10</f>
        <v>251.751</v>
      </c>
      <c r="H15" s="438"/>
      <c r="I15" s="440">
        <f>AVERAGE(G15/24)</f>
        <v>10.489625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70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70</v>
      </c>
      <c r="D20" s="441" t="s">
        <v>11</v>
      </c>
      <c r="E20" s="440">
        <f>AVERAGE(C20/24)</f>
        <v>2.9166666666666665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86.734999999999999</v>
      </c>
      <c r="D21" s="154" t="s">
        <v>11</v>
      </c>
      <c r="E21" s="161"/>
      <c r="F21" s="172" t="s">
        <v>109</v>
      </c>
      <c r="G21" s="154">
        <f>PGL_Supplies!AD8/1000</f>
        <v>71.537999999999997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86.734999999999999</v>
      </c>
      <c r="D22" s="434"/>
      <c r="E22" s="436"/>
      <c r="F22" s="435" t="s">
        <v>379</v>
      </c>
      <c r="G22" s="447">
        <f>G21</f>
        <v>71.537999999999997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86.734999999999999</v>
      </c>
      <c r="D25" s="438"/>
      <c r="E25" s="440">
        <f>AVERAGE(C25/24)</f>
        <v>3.6139583333333332</v>
      </c>
      <c r="F25" s="552" t="s">
        <v>556</v>
      </c>
      <c r="G25" s="906">
        <f>G22+G23-H24+G20</f>
        <v>71.537999999999997</v>
      </c>
      <c r="H25" s="430"/>
      <c r="I25" s="907">
        <f>AVERAGE(G25/24)</f>
        <v>2.98075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1047" customWidth="1"/>
    <col min="2" max="2" width="8.109375" style="1047" customWidth="1"/>
    <col min="3" max="3" width="7.88671875" style="1047" customWidth="1"/>
    <col min="4" max="4" width="5.88671875" style="1047" customWidth="1"/>
    <col min="5" max="5" width="4.44140625" style="1047" customWidth="1"/>
    <col min="6" max="6" width="5.21875" style="1047" customWidth="1"/>
    <col min="7" max="7" width="9" style="1047" customWidth="1"/>
    <col min="8" max="11" width="8.88671875" style="1047"/>
    <col min="12" max="12" width="14.88671875" style="1047" customWidth="1"/>
    <col min="13" max="13" width="5.6640625" style="1047" customWidth="1"/>
    <col min="14" max="16384" width="8.88671875" style="1047"/>
  </cols>
  <sheetData>
    <row r="1" spans="1:22" ht="22.5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36956</v>
      </c>
      <c r="I1" s="933"/>
      <c r="J1" s="935"/>
      <c r="K1" s="935"/>
    </row>
    <row r="2" spans="1:22" ht="16.5" customHeight="1">
      <c r="A2" s="953" t="s">
        <v>688</v>
      </c>
      <c r="C2" s="1048">
        <v>221</v>
      </c>
      <c r="F2" s="1049">
        <v>29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5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5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189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5" customHeight="1">
      <c r="A11" s="955">
        <f>Billy_Sheet!C20</f>
        <v>70</v>
      </c>
      <c r="B11" s="1053"/>
      <c r="H11" s="955">
        <f>NSG_Supplies!U8/1000</f>
        <v>0</v>
      </c>
      <c r="K11" s="936" t="s">
        <v>693</v>
      </c>
      <c r="L11" s="961">
        <f>SUM(K4+K17+K19+H11+H9-L9)</f>
        <v>4.0000000000190994E-3</v>
      </c>
      <c r="N11" s="936"/>
      <c r="O11" s="961"/>
      <c r="U11" s="935"/>
      <c r="V11" s="949"/>
    </row>
    <row r="12" spans="1:22" ht="14.45" customHeight="1">
      <c r="A12" s="933" t="s">
        <v>754</v>
      </c>
      <c r="H12" s="955"/>
      <c r="U12" s="935"/>
      <c r="V12" s="955"/>
    </row>
    <row r="13" spans="1:22" ht="14.45" customHeight="1">
      <c r="A13" s="1051">
        <f>PGL_Supplies!Y8/1000</f>
        <v>189.161</v>
      </c>
      <c r="H13" s="955"/>
      <c r="U13" s="935"/>
      <c r="V13" s="955"/>
    </row>
    <row r="14" spans="1:22" ht="14.45" customHeight="1">
      <c r="H14" s="955"/>
      <c r="U14" s="935"/>
      <c r="V14" s="955"/>
    </row>
    <row r="15" spans="1:22" ht="15.6" customHeight="1">
      <c r="B15" s="1047" t="s">
        <v>11</v>
      </c>
      <c r="C15" s="1054">
        <v>410</v>
      </c>
      <c r="F15" s="1054">
        <v>84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50</v>
      </c>
      <c r="N17" s="955"/>
    </row>
    <row r="18" spans="1:17" ht="15" customHeight="1">
      <c r="A18" s="941"/>
      <c r="C18" s="1054">
        <v>458</v>
      </c>
      <c r="D18" s="1056"/>
      <c r="E18" s="1056"/>
      <c r="F18" s="1049">
        <v>84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119.004</v>
      </c>
      <c r="N19" s="1059"/>
    </row>
    <row r="20" spans="1:17" ht="17.25" customHeight="1">
      <c r="A20" s="955">
        <f>Billy_Sheet!G15</f>
        <v>251.751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86.734999999999999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71.537999999999997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1125</v>
      </c>
      <c r="L26" s="933" t="s">
        <v>692</v>
      </c>
      <c r="M26" s="955">
        <f>NSG_Deliveries!C6/1000</f>
        <v>189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882.18500000000006</v>
      </c>
      <c r="L28" s="936" t="s">
        <v>746</v>
      </c>
      <c r="M28" s="961">
        <f>SUM(J2+K17+K19+H11+H9-M26)</f>
        <v>4.0000000000190994E-3</v>
      </c>
      <c r="N28" s="961"/>
    </row>
    <row r="29" spans="1:17">
      <c r="A29" s="955">
        <f>PGL_Supplies!M8/1000</f>
        <v>220</v>
      </c>
      <c r="B29" s="955"/>
      <c r="C29" s="936"/>
      <c r="D29" s="1062"/>
      <c r="F29" s="1114">
        <f>PGL_Requirements!A7</f>
        <v>36955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243.48</v>
      </c>
    </row>
    <row r="30" spans="1:17" ht="10.5" customHeight="1">
      <c r="A30" s="938"/>
      <c r="B30" s="955"/>
      <c r="C30" s="936"/>
      <c r="D30" s="955"/>
      <c r="F30" s="1114">
        <f>PGL_Requirements!A8</f>
        <v>36956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0.66499999999996362</v>
      </c>
    </row>
    <row r="32" spans="1:17">
      <c r="A32" s="955">
        <f>PGL_Supplies!H8/1000</f>
        <v>0</v>
      </c>
      <c r="G32" s="955">
        <f>PGL_Requirements!P8/1000</f>
        <v>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10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603</v>
      </c>
      <c r="F38" s="1054">
        <v>145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892.18500000000006</v>
      </c>
      <c r="B40" s="949"/>
      <c r="C40" s="948"/>
      <c r="D40" s="949"/>
      <c r="E40" s="949"/>
      <c r="F40" s="1064"/>
      <c r="G40" s="1064">
        <f>SUM(G30:G35)</f>
        <v>10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882.18500000000006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20</v>
      </c>
      <c r="C45" s="1067">
        <v>155</v>
      </c>
      <c r="D45" s="1068">
        <f>SUM(F2+F15)/2</f>
        <v>56.5</v>
      </c>
      <c r="E45" s="1069"/>
      <c r="F45" s="1070">
        <v>6.7000000000000004E-2</v>
      </c>
      <c r="G45" s="1071">
        <f>(C45-D45)*F45</f>
        <v>6.5995000000000008</v>
      </c>
      <c r="H45" s="1071">
        <f>(D45-B45)*F45</f>
        <v>2.4455</v>
      </c>
      <c r="I45" s="955"/>
      <c r="J45" s="1072"/>
    </row>
    <row r="46" spans="1:11">
      <c r="A46" s="935" t="s">
        <v>673</v>
      </c>
      <c r="B46" s="1073">
        <v>20</v>
      </c>
      <c r="C46" s="1067">
        <v>155</v>
      </c>
      <c r="D46" s="1068">
        <f>SUM(F18+F38)/2</f>
        <v>114.5</v>
      </c>
      <c r="E46" s="1069"/>
      <c r="F46" s="1070">
        <v>0.13900000000000001</v>
      </c>
      <c r="G46" s="1071">
        <f>(C46-D46)*F46</f>
        <v>5.6295000000000002</v>
      </c>
      <c r="H46" s="1071">
        <f>(D46-B46)*F46</f>
        <v>13.1355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315.5</v>
      </c>
      <c r="E47" s="1069"/>
      <c r="F47" s="1070">
        <v>0.14099999999999999</v>
      </c>
      <c r="G47" s="1071">
        <f>(C47-D47)*F47</f>
        <v>26.014499999999998</v>
      </c>
      <c r="H47" s="1071">
        <f>(D47-B47)*F47</f>
        <v>9.2354999999999983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530.5</v>
      </c>
      <c r="E48" s="1069"/>
      <c r="F48" s="1070">
        <v>0.161</v>
      </c>
      <c r="G48" s="1071">
        <f>(C48-D48)*F48</f>
        <v>43.389499999999998</v>
      </c>
      <c r="H48" s="1071">
        <f>(D48-B48)*F48</f>
        <v>21.0105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81.632999999999996</v>
      </c>
      <c r="H49" s="1071">
        <f>SUM(H45:H48)</f>
        <v>45.826999999999998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E6" sqref="E6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36955</v>
      </c>
      <c r="B5" s="11">
        <v>28</v>
      </c>
      <c r="C5" s="49">
        <v>21</v>
      </c>
      <c r="D5" s="49">
        <v>17.3</v>
      </c>
      <c r="E5" s="11">
        <v>24.7</v>
      </c>
      <c r="F5" s="11">
        <v>170</v>
      </c>
      <c r="G5" s="11">
        <v>5255</v>
      </c>
      <c r="H5" s="11">
        <v>42</v>
      </c>
      <c r="I5" s="912" t="s">
        <v>793</v>
      </c>
      <c r="J5" s="912" t="s">
        <v>794</v>
      </c>
      <c r="K5" s="11">
        <v>2</v>
      </c>
      <c r="L5" s="11">
        <v>1</v>
      </c>
      <c r="N5" s="15" t="e">
        <f>#REF!&amp;" "&amp;I5</f>
        <v>#REF!</v>
      </c>
      <c r="AE5" s="15">
        <v>1</v>
      </c>
      <c r="AH5" s="15" t="s">
        <v>34</v>
      </c>
    </row>
    <row r="6" spans="1:34" ht="16.5" customHeight="1">
      <c r="A6" s="88">
        <f>A5+1</f>
        <v>36956</v>
      </c>
      <c r="B6" s="11">
        <v>35</v>
      </c>
      <c r="C6" s="49">
        <v>21</v>
      </c>
      <c r="D6" s="49">
        <v>11</v>
      </c>
      <c r="E6" s="11" t="s">
        <v>11</v>
      </c>
      <c r="F6" s="11" t="s">
        <v>11</v>
      </c>
      <c r="G6" s="11"/>
      <c r="H6" s="11" t="s">
        <v>11</v>
      </c>
      <c r="I6" s="1194" t="s">
        <v>799</v>
      </c>
      <c r="J6" s="1194" t="s">
        <v>795</v>
      </c>
      <c r="K6" s="11">
        <v>3</v>
      </c>
      <c r="L6" s="11" t="s">
        <v>634</v>
      </c>
      <c r="N6" s="15" t="str">
        <f>I6&amp;" "&amp;J6</f>
        <v xml:space="preserve">  PARTLY CLOUDY.  WIND  NW  10 TO 20 MPH.    TONIGHT  FAIR.  LOW AROUND  20.  WIND  NE  5  TO 10 MPH.</v>
      </c>
      <c r="AE6" s="15">
        <v>1</v>
      </c>
      <c r="AH6" s="15" t="s">
        <v>35</v>
      </c>
    </row>
    <row r="7" spans="1:34" ht="16.5" customHeight="1">
      <c r="A7" s="88">
        <f>A6+1</f>
        <v>36957</v>
      </c>
      <c r="B7" s="11">
        <v>37</v>
      </c>
      <c r="C7" s="49">
        <v>25</v>
      </c>
      <c r="D7" s="49">
        <v>10</v>
      </c>
      <c r="E7" s="11" t="s">
        <v>11</v>
      </c>
      <c r="F7" s="11" t="s">
        <v>11</v>
      </c>
      <c r="G7" s="11"/>
      <c r="H7" s="11" t="s">
        <v>11</v>
      </c>
      <c r="I7" s="1194" t="s">
        <v>796</v>
      </c>
      <c r="J7" s="912" t="s">
        <v>11</v>
      </c>
      <c r="K7" s="11">
        <v>3</v>
      </c>
      <c r="L7" s="11" t="s">
        <v>22</v>
      </c>
      <c r="N7" s="15" t="str">
        <f>I7&amp;" "&amp;J7</f>
        <v xml:space="preserve">   PARTLY  CLOUDY  </v>
      </c>
    </row>
    <row r="8" spans="1:34" ht="16.5" customHeight="1">
      <c r="A8" s="88">
        <f>A7+1</f>
        <v>36958</v>
      </c>
      <c r="B8" s="11">
        <v>36</v>
      </c>
      <c r="C8" s="49">
        <v>22</v>
      </c>
      <c r="D8" s="49">
        <v>15</v>
      </c>
      <c r="E8" s="11" t="s">
        <v>11</v>
      </c>
      <c r="F8" s="11" t="s">
        <v>11</v>
      </c>
      <c r="G8" s="11"/>
      <c r="H8" s="11" t="s">
        <v>11</v>
      </c>
      <c r="I8" s="1194" t="s">
        <v>797</v>
      </c>
      <c r="J8" s="912" t="s">
        <v>11</v>
      </c>
      <c r="K8" s="11">
        <v>2</v>
      </c>
      <c r="L8" s="11">
        <v>0</v>
      </c>
      <c r="N8" s="15" t="str">
        <f>I8&amp;" "&amp;J8</f>
        <v xml:space="preserve">  MOSTLY CLOUDY.  A  CHANCE  OF  LIGHT  SNOW  OR FLURRIES.    </v>
      </c>
    </row>
    <row r="9" spans="1:34" ht="16.5" customHeight="1">
      <c r="A9" s="88">
        <f>A8+1</f>
        <v>36959</v>
      </c>
      <c r="B9" s="11">
        <v>33</v>
      </c>
      <c r="C9" s="49">
        <v>20</v>
      </c>
      <c r="D9" s="49">
        <v>15</v>
      </c>
      <c r="E9" s="11" t="s">
        <v>11</v>
      </c>
      <c r="F9" s="11" t="s">
        <v>11</v>
      </c>
      <c r="G9" s="11"/>
      <c r="H9" s="11" t="s">
        <v>11</v>
      </c>
      <c r="I9" s="1194" t="s">
        <v>796</v>
      </c>
      <c r="J9" s="912" t="s">
        <v>11</v>
      </c>
      <c r="K9" s="11">
        <v>3</v>
      </c>
      <c r="L9" s="11">
        <v>0</v>
      </c>
      <c r="M9" s="89"/>
      <c r="N9" s="15" t="str">
        <f>I10&amp;" "&amp;J9</f>
        <v xml:space="preserve">  A  CHANCE  OF  SNOW  </v>
      </c>
    </row>
    <row r="10" spans="1:34" ht="16.5" customHeight="1">
      <c r="A10" s="88">
        <f>A9+1</f>
        <v>36960</v>
      </c>
      <c r="B10" s="11">
        <v>40</v>
      </c>
      <c r="C10" s="49">
        <v>28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1194" t="s">
        <v>798</v>
      </c>
      <c r="J10" s="912" t="s">
        <v>11</v>
      </c>
      <c r="K10" s="11">
        <v>4</v>
      </c>
      <c r="L10" s="11" t="s">
        <v>419</v>
      </c>
    </row>
    <row r="11" spans="1:34" ht="16.5" customHeight="1">
      <c r="G11"/>
    </row>
    <row r="12" spans="1:34" ht="15.75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4" t="s">
        <v>580</v>
      </c>
      <c r="B2" s="186">
        <f>PGL_Deliveries!U5/1000</f>
        <v>1200.6569999999999</v>
      </c>
      <c r="C2" s="60"/>
      <c r="D2" s="121" t="s">
        <v>325</v>
      </c>
      <c r="E2" s="426">
        <f>Weather_Input!A5</f>
        <v>36955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9.9870000000000001</v>
      </c>
      <c r="F3" s="184"/>
      <c r="H3"/>
      <c r="I3"/>
      <c r="J3"/>
      <c r="K3"/>
      <c r="L3"/>
      <c r="M3"/>
    </row>
    <row r="4" spans="1:13" ht="15.75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93.935000000000002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75" thickBot="1">
      <c r="A6" s="182" t="s">
        <v>254</v>
      </c>
      <c r="B6" s="154">
        <f>PGL_Deliveries!I5/1000</f>
        <v>1043.2629999999999</v>
      </c>
      <c r="C6" s="169"/>
      <c r="D6" s="59" t="s">
        <v>583</v>
      </c>
      <c r="E6" s="154">
        <f>PGL_Deliveries!P5/1000</f>
        <v>1.0009999999999999</v>
      </c>
      <c r="F6" s="171"/>
      <c r="H6"/>
      <c r="I6"/>
      <c r="J6"/>
      <c r="K6"/>
      <c r="L6"/>
      <c r="M6"/>
    </row>
    <row r="7" spans="1:13" ht="16.5" thickBot="1">
      <c r="A7" s="181" t="s">
        <v>586</v>
      </c>
      <c r="B7" s="228">
        <f>SUM(B5:B6)</f>
        <v>1137.1979999999999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159.947</v>
      </c>
      <c r="C8" s="632"/>
      <c r="D8" s="117" t="s">
        <v>585</v>
      </c>
      <c r="E8" s="154">
        <f>PGL_Deliveries!N5/1000</f>
        <v>0.17699999999999999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94.331000000000003</v>
      </c>
      <c r="C9" s="64"/>
      <c r="D9" s="117" t="s">
        <v>211</v>
      </c>
      <c r="E9" s="154">
        <f>PGL_Deliveries!Q5/1000</f>
        <v>0.27400000000000002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121.33799999999999</v>
      </c>
      <c r="C10" s="64"/>
      <c r="D10" s="117" t="s">
        <v>213</v>
      </c>
      <c r="E10" s="154">
        <f>PGL_Deliveries!S5/1000</f>
        <v>5.3789999999999996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10.113</v>
      </c>
      <c r="C11" s="64"/>
      <c r="D11" s="117" t="s">
        <v>587</v>
      </c>
      <c r="E11" s="154">
        <f>PGL_Deliveries!R5/1000</f>
        <v>6.149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248.24799999999999</v>
      </c>
      <c r="C13" s="64"/>
      <c r="D13" s="117" t="s">
        <v>219</v>
      </c>
      <c r="E13" s="154">
        <f>PGL_Deliveries!F5/1000</f>
        <v>6.1260000000000003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195.86199999999999</v>
      </c>
      <c r="C14" s="64"/>
      <c r="D14" s="117" t="s">
        <v>220</v>
      </c>
      <c r="E14" s="154">
        <f>PGL_Deliveries!H5/1000</f>
        <v>8.9139999999999997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331.68900000000002</v>
      </c>
      <c r="C15" s="64"/>
      <c r="D15" s="59" t="s">
        <v>407</v>
      </c>
      <c r="E15" s="154">
        <f>PGL_Deliveries!K5/1000</f>
        <v>33.74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24.33</v>
      </c>
      <c r="D16" s="117" t="s">
        <v>223</v>
      </c>
      <c r="E16" s="154">
        <f>PGL_Deliveries!L5/1000</f>
        <v>5.75</v>
      </c>
      <c r="F16" s="171"/>
      <c r="H16"/>
      <c r="I16"/>
      <c r="J16"/>
      <c r="K16"/>
      <c r="L16"/>
      <c r="M16"/>
    </row>
    <row r="17" spans="1:13" ht="15.75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5.9359999999999999</v>
      </c>
      <c r="F17" s="167"/>
      <c r="H17"/>
      <c r="I17"/>
      <c r="J17"/>
      <c r="K17"/>
      <c r="L17"/>
      <c r="M17"/>
    </row>
    <row r="18" spans="1:13" ht="16.5" thickBot="1">
      <c r="A18" s="180" t="s">
        <v>591</v>
      </c>
      <c r="B18" s="906">
        <f>SUM(B8:B17)-C16</f>
        <v>1137.1980000000001</v>
      </c>
      <c r="C18" s="169"/>
      <c r="D18" s="179" t="s">
        <v>592</v>
      </c>
      <c r="E18" s="178">
        <f>SUM(E5:E17)</f>
        <v>73.445999999999998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160.43199999999999</v>
      </c>
      <c r="C19" s="632"/>
      <c r="D19" s="117" t="s">
        <v>320</v>
      </c>
      <c r="E19" s="154">
        <f>PGL_Deliveries!AI5/1000</f>
        <v>3.2000000000000001E-2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PGL_Deliveries!AF5/1000+B41</f>
        <v>103.03100000000001</v>
      </c>
      <c r="F20" s="171"/>
      <c r="H20"/>
      <c r="I20"/>
      <c r="J20"/>
      <c r="K20"/>
      <c r="L20"/>
      <c r="M20"/>
    </row>
    <row r="21" spans="1:13" ht="16.5" thickBot="1">
      <c r="A21" s="172" t="s">
        <v>761</v>
      </c>
      <c r="C21" s="176">
        <f>PGL_Requirements!J7/1000</f>
        <v>0</v>
      </c>
      <c r="D21" s="631" t="s">
        <v>593</v>
      </c>
      <c r="E21" s="211">
        <f>SUM(E18:E20)</f>
        <v>176.50900000000001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160.43199999999999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70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24.331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127.804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196.22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123.83799999999999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239.77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195.86199999999999</v>
      </c>
      <c r="C34" s="64"/>
      <c r="D34" s="60" t="s">
        <v>197</v>
      </c>
      <c r="E34" s="154">
        <f>PGL_Supplies!AC7/1000</f>
        <v>52.670999999999999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239.77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10.452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5" thickBot="1">
      <c r="A40" s="172" t="s">
        <v>209</v>
      </c>
      <c r="B40" s="154">
        <f>PGL_Deliveries!AT5/1000</f>
        <v>0</v>
      </c>
      <c r="C40" s="64"/>
      <c r="D40" s="212" t="s">
        <v>224</v>
      </c>
      <c r="E40" s="211">
        <f>SUM(E22:E37)-SUM(F23:F39)-E33</f>
        <v>176.50899999999999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103.03100000000001</v>
      </c>
      <c r="C42" s="64"/>
      <c r="D42" s="251" t="s">
        <v>529</v>
      </c>
      <c r="E42" s="809">
        <f>PGL_Supplies!AB7/1000</f>
        <v>245.45099999999999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0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75" thickBot="1">
      <c r="A44" s="170" t="s">
        <v>751</v>
      </c>
      <c r="B44" s="210" t="s">
        <v>11</v>
      </c>
      <c r="C44" s="226">
        <f>PGL_Requirements!R7/1000</f>
        <v>0.66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28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21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>
        <f>Weather_Input!E5</f>
        <v>24.7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17.3</v>
      </c>
      <c r="C48" s="162"/>
      <c r="D48" s="251" t="s">
        <v>245</v>
      </c>
      <c r="E48" s="154">
        <f>PGL_Deliveries!AI5/1000</f>
        <v>3.2000000000000001E-2</v>
      </c>
      <c r="F48" s="161"/>
    </row>
    <row r="49" spans="1:6" ht="15">
      <c r="A49" s="172" t="s">
        <v>624</v>
      </c>
      <c r="B49" s="154">
        <f>PGL_Deliveries!AM5/1000</f>
        <v>1.0349999999999999</v>
      </c>
      <c r="C49" s="162"/>
      <c r="D49" s="60" t="s">
        <v>625</v>
      </c>
      <c r="E49" s="154">
        <f>PGL_Deliveries!AJ5/1000</f>
        <v>9.9459999999999997</v>
      </c>
      <c r="F49" s="161"/>
    </row>
    <row r="50" spans="1:6" ht="15.75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0.16700000000000001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75" thickBot="1">
      <c r="A3" s="1137" t="s">
        <v>5</v>
      </c>
      <c r="B3" s="244">
        <f>NSG_Deliveries!H5/1000</f>
        <v>202.233</v>
      </c>
      <c r="C3" s="120"/>
      <c r="D3" s="230" t="s">
        <v>325</v>
      </c>
      <c r="E3" s="429">
        <f>Weather_Input!A5</f>
        <v>36955</v>
      </c>
      <c r="F3" s="120"/>
      <c r="G3"/>
      <c r="J3"/>
      <c r="K3"/>
    </row>
    <row r="4" spans="1:11" ht="15.75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118.395</v>
      </c>
      <c r="C5" s="146"/>
      <c r="D5" s="222" t="s">
        <v>327</v>
      </c>
      <c r="E5" s="217">
        <f>NSG_Deliveries!D5/1000</f>
        <v>58.93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118.395</v>
      </c>
      <c r="C8" s="161"/>
      <c r="D8" s="821" t="s">
        <v>649</v>
      </c>
      <c r="E8" s="815">
        <f>NSG_Deliveries!F5/1000</f>
        <v>24.908000000000001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4.9080000000000004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123.429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5.0339999999999998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60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118.395</v>
      </c>
      <c r="C27" s="148"/>
      <c r="D27" s="241" t="s">
        <v>355</v>
      </c>
      <c r="E27" s="221">
        <f>SUM(E18:E26)-SUM(F18:F26)</f>
        <v>60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4" t="s">
        <v>11</v>
      </c>
    </row>
    <row r="2" spans="1:3" ht="15.75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8.88671875" style="80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1"/>
    <col min="2" max="16384" width="8.88671875" style="138"/>
  </cols>
  <sheetData>
    <row r="1" spans="1:131" ht="15.75">
      <c r="A1" s="136"/>
      <c r="B1" s="137"/>
      <c r="D1" s="139"/>
    </row>
    <row r="2" spans="1:131" ht="15.75">
      <c r="A2" s="140"/>
      <c r="G2" s="137"/>
    </row>
    <row r="3" spans="1:131" ht="15">
      <c r="DZ3"/>
      <c r="EA3" s="152"/>
    </row>
    <row r="5" spans="1:131" ht="15.75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357</v>
      </c>
      <c r="B1" s="51">
        <f>Weather_Input!A5</f>
        <v>36955</v>
      </c>
      <c r="C1" s="4"/>
    </row>
    <row r="2" spans="1:19">
      <c r="A2" s="111" t="s">
        <v>358</v>
      </c>
      <c r="B2" s="4"/>
      <c r="C2" s="4"/>
    </row>
    <row r="3" spans="1:19" ht="15.75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36954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217371</v>
      </c>
      <c r="O6" s="204">
        <v>0</v>
      </c>
      <c r="P6" s="204">
        <v>33324925</v>
      </c>
      <c r="Q6" s="204">
        <v>15045098</v>
      </c>
      <c r="R6" s="204">
        <v>18279827</v>
      </c>
      <c r="S6" s="204">
        <v>0</v>
      </c>
    </row>
    <row r="7" spans="1:19">
      <c r="A7" s="4">
        <f>B1</f>
        <v>36955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160790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33485715</v>
      </c>
      <c r="Q7">
        <f>IF(O7&gt;0,Q6+O7,Q6)</f>
        <v>15045098</v>
      </c>
      <c r="R7">
        <f>IF(P7&gt;Q7,P7-Q7,0)</f>
        <v>18440617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C2" zoomScale="75" workbookViewId="0">
      <selection activeCell="AO6" sqref="AO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36955</v>
      </c>
      <c r="B5" s="1">
        <f>(Weather_Input!B5+Weather_Input!C5)/2</f>
        <v>24.5</v>
      </c>
      <c r="C5" s="913">
        <v>1195000</v>
      </c>
      <c r="D5" s="914">
        <v>93935</v>
      </c>
      <c r="E5" s="914">
        <v>0</v>
      </c>
      <c r="F5" s="914">
        <v>6126</v>
      </c>
      <c r="G5" s="914">
        <v>0</v>
      </c>
      <c r="H5" s="914">
        <v>8914</v>
      </c>
      <c r="I5" s="914">
        <v>1043263</v>
      </c>
      <c r="J5" s="914">
        <v>0</v>
      </c>
      <c r="K5" s="914">
        <v>33740</v>
      </c>
      <c r="L5" s="914">
        <v>5750</v>
      </c>
      <c r="M5" s="914">
        <v>5936</v>
      </c>
      <c r="N5" s="914">
        <v>177</v>
      </c>
      <c r="O5" s="914">
        <v>0</v>
      </c>
      <c r="P5" s="914">
        <v>1001</v>
      </c>
      <c r="Q5" s="914">
        <v>274</v>
      </c>
      <c r="R5" s="914">
        <v>6149</v>
      </c>
      <c r="S5" s="919">
        <v>5379</v>
      </c>
      <c r="T5" s="1163">
        <v>9987</v>
      </c>
      <c r="U5" s="913">
        <f>SUM(D5:S5)-T5</f>
        <v>1200657</v>
      </c>
      <c r="V5" s="913">
        <v>159947</v>
      </c>
      <c r="W5" s="11">
        <v>94331</v>
      </c>
      <c r="X5" s="11">
        <v>121338</v>
      </c>
      <c r="Y5" s="11">
        <v>0</v>
      </c>
      <c r="Z5" s="11">
        <v>248248</v>
      </c>
      <c r="AA5" s="11">
        <v>0</v>
      </c>
      <c r="AB5" s="11">
        <v>0</v>
      </c>
      <c r="AC5" s="11">
        <v>0</v>
      </c>
      <c r="AD5" s="11">
        <v>195862</v>
      </c>
      <c r="AE5" s="11">
        <v>0</v>
      </c>
      <c r="AF5" s="11">
        <v>103031</v>
      </c>
      <c r="AG5" s="11">
        <v>0</v>
      </c>
      <c r="AH5" s="11">
        <v>0</v>
      </c>
      <c r="AI5" s="11">
        <v>32</v>
      </c>
      <c r="AJ5" s="11">
        <v>9946</v>
      </c>
      <c r="AK5" s="11">
        <v>167</v>
      </c>
      <c r="AL5" s="11">
        <v>0</v>
      </c>
      <c r="AM5" s="1">
        <v>1035</v>
      </c>
      <c r="AN5" s="1"/>
      <c r="AO5" s="1">
        <v>24330</v>
      </c>
      <c r="AP5" s="1">
        <v>0</v>
      </c>
      <c r="AQ5" s="1">
        <v>0</v>
      </c>
      <c r="AR5" s="1">
        <v>123838</v>
      </c>
      <c r="AS5" s="1">
        <v>10452</v>
      </c>
      <c r="AT5" s="1">
        <v>0</v>
      </c>
      <c r="AU5" s="1">
        <v>0</v>
      </c>
      <c r="AV5" s="1">
        <v>660</v>
      </c>
      <c r="AW5" s="628">
        <v>0</v>
      </c>
      <c r="AX5" s="1">
        <v>239770</v>
      </c>
      <c r="AY5" s="1"/>
      <c r="AZ5" s="1">
        <v>0</v>
      </c>
      <c r="BA5" s="1">
        <v>13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36956</v>
      </c>
      <c r="B6" s="1">
        <f>(Weather_Input!B6+Weather_Input!C6)/2</f>
        <v>28</v>
      </c>
      <c r="C6" s="913">
        <v>1125000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36957</v>
      </c>
      <c r="B7" s="932">
        <f>(Weather_Input!B7+Weather_Input!C7)/2</f>
        <v>31</v>
      </c>
      <c r="C7" s="913">
        <v>1045000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36958</v>
      </c>
      <c r="B8" s="932">
        <f>(Weather_Input!B8+Weather_Input!C8)/2</f>
        <v>29</v>
      </c>
      <c r="C8" s="913">
        <v>1075000</v>
      </c>
      <c r="D8" s="915"/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36959</v>
      </c>
      <c r="B9" s="932">
        <f>(Weather_Input!B9+Weather_Input!C9)/2</f>
        <v>26.5</v>
      </c>
      <c r="C9" s="913">
        <v>1090000</v>
      </c>
      <c r="D9" s="915"/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36960</v>
      </c>
      <c r="B10" s="932">
        <f>(Weather_Input!B10+Weather_Input!C10)/2</f>
        <v>34</v>
      </c>
      <c r="C10" s="913">
        <v>965000</v>
      </c>
      <c r="D10" s="915"/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D1" zoomScale="75" workbookViewId="0">
      <selection activeCell="N6" sqref="N6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36955</v>
      </c>
      <c r="B5" s="1">
        <f>(Weather_Input!B5+Weather_Input!C5)/2</f>
        <v>24.5</v>
      </c>
      <c r="C5" s="913">
        <v>203000</v>
      </c>
      <c r="D5" s="913">
        <v>58930</v>
      </c>
      <c r="E5" s="913">
        <v>118395</v>
      </c>
      <c r="F5" s="913">
        <v>24908</v>
      </c>
      <c r="G5" s="913">
        <v>0</v>
      </c>
      <c r="H5" s="921">
        <f>SUM(D5:G5)</f>
        <v>202233</v>
      </c>
      <c r="I5" s="1">
        <v>1023</v>
      </c>
      <c r="J5" s="1" t="s">
        <v>11</v>
      </c>
      <c r="K5" s="1">
        <v>5034</v>
      </c>
      <c r="L5" s="1">
        <v>0</v>
      </c>
      <c r="M5" s="1">
        <v>0</v>
      </c>
      <c r="N5" s="1">
        <v>4908</v>
      </c>
    </row>
    <row r="6" spans="1:14">
      <c r="A6" s="12">
        <f>A5+1</f>
        <v>36956</v>
      </c>
      <c r="B6" s="1">
        <f>(Weather_Input!B6+Weather_Input!C6)/2</f>
        <v>28</v>
      </c>
      <c r="C6" s="913">
        <v>189000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36957</v>
      </c>
      <c r="B7" s="932">
        <f>(Weather_Input!B7+Weather_Input!C7)/2</f>
        <v>31</v>
      </c>
      <c r="C7" s="913">
        <v>173000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36958</v>
      </c>
      <c r="B8" s="932">
        <f>(Weather_Input!B8+Weather_Input!C8)/2</f>
        <v>29</v>
      </c>
      <c r="C8" s="913">
        <v>179000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36959</v>
      </c>
      <c r="B9" s="932">
        <f>(Weather_Input!B9+Weather_Input!C9)/2</f>
        <v>26.5</v>
      </c>
      <c r="C9" s="913">
        <v>184000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36960</v>
      </c>
      <c r="B10" s="932">
        <f>(Weather_Input!B10+Weather_Input!C10)/2</f>
        <v>34</v>
      </c>
      <c r="C10" s="913">
        <v>156000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G8" sqref="G8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2.75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2.75">
      <c r="A7" s="834">
        <f>Weather_Input!A5</f>
        <v>36955</v>
      </c>
      <c r="B7" s="922">
        <v>10452</v>
      </c>
      <c r="C7" s="923">
        <v>0</v>
      </c>
      <c r="D7" s="626">
        <v>0</v>
      </c>
      <c r="E7" s="626">
        <v>0</v>
      </c>
      <c r="F7" s="922">
        <v>0</v>
      </c>
      <c r="G7" s="922">
        <v>24330</v>
      </c>
      <c r="H7" s="924">
        <v>0</v>
      </c>
      <c r="I7" s="625">
        <v>9987</v>
      </c>
      <c r="J7" s="625">
        <v>0</v>
      </c>
      <c r="K7" s="626">
        <v>0</v>
      </c>
      <c r="L7" s="625">
        <v>0</v>
      </c>
      <c r="M7" s="626">
        <v>0</v>
      </c>
      <c r="N7" s="626">
        <v>0</v>
      </c>
      <c r="O7" s="627">
        <v>0</v>
      </c>
      <c r="P7" s="626">
        <v>0</v>
      </c>
      <c r="Q7" s="628">
        <f t="shared" ref="Q7:Q12" si="0">P7*0.015</f>
        <v>0</v>
      </c>
      <c r="R7" s="626">
        <v>660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36955</v>
      </c>
    </row>
    <row r="8" spans="1:89" s="1" customFormat="1" ht="12.75">
      <c r="A8" s="834">
        <f>A7+1</f>
        <v>36956</v>
      </c>
      <c r="B8" s="922">
        <v>10000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0</v>
      </c>
      <c r="Q8" s="628">
        <f t="shared" si="0"/>
        <v>0</v>
      </c>
      <c r="R8" s="626">
        <v>660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36956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2.75">
      <c r="A9" s="834">
        <f>A8+1</f>
        <v>36957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50000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0</v>
      </c>
      <c r="Q9" s="628">
        <f t="shared" si="0"/>
        <v>0</v>
      </c>
      <c r="R9" s="626">
        <v>660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36957</v>
      </c>
      <c r="AN9" s="625"/>
    </row>
    <row r="10" spans="1:89" s="1" customFormat="1" ht="12.75">
      <c r="A10" s="834">
        <f>A9+1</f>
        <v>36958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50000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0</v>
      </c>
      <c r="Q10" s="628">
        <f t="shared" si="0"/>
        <v>0</v>
      </c>
      <c r="R10" s="626">
        <v>660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36958</v>
      </c>
    </row>
    <row r="11" spans="1:89" s="1" customFormat="1" ht="12.75">
      <c r="A11" s="834">
        <f>A10+1</f>
        <v>36959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660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36959</v>
      </c>
    </row>
    <row r="12" spans="1:89" s="1" customFormat="1" ht="12.75">
      <c r="A12" s="834">
        <f>A11+1</f>
        <v>36960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660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36960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L1" zoomScale="75" workbookViewId="0">
      <selection activeCell="W8" sqref="W8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36955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922">
        <v>0</v>
      </c>
      <c r="H7" s="626">
        <v>0</v>
      </c>
      <c r="I7" s="626">
        <v>10113</v>
      </c>
      <c r="J7" s="626">
        <v>0</v>
      </c>
      <c r="K7" s="925">
        <v>0</v>
      </c>
      <c r="L7" s="627">
        <v>123838</v>
      </c>
      <c r="M7" s="926">
        <v>239770</v>
      </c>
      <c r="N7" s="626">
        <v>0</v>
      </c>
      <c r="O7" s="626">
        <v>0</v>
      </c>
      <c r="P7" s="626">
        <v>0</v>
      </c>
      <c r="Q7" s="626">
        <v>0</v>
      </c>
      <c r="R7" s="626">
        <v>24331</v>
      </c>
      <c r="S7" s="925">
        <v>0</v>
      </c>
      <c r="T7" s="927">
        <v>0</v>
      </c>
      <c r="U7" s="626">
        <v>0</v>
      </c>
      <c r="V7" s="627">
        <v>311201</v>
      </c>
      <c r="W7" s="627">
        <v>0</v>
      </c>
      <c r="X7" s="625">
        <v>0</v>
      </c>
      <c r="Y7" s="925">
        <v>160432</v>
      </c>
      <c r="Z7" s="627">
        <v>70000</v>
      </c>
      <c r="AA7" s="1">
        <v>127804</v>
      </c>
      <c r="AB7" s="625">
        <v>245451</v>
      </c>
      <c r="AC7" s="625">
        <v>52671</v>
      </c>
      <c r="AD7" s="625">
        <v>196220</v>
      </c>
      <c r="AE7" s="925">
        <v>0</v>
      </c>
      <c r="AF7" s="51">
        <f>Weather_Input!A5</f>
        <v>36955</v>
      </c>
      <c r="AI7" s="625"/>
      <c r="AJ7" s="625"/>
      <c r="AK7" s="625"/>
    </row>
    <row r="8" spans="1:37">
      <c r="A8" s="834">
        <f>A7+1</f>
        <v>36956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0</v>
      </c>
      <c r="I8" s="626">
        <v>3000</v>
      </c>
      <c r="J8" s="626">
        <v>0</v>
      </c>
      <c r="K8" s="925">
        <v>0</v>
      </c>
      <c r="L8" s="627">
        <v>62530</v>
      </c>
      <c r="M8" s="926">
        <v>220000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271285</v>
      </c>
      <c r="W8" s="627">
        <v>0</v>
      </c>
      <c r="X8" s="625">
        <v>0</v>
      </c>
      <c r="Y8" s="925">
        <v>189161</v>
      </c>
      <c r="Z8" s="627">
        <v>70000</v>
      </c>
      <c r="AA8" s="1">
        <v>86735</v>
      </c>
      <c r="AB8" s="625">
        <v>251751</v>
      </c>
      <c r="AC8" s="625">
        <v>180950</v>
      </c>
      <c r="AD8" s="625">
        <v>71538</v>
      </c>
      <c r="AE8" s="925">
        <v>0</v>
      </c>
      <c r="AF8" s="834">
        <f>AF7+1</f>
        <v>36956</v>
      </c>
      <c r="AI8" s="625"/>
      <c r="AJ8" s="625"/>
      <c r="AK8" s="625"/>
    </row>
    <row r="9" spans="1:37" s="625" customFormat="1">
      <c r="A9" s="834">
        <f>A8+1</f>
        <v>36957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271285</v>
      </c>
      <c r="W9" s="627">
        <v>0</v>
      </c>
      <c r="X9" s="625">
        <v>0</v>
      </c>
      <c r="Y9" s="925">
        <v>189161</v>
      </c>
      <c r="Z9" s="627">
        <v>70000</v>
      </c>
      <c r="AA9" s="1">
        <v>86735</v>
      </c>
      <c r="AB9" s="625">
        <v>251751</v>
      </c>
      <c r="AC9" s="625">
        <v>180950</v>
      </c>
      <c r="AD9" s="625">
        <v>71538</v>
      </c>
      <c r="AE9" s="925">
        <v>0</v>
      </c>
      <c r="AF9" s="834">
        <f>AF8+1</f>
        <v>36957</v>
      </c>
    </row>
    <row r="10" spans="1:37">
      <c r="A10" s="834">
        <f>A9+1</f>
        <v>36958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271285</v>
      </c>
      <c r="W10" s="627">
        <v>0</v>
      </c>
      <c r="X10" s="625">
        <v>0</v>
      </c>
      <c r="Y10" s="925">
        <v>189161</v>
      </c>
      <c r="Z10" s="627">
        <v>70000</v>
      </c>
      <c r="AA10" s="1">
        <v>86735</v>
      </c>
      <c r="AB10" s="625">
        <v>251751</v>
      </c>
      <c r="AC10" s="625">
        <v>180950</v>
      </c>
      <c r="AD10" s="625">
        <v>71538</v>
      </c>
      <c r="AE10" s="925">
        <v>0</v>
      </c>
      <c r="AF10" s="834">
        <f>AF9+1</f>
        <v>36958</v>
      </c>
      <c r="AI10" s="625"/>
      <c r="AJ10" s="625"/>
      <c r="AK10" s="625"/>
    </row>
    <row r="11" spans="1:37">
      <c r="A11" s="834">
        <f>A10+1</f>
        <v>36959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271285</v>
      </c>
      <c r="W11" s="627">
        <v>0</v>
      </c>
      <c r="X11" s="625">
        <v>0</v>
      </c>
      <c r="Y11" s="925">
        <v>189161</v>
      </c>
      <c r="Z11" s="627">
        <v>70000</v>
      </c>
      <c r="AA11" s="1">
        <v>86735</v>
      </c>
      <c r="AB11" s="625">
        <v>251751</v>
      </c>
      <c r="AC11" s="625">
        <v>180950</v>
      </c>
      <c r="AD11" s="625">
        <v>71538</v>
      </c>
      <c r="AE11" s="925">
        <v>0</v>
      </c>
      <c r="AF11" s="834">
        <f>AF10+1</f>
        <v>36959</v>
      </c>
    </row>
    <row r="12" spans="1:37">
      <c r="A12" s="834">
        <f>A11+1</f>
        <v>36960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271285</v>
      </c>
      <c r="W12" s="627">
        <v>0</v>
      </c>
      <c r="X12" s="625">
        <v>0</v>
      </c>
      <c r="Y12" s="925">
        <v>189161</v>
      </c>
      <c r="Z12" s="627">
        <v>70000</v>
      </c>
      <c r="AA12" s="1">
        <v>86735</v>
      </c>
      <c r="AB12" s="625">
        <v>251751</v>
      </c>
      <c r="AC12" s="625">
        <v>180950</v>
      </c>
      <c r="AD12" s="625">
        <v>71538</v>
      </c>
      <c r="AE12" s="925">
        <v>0</v>
      </c>
      <c r="AF12" s="834">
        <f>AF11+1</f>
        <v>36960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D1" zoomScale="75" workbookViewId="0">
      <selection activeCell="O7" sqref="O7"/>
    </sheetView>
  </sheetViews>
  <sheetFormatPr defaultRowHeight="15"/>
  <cols>
    <col min="1" max="11" width="8.6640625" customWidth="1"/>
    <col min="37" max="37" width="7.6640625" customWidth="1"/>
  </cols>
  <sheetData>
    <row r="1" spans="1:128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2.75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2.75">
      <c r="A7" s="835">
        <f>Weather_Input!A5</f>
        <v>36955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5034</v>
      </c>
      <c r="I7" s="923">
        <v>7197</v>
      </c>
      <c r="J7" s="923">
        <v>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36955</v>
      </c>
      <c r="AG7" s="625"/>
      <c r="AH7" s="625"/>
      <c r="AI7" s="625"/>
      <c r="AJ7" s="625"/>
      <c r="AK7" s="625"/>
    </row>
    <row r="8" spans="1:128" s="1" customFormat="1" ht="12.75">
      <c r="A8" s="835">
        <f>Weather_Input!A6</f>
        <v>36956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4550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36956</v>
      </c>
      <c r="AG8" s="625"/>
      <c r="AH8" s="625"/>
      <c r="AI8" s="625"/>
      <c r="AJ8" s="625"/>
      <c r="AK8" s="625"/>
    </row>
    <row r="9" spans="1:128" s="1" customFormat="1" ht="12.75">
      <c r="A9" s="834">
        <f>A8+1</f>
        <v>36957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36957</v>
      </c>
      <c r="AG9" s="625"/>
      <c r="AH9" s="625"/>
      <c r="AI9" s="625"/>
      <c r="AJ9" s="625"/>
      <c r="AK9" s="625"/>
    </row>
    <row r="10" spans="1:128" s="1" customFormat="1" ht="12.75">
      <c r="A10" s="834">
        <f>A9+1</f>
        <v>36958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36958</v>
      </c>
      <c r="AG10" s="625"/>
      <c r="AH10" s="625"/>
      <c r="AI10" s="625"/>
      <c r="AJ10" s="625"/>
      <c r="AK10" s="625"/>
    </row>
    <row r="11" spans="1:128" s="1" customFormat="1" ht="12.75">
      <c r="A11" s="834">
        <f>A10+1</f>
        <v>36959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36959</v>
      </c>
      <c r="AG11" s="625"/>
      <c r="AH11" s="625"/>
      <c r="AI11" s="625"/>
      <c r="AJ11" s="625"/>
      <c r="AK11" s="625"/>
    </row>
    <row r="12" spans="1:128" s="1" customFormat="1" ht="12.75">
      <c r="A12" s="834">
        <f>A11+1</f>
        <v>36960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36960</v>
      </c>
      <c r="AG12" s="625"/>
      <c r="AH12" s="625"/>
      <c r="AI12" s="625"/>
      <c r="AJ12" s="625"/>
      <c r="AK12" s="625"/>
    </row>
    <row r="13" spans="1:128" s="1" customFormat="1" ht="12.75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2.75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topLeftCell="B1" zoomScale="75" workbookViewId="0">
      <selection activeCell="E8" sqref="E8"/>
    </sheetView>
  </sheetViews>
  <sheetFormatPr defaultColWidth="8.77734375" defaultRowHeight="12.75"/>
  <cols>
    <col min="1" max="16384" width="8.7773437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36955</v>
      </c>
      <c r="B7" s="628">
        <v>0</v>
      </c>
      <c r="C7" s="629">
        <v>0</v>
      </c>
      <c r="D7" s="628">
        <v>0</v>
      </c>
      <c r="E7" s="628">
        <v>4908</v>
      </c>
      <c r="F7" s="628">
        <v>0</v>
      </c>
      <c r="G7" s="628">
        <f>(R7+S7+C7+PGL_Requirements!Y7+PGL_Requirements!Z7-NSG_Requirements!C7)*0.05</f>
        <v>7842.4500000000007</v>
      </c>
      <c r="H7" s="629">
        <v>0</v>
      </c>
      <c r="I7" s="628">
        <v>0</v>
      </c>
      <c r="J7" s="628">
        <v>0</v>
      </c>
      <c r="K7" s="628">
        <v>0</v>
      </c>
      <c r="L7" s="628">
        <v>60000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123429</v>
      </c>
      <c r="S7" s="628">
        <v>33420</v>
      </c>
      <c r="T7" s="628">
        <v>0</v>
      </c>
      <c r="U7" s="628">
        <v>0</v>
      </c>
      <c r="V7" s="834">
        <f>Weather_Input!A5</f>
        <v>36955</v>
      </c>
      <c r="W7" s="625"/>
      <c r="X7" s="625"/>
    </row>
    <row r="8" spans="1:24">
      <c r="A8" s="834">
        <f>A7+1</f>
        <v>36956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7854.9500000000007</v>
      </c>
      <c r="H8" s="629">
        <v>0</v>
      </c>
      <c r="I8" s="628">
        <v>0</v>
      </c>
      <c r="J8" s="628">
        <v>0</v>
      </c>
      <c r="K8" s="628">
        <v>0</v>
      </c>
      <c r="L8" s="628">
        <v>50000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123554</v>
      </c>
      <c r="S8" s="628">
        <v>33545</v>
      </c>
      <c r="T8" s="628">
        <v>0</v>
      </c>
      <c r="U8" s="628">
        <v>0</v>
      </c>
      <c r="V8" s="834">
        <f>V7+1</f>
        <v>36956</v>
      </c>
      <c r="W8" s="625"/>
      <c r="X8" s="625"/>
    </row>
    <row r="9" spans="1:24">
      <c r="A9" s="834">
        <f>A8+1</f>
        <v>36957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7854.9500000000007</v>
      </c>
      <c r="H9" s="629">
        <v>0</v>
      </c>
      <c r="I9" s="628">
        <v>0</v>
      </c>
      <c r="J9" s="628">
        <v>0</v>
      </c>
      <c r="K9" s="628">
        <v>0</v>
      </c>
      <c r="L9" s="628">
        <v>50000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123554</v>
      </c>
      <c r="S9" s="628">
        <v>33545</v>
      </c>
      <c r="T9" s="628">
        <v>0</v>
      </c>
      <c r="U9" s="628">
        <v>0</v>
      </c>
      <c r="V9" s="834">
        <f>V8+1</f>
        <v>36957</v>
      </c>
      <c r="W9" s="625"/>
      <c r="X9" s="625"/>
    </row>
    <row r="10" spans="1:24">
      <c r="A10" s="834">
        <f>A9+1</f>
        <v>36958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7854.9500000000007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123554</v>
      </c>
      <c r="S10" s="628">
        <v>33545</v>
      </c>
      <c r="T10" s="628">
        <v>0</v>
      </c>
      <c r="U10" s="628">
        <v>0</v>
      </c>
      <c r="V10" s="834">
        <f>V9+1</f>
        <v>36958</v>
      </c>
      <c r="W10" s="625"/>
      <c r="X10" s="625"/>
    </row>
    <row r="11" spans="1:24">
      <c r="A11" s="834">
        <f>A10+1</f>
        <v>36959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7854.9500000000007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123554</v>
      </c>
      <c r="S11" s="628">
        <v>33545</v>
      </c>
      <c r="T11" s="628">
        <v>0</v>
      </c>
      <c r="U11" s="628">
        <v>0</v>
      </c>
      <c r="V11" s="834">
        <f>V10+1</f>
        <v>36959</v>
      </c>
      <c r="W11" s="625"/>
      <c r="X11" s="625"/>
    </row>
    <row r="12" spans="1:24">
      <c r="A12" s="834">
        <f>A11+1</f>
        <v>36960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7854.9500000000007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123554</v>
      </c>
      <c r="S12" s="628">
        <v>33545</v>
      </c>
      <c r="T12" s="628">
        <v>0</v>
      </c>
      <c r="U12" s="628">
        <v>0</v>
      </c>
      <c r="V12" s="834">
        <f>V11+1</f>
        <v>36960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9" width="8.664062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MON</v>
      </c>
      <c r="I1" s="839">
        <f>D4</f>
        <v>36955</v>
      </c>
    </row>
    <row r="2" spans="1:256" ht="15.75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5" thickBot="1">
      <c r="A3" s="843"/>
      <c r="B3" s="841"/>
      <c r="C3" s="841"/>
      <c r="D3" s="844" t="str">
        <f t="shared" ref="D3:I3" si="0">CHOOSE(WEEKDAY(D4),"SUN","MON","TUE","WED","THU","FRI","SAT")</f>
        <v>MON</v>
      </c>
      <c r="E3" s="844" t="str">
        <f t="shared" si="0"/>
        <v>TUE</v>
      </c>
      <c r="F3" s="844" t="str">
        <f t="shared" si="0"/>
        <v>WED</v>
      </c>
      <c r="G3" s="844" t="str">
        <f t="shared" si="0"/>
        <v>THU</v>
      </c>
      <c r="H3" s="844" t="str">
        <f t="shared" si="0"/>
        <v>FRI</v>
      </c>
      <c r="I3" s="845" t="str">
        <f t="shared" si="0"/>
        <v>SAT</v>
      </c>
    </row>
    <row r="4" spans="1:256" ht="15.75" thickBot="1">
      <c r="A4" s="846"/>
      <c r="B4" s="847"/>
      <c r="C4" s="847"/>
      <c r="D4" s="466">
        <f>Weather_Input!A5</f>
        <v>36955</v>
      </c>
      <c r="E4" s="466">
        <f>Weather_Input!A6</f>
        <v>36956</v>
      </c>
      <c r="F4" s="466">
        <f>Weather_Input!A7</f>
        <v>36957</v>
      </c>
      <c r="G4" s="466">
        <f>Weather_Input!A8</f>
        <v>36958</v>
      </c>
      <c r="H4" s="466">
        <f>Weather_Input!A9</f>
        <v>36959</v>
      </c>
      <c r="I4" s="467">
        <f>Weather_Input!A10</f>
        <v>36960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28/21/25</v>
      </c>
      <c r="E5" s="468" t="str">
        <f>TEXT(Weather_Input!B6,"0")&amp;"/"&amp;TEXT(Weather_Input!C6,"0") &amp; "/" &amp; TEXT((Weather_Input!B6+Weather_Input!C6)/2,"0")</f>
        <v>35/21/28</v>
      </c>
      <c r="F5" s="468" t="str">
        <f>TEXT(Weather_Input!B7,"0")&amp;"/"&amp;TEXT(Weather_Input!C7,"0") &amp; "/" &amp; TEXT((Weather_Input!B7+Weather_Input!C7)/2,"0")</f>
        <v>37/25/31</v>
      </c>
      <c r="G5" s="468" t="str">
        <f>TEXT(Weather_Input!B8,"0")&amp;"/"&amp;TEXT(Weather_Input!C8,"0") &amp; "/" &amp; TEXT((Weather_Input!B8+Weather_Input!C8)/2,"0")</f>
        <v>36/22/29</v>
      </c>
      <c r="H5" s="468" t="str">
        <f>TEXT(Weather_Input!B9,"0")&amp;"/"&amp;TEXT(Weather_Input!C9,"0") &amp; "/" &amp; TEXT((Weather_Input!B9+Weather_Input!C9)/2,"0")</f>
        <v>33/20/27</v>
      </c>
      <c r="I5" s="469" t="str">
        <f>TEXT(Weather_Input!B10,"0")&amp;"/"&amp;TEXT(Weather_Input!C10,"0") &amp; "/" &amp; TEXT((Weather_Input!B10+Weather_Input!C10)/2,"0")</f>
        <v>40/28/34</v>
      </c>
    </row>
    <row r="6" spans="1:256" ht="15.75">
      <c r="A6" s="853" t="s">
        <v>139</v>
      </c>
      <c r="B6" s="841"/>
      <c r="C6" s="841"/>
      <c r="D6" s="468">
        <f>PGL_Deliveries!C5/1000</f>
        <v>1195</v>
      </c>
      <c r="E6" s="468">
        <f>PGL_Deliveries!C6/1000</f>
        <v>1125</v>
      </c>
      <c r="F6" s="468">
        <f>PGL_Deliveries!C7/1000</f>
        <v>1045</v>
      </c>
      <c r="G6" s="468">
        <f>PGL_Deliveries!C8/1000</f>
        <v>1075</v>
      </c>
      <c r="H6" s="468">
        <f>PGL_Deliveries!C9/1000</f>
        <v>1090</v>
      </c>
      <c r="I6" s="469">
        <f>PGL_Deliveries!C10/1000</f>
        <v>965</v>
      </c>
    </row>
    <row r="7" spans="1:256" ht="15.75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 ht="15.75">
      <c r="A8" s="853" t="s">
        <v>728</v>
      </c>
      <c r="B8" s="841"/>
      <c r="C8" s="841"/>
      <c r="D8" s="468">
        <f>PGL_Requirements!I7/1000</f>
        <v>9.9870000000000001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 ht="15.75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 ht="15.75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 ht="15.75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 ht="15.75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 ht="15.75">
      <c r="A13" s="850" t="s">
        <v>144</v>
      </c>
      <c r="B13" s="841" t="s">
        <v>145</v>
      </c>
      <c r="C13" s="841" t="s">
        <v>60</v>
      </c>
      <c r="D13" s="468">
        <f>PGL_Requirements!P7/1000</f>
        <v>0</v>
      </c>
      <c r="E13" s="468">
        <f>PGL_Requirements!P8/1000</f>
        <v>0</v>
      </c>
      <c r="F13" s="468">
        <f>PGL_Requirements!P9/1000</f>
        <v>0</v>
      </c>
      <c r="G13" s="468">
        <f>PGL_Requirements!P10/1000</f>
        <v>0</v>
      </c>
      <c r="H13" s="468">
        <f>PGL_Requirements!P11/1000</f>
        <v>250</v>
      </c>
      <c r="I13" s="469">
        <f>PGL_Requirements!P12/1000</f>
        <v>250</v>
      </c>
    </row>
    <row r="14" spans="1:256" ht="15.75">
      <c r="A14" s="850"/>
      <c r="B14" s="841"/>
      <c r="C14" s="841" t="s">
        <v>101</v>
      </c>
      <c r="D14" s="468">
        <f>PGL_Requirements!Q7/1000</f>
        <v>0</v>
      </c>
      <c r="E14" s="468">
        <f>PGL_Requirements!Q8/1000</f>
        <v>0</v>
      </c>
      <c r="F14" s="468">
        <f>PGL_Requirements!Q9/1000</f>
        <v>0</v>
      </c>
      <c r="G14" s="468">
        <f>PGL_Requirements!Q10/1000</f>
        <v>0</v>
      </c>
      <c r="H14" s="468">
        <f>PGL_Requirements!Q11/1000</f>
        <v>3.75</v>
      </c>
      <c r="I14" s="469">
        <f>PGL_Requirements!Q12/1000</f>
        <v>3.75</v>
      </c>
    </row>
    <row r="15" spans="1:256" ht="15.75">
      <c r="A15" s="850"/>
      <c r="C15" s="841" t="s">
        <v>747</v>
      </c>
      <c r="D15" s="468">
        <f>PGL_Requirements!R7/1000</f>
        <v>0.66</v>
      </c>
      <c r="E15" s="468">
        <f>PGL_Requirements!R8/1000</f>
        <v>0.66</v>
      </c>
      <c r="F15" s="468">
        <f>PGL_Requirements!R9/1000</f>
        <v>0.66</v>
      </c>
      <c r="G15" s="468">
        <f>PGL_Requirements!R10/1000</f>
        <v>0.66</v>
      </c>
      <c r="H15" s="468">
        <f>PGL_Requirements!R11/1000</f>
        <v>0.66</v>
      </c>
      <c r="I15" s="469">
        <f>PGL_Requirements!R12/1000</f>
        <v>0.66</v>
      </c>
    </row>
    <row r="16" spans="1:256" ht="15.75">
      <c r="A16" s="850"/>
      <c r="C16" s="841" t="s">
        <v>780</v>
      </c>
      <c r="D16" s="468">
        <f>PGL_Requirements!B7/1000</f>
        <v>10.452</v>
      </c>
      <c r="E16" s="468">
        <f>PGL_Requirements!B8/1000</f>
        <v>10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 ht="15.75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 ht="15.75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 ht="15.75">
      <c r="A19" s="850"/>
      <c r="B19" s="841" t="s">
        <v>141</v>
      </c>
      <c r="C19" s="841" t="s">
        <v>90</v>
      </c>
      <c r="D19" s="468">
        <f>PGL_Requirements!O7/1000</f>
        <v>0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 ht="15.75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 ht="15.75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 ht="15.75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 ht="15.75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 ht="15.75">
      <c r="A24" s="853" t="s">
        <v>149</v>
      </c>
      <c r="B24" s="841"/>
      <c r="C24" s="841"/>
      <c r="D24" s="468">
        <f>PGL_Requirements!G7/1000</f>
        <v>24.33</v>
      </c>
      <c r="E24" s="468">
        <f>PGL_Requirements!G8/1000</f>
        <v>0</v>
      </c>
      <c r="F24" s="468">
        <f>PGL_Requirements!G9/1000</f>
        <v>50</v>
      </c>
      <c r="G24" s="468">
        <f>PGL_Requirements!G10/1000</f>
        <v>50</v>
      </c>
      <c r="H24" s="468">
        <f>PGL_Requirements!G11/1000</f>
        <v>0</v>
      </c>
      <c r="I24" s="469">
        <f>PGL_Requirements!G12/1000</f>
        <v>0</v>
      </c>
    </row>
    <row r="25" spans="1:10" ht="15.75">
      <c r="A25" s="850" t="s">
        <v>150</v>
      </c>
      <c r="B25" s="841" t="s">
        <v>765</v>
      </c>
      <c r="C25" s="841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 ht="15.75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 ht="15.75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 ht="15.75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 ht="15.75">
      <c r="A29" s="850"/>
      <c r="B29" s="841" t="s">
        <v>96</v>
      </c>
      <c r="C29" s="841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6.5" thickBot="1">
      <c r="A30" s="858" t="s">
        <v>151</v>
      </c>
      <c r="B30" s="859"/>
      <c r="C30" s="859"/>
      <c r="D30" s="472">
        <f t="shared" ref="D30:I30" si="1">SUM(D6:D29)</f>
        <v>1240.4290000000001</v>
      </c>
      <c r="E30" s="472">
        <f t="shared" si="1"/>
        <v>1135.6600000000001</v>
      </c>
      <c r="F30" s="472">
        <f t="shared" si="1"/>
        <v>1095.6600000000001</v>
      </c>
      <c r="G30" s="472">
        <f t="shared" si="1"/>
        <v>1125.6600000000001</v>
      </c>
      <c r="H30" s="472">
        <f t="shared" si="1"/>
        <v>1344.41</v>
      </c>
      <c r="I30" s="1177">
        <f t="shared" si="1"/>
        <v>1219.4100000000001</v>
      </c>
    </row>
    <row r="31" spans="1:10" ht="17.25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5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6.5" thickTop="1">
      <c r="A33" s="850" t="s">
        <v>153</v>
      </c>
      <c r="B33" s="841" t="s">
        <v>145</v>
      </c>
      <c r="C33" s="841" t="s">
        <v>60</v>
      </c>
      <c r="D33" s="468">
        <f>PGL_Supplies!M7/1000</f>
        <v>239.77</v>
      </c>
      <c r="E33" s="468">
        <f>PGL_Supplies!M8/1000</f>
        <v>220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 ht="15.75">
      <c r="A34" s="850"/>
      <c r="B34" s="841"/>
      <c r="C34" s="841" t="s">
        <v>94</v>
      </c>
      <c r="D34" s="468">
        <f>PGL_Supplies!H7/1000</f>
        <v>0</v>
      </c>
      <c r="E34" s="468">
        <f>PGL_Supplies!H8/1000</f>
        <v>0</v>
      </c>
      <c r="F34" s="468">
        <f>PGL_Supplies!H9/1000</f>
        <v>0</v>
      </c>
      <c r="G34" s="468">
        <f>PGL_Supplies!H10/1000</f>
        <v>0</v>
      </c>
      <c r="H34" s="468">
        <f>PGL_Supplies!H11/1000</f>
        <v>0</v>
      </c>
      <c r="I34" s="469">
        <f>PGL_Supplies!H12/1000</f>
        <v>0</v>
      </c>
    </row>
    <row r="35" spans="1:9" ht="15.75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 ht="15.75">
      <c r="A36" s="850"/>
      <c r="B36" s="841" t="s">
        <v>143</v>
      </c>
      <c r="C36" s="841" t="s">
        <v>90</v>
      </c>
      <c r="D36" s="468">
        <f>PGL_Supplies!R7/1000</f>
        <v>24.331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 ht="15.75">
      <c r="A37" s="850"/>
      <c r="B37" s="841" t="s">
        <v>141</v>
      </c>
      <c r="C37" s="841" t="s">
        <v>90</v>
      </c>
      <c r="D37" s="468">
        <f>PGL_Supplies!L7/1000</f>
        <v>123.83799999999999</v>
      </c>
      <c r="E37" s="468">
        <f>PGL_Supplies!L8/1000</f>
        <v>62.53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 ht="15.75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 ht="15.75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 ht="15.75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 ht="15.75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 ht="15.75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 ht="15.75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 ht="15.75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 ht="15.75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 ht="15.75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 ht="15.75">
      <c r="A47" s="867" t="s">
        <v>775</v>
      </c>
      <c r="B47" s="841" t="s">
        <v>753</v>
      </c>
      <c r="C47" s="841"/>
      <c r="D47" s="468">
        <f>PGL_Supplies!Y7/1000</f>
        <v>160.43199999999999</v>
      </c>
      <c r="E47" s="468">
        <f>PGL_Supplies!Y8/1000</f>
        <v>189.161</v>
      </c>
      <c r="F47" s="468">
        <f>PGL_Supplies!Y9/1000</f>
        <v>189.161</v>
      </c>
      <c r="G47" s="468">
        <f>PGL_Supplies!Y10/1000</f>
        <v>189.161</v>
      </c>
      <c r="H47" s="468">
        <f>PGL_Supplies!Y11/1000</f>
        <v>189.161</v>
      </c>
      <c r="I47" s="469">
        <f>PGL_Supplies!Y12/1000</f>
        <v>189.161</v>
      </c>
    </row>
    <row r="48" spans="1:9" ht="15.75">
      <c r="A48" s="853"/>
      <c r="B48" s="841" t="s">
        <v>143</v>
      </c>
      <c r="C48" s="854"/>
      <c r="D48" s="468">
        <f>PGL_Supplies!Z7/1000</f>
        <v>70</v>
      </c>
      <c r="E48" s="468">
        <f>PGL_Supplies!Z8/1000</f>
        <v>70</v>
      </c>
      <c r="F48" s="468">
        <f>PGL_Supplies!Z9/1000</f>
        <v>70</v>
      </c>
      <c r="G48" s="468">
        <f>PGL_Supplies!Z10/1000</f>
        <v>70</v>
      </c>
      <c r="H48" s="468">
        <f>PGL_Supplies!Z11/1000</f>
        <v>70</v>
      </c>
      <c r="I48" s="469">
        <f>PGL_Supplies!Z12/1000</f>
        <v>70</v>
      </c>
    </row>
    <row r="49" spans="1:10" ht="15.75">
      <c r="A49" s="853"/>
      <c r="B49" s="841" t="s">
        <v>147</v>
      </c>
      <c r="C49" s="854"/>
      <c r="D49" s="468">
        <f>PGL_Supplies!AA7/1000</f>
        <v>127.804</v>
      </c>
      <c r="E49" s="468">
        <f>PGL_Supplies!AA8/1000</f>
        <v>86.734999999999999</v>
      </c>
      <c r="F49" s="468">
        <f>PGL_Supplies!AA9/1000</f>
        <v>86.734999999999999</v>
      </c>
      <c r="G49" s="468">
        <f>PGL_Supplies!AA10/1000</f>
        <v>86.734999999999999</v>
      </c>
      <c r="H49" s="468">
        <f>PGL_Supplies!AA11/1000</f>
        <v>86.734999999999999</v>
      </c>
      <c r="I49" s="469">
        <f>PGL_Supplies!AA12/1000</f>
        <v>86.734999999999999</v>
      </c>
    </row>
    <row r="50" spans="1:10" ht="15.75">
      <c r="A50" s="853"/>
      <c r="B50" s="841" t="s">
        <v>421</v>
      </c>
      <c r="C50" s="854"/>
      <c r="D50" s="468">
        <f>PGL_Supplies!AB7/1000</f>
        <v>245.45099999999999</v>
      </c>
      <c r="E50" s="468">
        <f>PGL_Supplies!AB8/1000</f>
        <v>251.751</v>
      </c>
      <c r="F50" s="468">
        <f>PGL_Supplies!AB9/1000</f>
        <v>251.751</v>
      </c>
      <c r="G50" s="468">
        <f>PGL_Supplies!AB10/1000</f>
        <v>251.751</v>
      </c>
      <c r="H50" s="468">
        <f>PGL_Supplies!AB11/1000</f>
        <v>251.751</v>
      </c>
      <c r="I50" s="469">
        <f>PGL_Supplies!AB12/1000</f>
        <v>251.751</v>
      </c>
    </row>
    <row r="51" spans="1:10" ht="15.75">
      <c r="A51" s="853"/>
      <c r="B51" s="841" t="s">
        <v>141</v>
      </c>
      <c r="C51" s="841"/>
      <c r="D51" s="468">
        <f>PGL_Supplies!AC7/1000</f>
        <v>52.670999999999999</v>
      </c>
      <c r="E51" s="468">
        <f>PGL_Supplies!AC8/1000</f>
        <v>180.95</v>
      </c>
      <c r="F51" s="468">
        <f>PGL_Supplies!AC9/1000</f>
        <v>180.95</v>
      </c>
      <c r="G51" s="468">
        <f>PGL_Supplies!AC10/1000</f>
        <v>180.95</v>
      </c>
      <c r="H51" s="468">
        <f>PGL_Supplies!AC11/1000</f>
        <v>180.95</v>
      </c>
      <c r="I51" s="469">
        <f>PGL_Supplies!AC12/1000</f>
        <v>180.95</v>
      </c>
    </row>
    <row r="52" spans="1:10" ht="15.75">
      <c r="A52" s="853"/>
      <c r="B52" s="841" t="s">
        <v>142</v>
      </c>
      <c r="C52" s="841"/>
      <c r="D52" s="468">
        <f>PGL_Supplies!AD7/1000</f>
        <v>196.22</v>
      </c>
      <c r="E52" s="468">
        <f>PGL_Supplies!AD8/1000</f>
        <v>71.537999999999997</v>
      </c>
      <c r="F52" s="468">
        <f>PGL_Supplies!AD9/1000</f>
        <v>71.537999999999997</v>
      </c>
      <c r="G52" s="468">
        <f>PGL_Supplies!AD10/1000</f>
        <v>71.537999999999997</v>
      </c>
      <c r="H52" s="468">
        <f>PGL_Supplies!AD11/1000</f>
        <v>71.537999999999997</v>
      </c>
      <c r="I52" s="469">
        <f>PGL_Supplies!AD12/1000</f>
        <v>71.537999999999997</v>
      </c>
    </row>
    <row r="53" spans="1:10" ht="15.75">
      <c r="A53" s="867"/>
      <c r="B53" s="841" t="s">
        <v>158</v>
      </c>
      <c r="C53" s="841"/>
      <c r="D53" s="468">
        <f>PGL_Supplies!I7/1000</f>
        <v>10.113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 ht="15.75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 ht="15.75">
      <c r="A55" s="853" t="s">
        <v>792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 ht="15.75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 ht="15.75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 ht="15.75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 ht="15.75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 ht="15.75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6.5" thickBot="1">
      <c r="A61" s="871" t="s">
        <v>160</v>
      </c>
      <c r="B61" s="872"/>
      <c r="C61" s="872"/>
      <c r="D61" s="478">
        <f t="shared" ref="D61:I61" si="2">SUM(D33:D60)</f>
        <v>1250.6300000000001</v>
      </c>
      <c r="E61" s="478">
        <f t="shared" si="2"/>
        <v>1135.665</v>
      </c>
      <c r="F61" s="478">
        <f t="shared" si="2"/>
        <v>853.13499999999999</v>
      </c>
      <c r="G61" s="478">
        <f t="shared" si="2"/>
        <v>853.13499999999999</v>
      </c>
      <c r="H61" s="478">
        <f t="shared" si="2"/>
        <v>853.13499999999999</v>
      </c>
      <c r="I61" s="1179">
        <f t="shared" si="2"/>
        <v>853.13499999999999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10.201000000000022</v>
      </c>
      <c r="E62" s="479">
        <f t="shared" si="3"/>
        <v>4.9999999998817657E-3</v>
      </c>
      <c r="F62" s="479">
        <f t="shared" si="3"/>
        <v>0</v>
      </c>
      <c r="G62" s="479">
        <f t="shared" si="3"/>
        <v>0</v>
      </c>
      <c r="H62" s="479">
        <f t="shared" si="3"/>
        <v>0</v>
      </c>
      <c r="I62" s="1180">
        <f t="shared" si="3"/>
        <v>0</v>
      </c>
    </row>
    <row r="63" spans="1:10" ht="15.75" thickBot="1">
      <c r="A63" s="875" t="s">
        <v>162</v>
      </c>
      <c r="B63" s="859"/>
      <c r="C63" s="876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242.52500000000009</v>
      </c>
      <c r="G63" s="480">
        <f t="shared" si="4"/>
        <v>272.52500000000009</v>
      </c>
      <c r="H63" s="480">
        <f t="shared" si="4"/>
        <v>491.27500000000009</v>
      </c>
      <c r="I63" s="1181">
        <f t="shared" si="4"/>
        <v>366.27500000000009</v>
      </c>
    </row>
    <row r="64" spans="1:10" ht="16.5" thickTop="1" thickBot="1">
      <c r="A64" s="1168" t="s">
        <v>779</v>
      </c>
      <c r="B64" s="1169"/>
      <c r="C64" s="1169"/>
      <c r="D64" s="1170">
        <f>PGL_Supplies!V7/1000</f>
        <v>311.20100000000002</v>
      </c>
      <c r="E64" s="1170">
        <f>PGL_Supplies!V8/1000</f>
        <v>271.28500000000003</v>
      </c>
      <c r="F64" s="1170">
        <f>PGL_Supplies!V9/1000</f>
        <v>271.28500000000003</v>
      </c>
      <c r="G64" s="1170">
        <f>PGL_Supplies!V10/1000</f>
        <v>271.28500000000003</v>
      </c>
      <c r="H64" s="1170">
        <f>PGL_Supplies!V11/1000</f>
        <v>271.28500000000003</v>
      </c>
      <c r="I64" s="1171">
        <f>PGL_Supplies!V12/1000</f>
        <v>271.28500000000003</v>
      </c>
    </row>
    <row r="65" ht="15.75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2001-03-06T16:51:26Z</cp:lastPrinted>
  <dcterms:created xsi:type="dcterms:W3CDTF">1997-07-16T16:14:22Z</dcterms:created>
  <dcterms:modified xsi:type="dcterms:W3CDTF">2023-09-10T17:14:29Z</dcterms:modified>
</cp:coreProperties>
</file>