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AED8E1-84A6-46ED-9F63-9AFE00901B15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Sheet1" sheetId="1" state="hidden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4" i="1"/>
  <c r="B5" i="1"/>
  <c r="B6" i="1"/>
  <c r="B7" i="1"/>
  <c r="D7" i="1"/>
  <c r="L7" i="1"/>
  <c r="B8" i="1"/>
  <c r="D8" i="1"/>
  <c r="L8" i="1"/>
  <c r="B9" i="1"/>
  <c r="D9" i="1"/>
  <c r="L9" i="1"/>
  <c r="B10" i="1"/>
  <c r="D10" i="1"/>
  <c r="L10" i="1"/>
  <c r="B11" i="1"/>
  <c r="D11" i="1"/>
  <c r="L11" i="1"/>
  <c r="B12" i="1"/>
  <c r="D12" i="1"/>
  <c r="L12" i="1"/>
  <c r="B13" i="1"/>
  <c r="D13" i="1"/>
  <c r="L13" i="1"/>
  <c r="B14" i="1"/>
  <c r="D14" i="1"/>
  <c r="L14" i="1"/>
  <c r="B15" i="1"/>
  <c r="D15" i="1"/>
  <c r="L15" i="1"/>
  <c r="B16" i="1"/>
  <c r="D16" i="1"/>
  <c r="L16" i="1"/>
  <c r="B17" i="1"/>
  <c r="D17" i="1"/>
  <c r="L17" i="1"/>
  <c r="B18" i="1"/>
  <c r="D18" i="1"/>
  <c r="L18" i="1"/>
  <c r="B19" i="1"/>
  <c r="D19" i="1"/>
  <c r="L19" i="1"/>
  <c r="B20" i="1"/>
  <c r="D20" i="1"/>
  <c r="L20" i="1"/>
  <c r="B21" i="1"/>
  <c r="D21" i="1"/>
  <c r="L21" i="1"/>
  <c r="B22" i="1"/>
  <c r="D22" i="1"/>
  <c r="L22" i="1"/>
  <c r="B23" i="1"/>
  <c r="D23" i="1"/>
  <c r="L23" i="1"/>
  <c r="B24" i="1"/>
  <c r="D24" i="1"/>
  <c r="L24" i="1"/>
  <c r="B25" i="1"/>
  <c r="D25" i="1"/>
  <c r="L25" i="1"/>
  <c r="B26" i="1"/>
  <c r="D26" i="1"/>
  <c r="L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L33" i="1"/>
  <c r="B34" i="1"/>
  <c r="D34" i="1"/>
  <c r="L34" i="1"/>
  <c r="B35" i="1"/>
  <c r="D35" i="1"/>
  <c r="L35" i="1"/>
  <c r="B36" i="1"/>
  <c r="D36" i="1"/>
  <c r="L36" i="1"/>
  <c r="B37" i="1"/>
  <c r="D37" i="1"/>
  <c r="L37" i="1"/>
  <c r="B38" i="1"/>
  <c r="D38" i="1"/>
  <c r="B39" i="1"/>
  <c r="D39" i="1"/>
  <c r="B40" i="1"/>
  <c r="D40" i="1"/>
  <c r="B41" i="1"/>
  <c r="D41" i="1"/>
  <c r="E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B71" i="1"/>
  <c r="D71" i="1"/>
  <c r="B72" i="1"/>
  <c r="D72" i="1"/>
  <c r="B73" i="1"/>
  <c r="B74" i="1"/>
  <c r="D74" i="1"/>
  <c r="B75" i="1"/>
  <c r="B76" i="1"/>
  <c r="B77" i="1"/>
  <c r="D77" i="1"/>
  <c r="B78" i="1"/>
  <c r="D78" i="1"/>
  <c r="B79" i="1"/>
  <c r="B80" i="1"/>
  <c r="D80" i="1"/>
  <c r="B81" i="1"/>
  <c r="D81" i="1"/>
  <c r="B82" i="1"/>
  <c r="D82" i="1"/>
  <c r="B83" i="1"/>
  <c r="D83" i="1"/>
  <c r="B84" i="1"/>
  <c r="D84" i="1"/>
  <c r="B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D99" i="1"/>
  <c r="B100" i="1"/>
  <c r="B101" i="1"/>
  <c r="D101" i="1"/>
  <c r="B102" i="1"/>
  <c r="D102" i="1"/>
  <c r="B103" i="1"/>
  <c r="D103" i="1"/>
  <c r="B104" i="1"/>
  <c r="D104" i="1"/>
  <c r="E104" i="1"/>
  <c r="F104" i="1"/>
  <c r="B105" i="1"/>
  <c r="D105" i="1"/>
  <c r="B106" i="1"/>
  <c r="D106" i="1"/>
  <c r="B107" i="1"/>
  <c r="D107" i="1"/>
  <c r="B108" i="1"/>
  <c r="E108" i="1"/>
  <c r="B109" i="1"/>
  <c r="E109" i="1"/>
  <c r="B110" i="1"/>
  <c r="E110" i="1"/>
  <c r="F110" i="1"/>
  <c r="B111" i="1"/>
  <c r="D111" i="1"/>
  <c r="B112" i="1"/>
  <c r="D112" i="1"/>
  <c r="B113" i="1"/>
  <c r="B114" i="1"/>
  <c r="F114" i="1"/>
  <c r="B115" i="1"/>
  <c r="B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D130" i="1"/>
  <c r="B131" i="1"/>
  <c r="B132" i="1"/>
  <c r="B133" i="1"/>
  <c r="D133" i="1"/>
  <c r="B134" i="1"/>
  <c r="B135" i="1"/>
  <c r="D135" i="1"/>
  <c r="B136" i="1"/>
  <c r="D136" i="1"/>
  <c r="B137" i="1"/>
  <c r="B138" i="1"/>
  <c r="D138" i="1"/>
  <c r="B139" i="1"/>
  <c r="D139" i="1"/>
  <c r="B140" i="1"/>
  <c r="B141" i="1"/>
  <c r="B142" i="1"/>
  <c r="D142" i="1"/>
  <c r="B143" i="1"/>
  <c r="D143" i="1"/>
  <c r="B144" i="1"/>
  <c r="D144" i="1"/>
  <c r="B145" i="1"/>
  <c r="D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D179" i="1"/>
  <c r="B180" i="1"/>
  <c r="C180" i="1"/>
  <c r="D180" i="1"/>
  <c r="B181" i="1"/>
  <c r="B182" i="1"/>
  <c r="B183" i="1"/>
  <c r="B184" i="1"/>
  <c r="B185" i="1"/>
  <c r="B186" i="1"/>
  <c r="C186" i="1"/>
  <c r="B187" i="1"/>
  <c r="B188" i="1"/>
  <c r="B189" i="1"/>
  <c r="B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C197" i="1"/>
  <c r="D197" i="1"/>
  <c r="B198" i="1"/>
  <c r="C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C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C227" i="1"/>
  <c r="D227" i="1"/>
  <c r="B228" i="1"/>
  <c r="D228" i="1"/>
  <c r="B229" i="1"/>
  <c r="D229" i="1"/>
  <c r="B230" i="1"/>
  <c r="D230" i="1"/>
  <c r="B231" i="1"/>
  <c r="C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C238" i="1"/>
  <c r="D238" i="1"/>
  <c r="B239" i="1"/>
  <c r="D239" i="1"/>
  <c r="B240" i="1"/>
  <c r="D240" i="1"/>
  <c r="B241" i="1"/>
  <c r="C241" i="1"/>
  <c r="D241" i="1"/>
  <c r="B242" i="1"/>
  <c r="C242" i="1"/>
  <c r="D242" i="1"/>
  <c r="B243" i="1"/>
  <c r="C243" i="1"/>
  <c r="D243" i="1"/>
  <c r="B244" i="1"/>
  <c r="D244" i="1"/>
  <c r="B245" i="1"/>
  <c r="D245" i="1"/>
  <c r="B246" i="1"/>
  <c r="C246" i="1"/>
  <c r="D246" i="1"/>
  <c r="B247" i="1"/>
  <c r="C247" i="1"/>
  <c r="D247" i="1"/>
  <c r="B248" i="1"/>
  <c r="D248" i="1"/>
  <c r="B249" i="1"/>
  <c r="D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F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E263" i="1"/>
  <c r="F263" i="1"/>
  <c r="B264" i="1"/>
  <c r="C264" i="1"/>
  <c r="D264" i="1"/>
  <c r="B265" i="1"/>
  <c r="C265" i="1"/>
  <c r="D265" i="1"/>
  <c r="B266" i="1"/>
  <c r="C266" i="1"/>
  <c r="D266" i="1"/>
  <c r="F266" i="1"/>
  <c r="B267" i="1"/>
  <c r="C267" i="1"/>
  <c r="D267" i="1"/>
  <c r="F267" i="1"/>
  <c r="B268" i="1"/>
  <c r="C268" i="1"/>
  <c r="D268" i="1"/>
  <c r="B269" i="1"/>
  <c r="C269" i="1"/>
  <c r="D269" i="1"/>
  <c r="F269" i="1"/>
  <c r="B270" i="1"/>
  <c r="C270" i="1"/>
  <c r="D270" i="1"/>
  <c r="F270" i="1"/>
  <c r="B271" i="1"/>
  <c r="D271" i="1"/>
  <c r="F271" i="1"/>
  <c r="B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D278" i="1"/>
  <c r="B279" i="1"/>
  <c r="D279" i="1"/>
  <c r="B280" i="1"/>
  <c r="B281" i="1"/>
  <c r="C281" i="1"/>
  <c r="D281" i="1"/>
  <c r="B282" i="1"/>
  <c r="C282" i="1"/>
  <c r="D282" i="1"/>
  <c r="B283" i="1"/>
  <c r="C283" i="1"/>
  <c r="D283" i="1"/>
  <c r="F283" i="1"/>
  <c r="B284" i="1"/>
  <c r="C284" i="1"/>
  <c r="D284" i="1"/>
  <c r="B285" i="1"/>
  <c r="C285" i="1"/>
  <c r="D285" i="1"/>
  <c r="E285" i="1"/>
  <c r="B286" i="1"/>
  <c r="C286" i="1"/>
  <c r="D286" i="1"/>
  <c r="B287" i="1"/>
  <c r="C287" i="1"/>
  <c r="D287" i="1"/>
  <c r="E287" i="1"/>
  <c r="B288" i="1"/>
  <c r="C288" i="1"/>
  <c r="D288" i="1"/>
  <c r="E288" i="1"/>
  <c r="B289" i="1"/>
  <c r="C289" i="1"/>
  <c r="D289" i="1"/>
  <c r="B290" i="1"/>
  <c r="C290" i="1"/>
  <c r="D290" i="1"/>
  <c r="B291" i="1"/>
  <c r="C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2" i="1"/>
  <c r="C302" i="1"/>
  <c r="D302" i="1"/>
  <c r="E302" i="1"/>
  <c r="F302" i="1"/>
  <c r="G302" i="1"/>
  <c r="H302" i="1"/>
  <c r="I302" i="1"/>
  <c r="C307" i="1"/>
  <c r="C308" i="1"/>
  <c r="C310" i="1"/>
  <c r="C311" i="1"/>
  <c r="C312" i="1"/>
  <c r="C313" i="1"/>
  <c r="C314" i="1"/>
  <c r="C315" i="1"/>
  <c r="C316" i="1"/>
  <c r="C317" i="1"/>
  <c r="D317" i="1"/>
  <c r="C318" i="1"/>
  <c r="C319" i="1"/>
  <c r="C320" i="1"/>
  <c r="C322" i="1"/>
  <c r="C323" i="1"/>
  <c r="C324" i="1"/>
  <c r="D324" i="1"/>
  <c r="C325" i="1"/>
  <c r="C327" i="1"/>
  <c r="C328" i="1"/>
  <c r="C329" i="1"/>
  <c r="C330" i="1"/>
  <c r="C331" i="1"/>
  <c r="C332" i="1"/>
  <c r="C333" i="1"/>
  <c r="C334" i="1"/>
  <c r="C335" i="1"/>
  <c r="C336" i="1"/>
  <c r="D336" i="1"/>
  <c r="C337" i="1"/>
  <c r="C338" i="1"/>
  <c r="C341" i="1"/>
  <c r="D341" i="1"/>
  <c r="C342" i="1"/>
  <c r="D342" i="1"/>
  <c r="C343" i="1"/>
  <c r="D343" i="1"/>
  <c r="C344" i="1"/>
  <c r="D344" i="1"/>
  <c r="C345" i="1"/>
  <c r="D345" i="1"/>
  <c r="C346" i="1"/>
  <c r="C347" i="1"/>
  <c r="D347" i="1"/>
  <c r="C348" i="1"/>
  <c r="D348" i="1"/>
  <c r="C349" i="1"/>
  <c r="D349" i="1"/>
  <c r="C350" i="1"/>
  <c r="D350" i="1"/>
  <c r="C351" i="1"/>
  <c r="D351" i="1"/>
  <c r="C352" i="1"/>
  <c r="C353" i="1"/>
  <c r="C354" i="1"/>
  <c r="D354" i="1"/>
  <c r="C355" i="1"/>
  <c r="D355" i="1"/>
  <c r="C356" i="1"/>
  <c r="C357" i="1"/>
  <c r="C358" i="1"/>
  <c r="D358" i="1"/>
  <c r="C359" i="1"/>
  <c r="D359" i="1"/>
  <c r="C360" i="1"/>
  <c r="D360" i="1"/>
  <c r="C361" i="1"/>
  <c r="C362" i="1"/>
  <c r="C363" i="1"/>
  <c r="C364" i="1"/>
  <c r="C365" i="1"/>
  <c r="C366" i="1"/>
  <c r="C367" i="1"/>
  <c r="B372" i="1"/>
  <c r="C372" i="1"/>
  <c r="C373" i="1"/>
  <c r="C374" i="1"/>
  <c r="B375" i="1"/>
  <c r="C375" i="1"/>
  <c r="B376" i="1"/>
  <c r="C376" i="1"/>
  <c r="C377" i="1"/>
  <c r="C378" i="1"/>
  <c r="B379" i="1"/>
  <c r="C379" i="1"/>
  <c r="C380" i="1"/>
  <c r="B381" i="1"/>
  <c r="C381" i="1"/>
  <c r="C382" i="1"/>
  <c r="B383" i="1"/>
  <c r="C383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C392" i="1"/>
  <c r="B393" i="1"/>
  <c r="C393" i="1"/>
  <c r="C394" i="1"/>
  <c r="B395" i="1"/>
  <c r="C395" i="1"/>
  <c r="B396" i="1"/>
  <c r="C396" i="1"/>
  <c r="C397" i="1"/>
  <c r="C398" i="1"/>
  <c r="C399" i="1"/>
  <c r="C400" i="1"/>
  <c r="C401" i="1"/>
  <c r="C402" i="1"/>
  <c r="C403" i="1"/>
  <c r="B404" i="1"/>
  <c r="C404" i="1"/>
  <c r="C405" i="1"/>
  <c r="C407" i="1"/>
  <c r="C409" i="1"/>
  <c r="B411" i="1"/>
  <c r="C411" i="1"/>
  <c r="B412" i="1"/>
  <c r="C412" i="1"/>
  <c r="C413" i="1"/>
  <c r="B416" i="1"/>
  <c r="C416" i="1"/>
  <c r="B417" i="1"/>
  <c r="C417" i="1"/>
  <c r="B418" i="1"/>
  <c r="C418" i="1"/>
  <c r="C419" i="1"/>
  <c r="B421" i="1"/>
  <c r="C423" i="1"/>
  <c r="C424" i="1"/>
  <c r="C425" i="1"/>
  <c r="C426" i="1"/>
  <c r="C428" i="1"/>
  <c r="C429" i="1"/>
  <c r="C430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C443" i="1"/>
  <c r="C444" i="1"/>
  <c r="B445" i="1"/>
  <c r="C445" i="1"/>
  <c r="B446" i="1"/>
  <c r="C446" i="1"/>
  <c r="E446" i="1"/>
  <c r="C447" i="1"/>
  <c r="C448" i="1"/>
  <c r="E448" i="1"/>
  <c r="C449" i="1"/>
  <c r="E449" i="1"/>
  <c r="C450" i="1"/>
  <c r="D450" i="1"/>
  <c r="E450" i="1"/>
  <c r="C451" i="1"/>
  <c r="E451" i="1"/>
  <c r="C452" i="1"/>
  <c r="C453" i="1"/>
  <c r="E453" i="1"/>
  <c r="C454" i="1"/>
  <c r="C455" i="1"/>
  <c r="D455" i="1"/>
  <c r="E455" i="1"/>
  <c r="C456" i="1"/>
  <c r="E456" i="1"/>
  <c r="C457" i="1"/>
  <c r="C458" i="1"/>
  <c r="B459" i="1"/>
  <c r="C459" i="1"/>
  <c r="B463" i="1"/>
  <c r="C463" i="1"/>
  <c r="B464" i="1"/>
  <c r="C464" i="1"/>
  <c r="D464" i="1"/>
  <c r="C465" i="1"/>
  <c r="D465" i="1"/>
  <c r="B466" i="1"/>
  <c r="C466" i="1"/>
  <c r="C467" i="1"/>
  <c r="D467" i="1"/>
  <c r="C468" i="1"/>
  <c r="D468" i="1"/>
  <c r="B469" i="1"/>
  <c r="C469" i="1"/>
  <c r="B470" i="1"/>
  <c r="C470" i="1"/>
  <c r="D470" i="1"/>
  <c r="B471" i="1"/>
  <c r="C471" i="1"/>
  <c r="B472" i="1"/>
  <c r="C472" i="1"/>
  <c r="D472" i="1"/>
  <c r="B473" i="1"/>
  <c r="C473" i="1"/>
  <c r="B474" i="1"/>
  <c r="C474" i="1"/>
  <c r="B475" i="1"/>
  <c r="C475" i="1"/>
  <c r="B476" i="1"/>
  <c r="C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C484" i="1"/>
  <c r="C486" i="1"/>
  <c r="C487" i="1"/>
  <c r="C488" i="1"/>
  <c r="B494" i="1"/>
  <c r="C494" i="1"/>
  <c r="B495" i="1"/>
  <c r="C495" i="1"/>
  <c r="D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D501" i="1"/>
  <c r="B502" i="1"/>
  <c r="C502" i="1"/>
  <c r="D502" i="1"/>
  <c r="B503" i="1"/>
  <c r="C503" i="1"/>
  <c r="D503" i="1"/>
  <c r="B504" i="1"/>
  <c r="C504" i="1"/>
  <c r="B505" i="1"/>
  <c r="D505" i="1"/>
  <c r="B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D512" i="1"/>
  <c r="B513" i="1"/>
  <c r="C513" i="1"/>
  <c r="B514" i="1"/>
  <c r="C514" i="1"/>
  <c r="D514" i="1"/>
  <c r="B515" i="1"/>
  <c r="C515" i="1"/>
  <c r="B516" i="1"/>
  <c r="C516" i="1"/>
  <c r="B517" i="1"/>
  <c r="C517" i="1"/>
  <c r="B518" i="1"/>
  <c r="C518" i="1"/>
  <c r="D518" i="1"/>
  <c r="B519" i="1"/>
  <c r="C519" i="1"/>
  <c r="D519" i="1"/>
  <c r="B520" i="1"/>
  <c r="C520" i="1"/>
  <c r="B521" i="1"/>
  <c r="C521" i="1"/>
  <c r="D521" i="1"/>
  <c r="B522" i="1"/>
  <c r="C522" i="1"/>
  <c r="B523" i="1"/>
  <c r="C523" i="1"/>
  <c r="D523" i="1"/>
  <c r="B524" i="1"/>
  <c r="C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C545" i="1"/>
  <c r="D545" i="1"/>
  <c r="B546" i="1"/>
  <c r="C546" i="1"/>
  <c r="D546" i="1"/>
  <c r="B547" i="1"/>
  <c r="C547" i="1"/>
  <c r="B548" i="1"/>
  <c r="C548" i="1"/>
  <c r="B549" i="1"/>
  <c r="C549" i="1"/>
  <c r="B550" i="1"/>
  <c r="C550" i="1"/>
  <c r="B551" i="1"/>
  <c r="C551" i="1"/>
  <c r="D551" i="1"/>
  <c r="B552" i="1"/>
  <c r="C552" i="1"/>
  <c r="B553" i="1"/>
  <c r="C553" i="1"/>
  <c r="D553" i="1"/>
  <c r="B554" i="1"/>
  <c r="C554" i="1"/>
  <c r="B555" i="1"/>
  <c r="C555" i="1"/>
  <c r="B556" i="1"/>
  <c r="C556" i="1"/>
  <c r="D556" i="1"/>
  <c r="B557" i="1"/>
  <c r="C557" i="1"/>
  <c r="D557" i="1"/>
  <c r="C558" i="1"/>
  <c r="D558" i="1"/>
  <c r="B559" i="1"/>
  <c r="C559" i="1"/>
  <c r="D559" i="1"/>
  <c r="B560" i="1"/>
  <c r="C560" i="1"/>
  <c r="C561" i="1"/>
  <c r="D561" i="1"/>
  <c r="B562" i="1"/>
  <c r="C562" i="1"/>
  <c r="B563" i="1"/>
  <c r="C563" i="1"/>
  <c r="B564" i="1"/>
  <c r="C564" i="1"/>
  <c r="C565" i="1"/>
  <c r="D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B575" i="1"/>
  <c r="B576" i="1"/>
  <c r="C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B583" i="1"/>
  <c r="C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C590" i="1"/>
  <c r="D590" i="1"/>
  <c r="E590" i="1"/>
  <c r="C591" i="1"/>
  <c r="D591" i="1"/>
  <c r="E591" i="1"/>
  <c r="C592" i="1"/>
  <c r="D592" i="1"/>
  <c r="E592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5" i="1"/>
  <c r="C605" i="1"/>
  <c r="D605" i="1"/>
  <c r="E605" i="1"/>
  <c r="B3" i="2"/>
  <c r="B4" i="2"/>
  <c r="C4" i="2"/>
  <c r="D4" i="2"/>
  <c r="E4" i="2"/>
  <c r="F4" i="2"/>
  <c r="G4" i="2"/>
  <c r="H4" i="2"/>
  <c r="I4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9" i="2"/>
  <c r="C309" i="2"/>
  <c r="D309" i="2"/>
  <c r="E309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</calcChain>
</file>

<file path=xl/sharedStrings.xml><?xml version="1.0" encoding="utf-8"?>
<sst xmlns="http://schemas.openxmlformats.org/spreadsheetml/2006/main" count="40" uniqueCount="17">
  <si>
    <t>Manlove</t>
  </si>
  <si>
    <t>ANR</t>
  </si>
  <si>
    <t>NGPL DSS</t>
  </si>
  <si>
    <t>NGPL NSS #1</t>
  </si>
  <si>
    <t>NGPL NSS #2</t>
  </si>
  <si>
    <t>PANHANDLE</t>
  </si>
  <si>
    <t>TOTAL</t>
  </si>
  <si>
    <t>PEOPLES</t>
  </si>
  <si>
    <t>NORTH SHORE</t>
  </si>
  <si>
    <t>TOTAL CAPACITY (DTH)</t>
  </si>
  <si>
    <t>APPROX. STORAGE TO DATE (DTH)</t>
  </si>
  <si>
    <t xml:space="preserve"> </t>
  </si>
  <si>
    <t>COENERGY</t>
  </si>
  <si>
    <t>ENGAGE</t>
  </si>
  <si>
    <t>COENEGY</t>
  </si>
  <si>
    <t>NICOR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</si>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</sst>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1" applyNumberFormat="1" applyFont="1"/>
    <xf numFmtId="167" fontId="2" fillId="0" borderId="0" xfId="1" applyNumberFormat="1" applyFont="1"/>
    <xf numFmtId="167" fontId="0" fillId="0" borderId="0" xfId="1" applyNumberFormat="1" applyFont="1" applyBorder="1"/>
    <xf numFmtId="0" fontId="0" fillId="0" borderId="0" xfId="0" applyBorder="1"/>
    <xf numFmtId="167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2" borderId="0" xfId="0" applyFill="1"/>
    <xf numFmtId="15" fontId="0" fillId="2" borderId="0" xfId="0" applyNumberFormat="1" applyFill="1"/>
    <xf numFmtId="0" fontId="2" fillId="2" borderId="0" xfId="0" applyFont="1" applyFill="1"/>
    <xf numFmtId="167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167" fontId="0" fillId="0" borderId="0" xfId="0" applyNumberFormat="1"/>
    <xf numFmtId="167" fontId="0" fillId="0" borderId="0" xfId="1" applyNumberFormat="1" applyFont="1" applyFill="1" applyBorder="1"/>
    <xf numFmtId="0" fontId="3" fillId="0" borderId="0" xfId="0" applyFont="1" applyAlignment="1">
      <alignment horizontal="center"/>
    </xf>
    <xf numFmtId="167" fontId="0" fillId="0" borderId="1" xfId="1" applyNumberFormat="1" applyFont="1" applyBorder="1"/>
    <xf numFmtId="0" fontId="2" fillId="0" borderId="0" xfId="0" applyFont="1" applyBorder="1"/>
    <xf numFmtId="167" fontId="2" fillId="0" borderId="0" xfId="0" applyNumberFormat="1" applyFont="1" applyBorder="1"/>
    <xf numFmtId="15" fontId="0" fillId="2" borderId="0" xfId="0" applyNumberFormat="1" applyFill="1" applyBorder="1"/>
    <xf numFmtId="167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 applyAlignment="1">
      <alignment horizontal="center"/>
    </xf>
    <xf numFmtId="2" fontId="0" fillId="0" borderId="0" xfId="0" applyNumberFormat="1"/>
    <xf numFmtId="15" fontId="0" fillId="2" borderId="1" xfId="0" applyNumberFormat="1" applyFill="1" applyBorder="1"/>
    <xf numFmtId="167" fontId="0" fillId="0" borderId="1" xfId="1" applyNumberFormat="1" applyFon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5"/>
  <sheetViews>
    <sheetView workbookViewId="0">
      <pane xSplit="1" ySplit="3" topLeftCell="B285" activePane="bottomRight" state="frozen"/>
      <selection pane="topRight" activeCell="B1" sqref="B1"/>
      <selection pane="bottomLeft" activeCell="A4" sqref="A4"/>
      <selection pane="bottomRight" activeCell="A302" sqref="A302"/>
    </sheetView>
  </sheetViews>
  <sheetFormatPr defaultRowHeight="12.75" x14ac:dyDescent="0.2"/>
  <cols>
    <col min="2" max="2" width="14.5703125" customWidth="1"/>
    <col min="3" max="3" width="14.7109375" customWidth="1"/>
    <col min="4" max="6" width="14.5703125" customWidth="1"/>
    <col min="7" max="7" width="15.5703125" customWidth="1"/>
    <col min="8" max="8" width="11.7109375" customWidth="1"/>
    <col min="9" max="9" width="11.42578125" customWidth="1"/>
  </cols>
  <sheetData>
    <row r="1" spans="1:12" x14ac:dyDescent="0.2">
      <c r="A1" s="2" t="s">
        <v>7</v>
      </c>
      <c r="C1">
        <v>-1</v>
      </c>
    </row>
    <row r="3" spans="1:12" x14ac:dyDescent="0.2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12</v>
      </c>
      <c r="I3" s="17" t="s">
        <v>13</v>
      </c>
      <c r="J3">
        <f>19000*0.05</f>
        <v>950</v>
      </c>
    </row>
    <row r="4" spans="1:12" x14ac:dyDescent="0.2">
      <c r="A4" s="1">
        <v>36705</v>
      </c>
      <c r="B4" s="4">
        <f>-171590+166666-135476+400</f>
        <v>-140000</v>
      </c>
      <c r="C4" s="4">
        <v>-42900</v>
      </c>
      <c r="D4" s="4">
        <v>-72245</v>
      </c>
      <c r="E4" s="4">
        <v>0</v>
      </c>
      <c r="F4" s="4">
        <v>0</v>
      </c>
      <c r="G4" s="4">
        <v>-13000</v>
      </c>
    </row>
    <row r="5" spans="1:12" x14ac:dyDescent="0.2">
      <c r="A5" s="1">
        <v>36706</v>
      </c>
      <c r="B5" s="4">
        <f>-166109+166666-145557-10000</f>
        <v>-155000</v>
      </c>
      <c r="C5" s="4">
        <v>-30000</v>
      </c>
      <c r="D5" s="4">
        <v>-72245</v>
      </c>
      <c r="E5" s="4">
        <v>0</v>
      </c>
      <c r="F5" s="4">
        <v>0</v>
      </c>
      <c r="G5" s="4">
        <v>-13000</v>
      </c>
    </row>
    <row r="6" spans="1:12" x14ac:dyDescent="0.2">
      <c r="A6" s="1">
        <v>36707</v>
      </c>
      <c r="B6" s="4">
        <f>-184371+166666-133261+10946</f>
        <v>-140020</v>
      </c>
      <c r="C6" s="4">
        <v>-20000</v>
      </c>
      <c r="D6" s="4">
        <v>-72245</v>
      </c>
      <c r="E6" s="4">
        <v>0</v>
      </c>
      <c r="F6" s="4">
        <v>0</v>
      </c>
      <c r="G6" s="4">
        <v>-13000</v>
      </c>
    </row>
    <row r="7" spans="1:12" x14ac:dyDescent="0.2">
      <c r="A7" s="1">
        <v>36708</v>
      </c>
      <c r="B7" s="4">
        <f>-1338+540-6636+92258</f>
        <v>84824</v>
      </c>
      <c r="C7" s="4">
        <v>-39604</v>
      </c>
      <c r="D7" s="4">
        <f>-72245-35155</f>
        <v>-107400</v>
      </c>
      <c r="E7" s="4">
        <v>-32454</v>
      </c>
      <c r="F7" s="4">
        <v>-20000</v>
      </c>
      <c r="G7" s="4">
        <v>-31555</v>
      </c>
      <c r="J7">
        <v>87000</v>
      </c>
      <c r="K7">
        <v>54000</v>
      </c>
      <c r="L7" s="2">
        <f>+J7-K7</f>
        <v>33000</v>
      </c>
    </row>
    <row r="8" spans="1:12" x14ac:dyDescent="0.2">
      <c r="A8" s="1">
        <v>36709</v>
      </c>
      <c r="B8" s="4">
        <f>12412+303+92258-14286</f>
        <v>90687</v>
      </c>
      <c r="C8" s="4">
        <v>-39604</v>
      </c>
      <c r="D8" s="4">
        <f>-72245-34755</f>
        <v>-107000</v>
      </c>
      <c r="E8" s="4">
        <v>-34000</v>
      </c>
      <c r="F8" s="4">
        <v>-20000</v>
      </c>
      <c r="G8" s="4">
        <v>-31555</v>
      </c>
      <c r="J8">
        <v>88000</v>
      </c>
      <c r="K8">
        <v>54000</v>
      </c>
      <c r="L8" s="2">
        <f t="shared" ref="L8:L26" si="0">+J8-K8</f>
        <v>34000</v>
      </c>
    </row>
    <row r="9" spans="1:12" x14ac:dyDescent="0.2">
      <c r="A9" s="1">
        <v>36710</v>
      </c>
      <c r="B9" s="4">
        <f>3905+3123+92258-14286</f>
        <v>85000</v>
      </c>
      <c r="C9" s="4">
        <v>-39604</v>
      </c>
      <c r="D9" s="4">
        <f>-72245-31821</f>
        <v>-104066</v>
      </c>
      <c r="E9" s="4">
        <v>-34000</v>
      </c>
      <c r="F9" s="4">
        <v>-20000</v>
      </c>
      <c r="G9" s="4">
        <v>-31555</v>
      </c>
      <c r="J9">
        <v>86000</v>
      </c>
      <c r="K9">
        <v>54000</v>
      </c>
      <c r="L9" s="2">
        <f t="shared" si="0"/>
        <v>32000</v>
      </c>
    </row>
    <row r="10" spans="1:12" x14ac:dyDescent="0.2">
      <c r="A10" s="1">
        <v>36711</v>
      </c>
      <c r="B10" s="4">
        <f>1704+4277+92258-14286</f>
        <v>83953</v>
      </c>
      <c r="C10" s="4">
        <v>-39604</v>
      </c>
      <c r="D10" s="4">
        <f>-72245-28716</f>
        <v>-100961</v>
      </c>
      <c r="E10" s="4">
        <v>-34000</v>
      </c>
      <c r="F10" s="4">
        <v>-20000</v>
      </c>
      <c r="G10" s="4">
        <v>-31555</v>
      </c>
      <c r="J10">
        <v>83000</v>
      </c>
      <c r="K10">
        <v>54000</v>
      </c>
      <c r="L10" s="2">
        <f t="shared" si="0"/>
        <v>29000</v>
      </c>
    </row>
    <row r="11" spans="1:12" x14ac:dyDescent="0.2">
      <c r="A11" s="1">
        <v>36712</v>
      </c>
      <c r="B11" s="4">
        <f>-5267+11182+92258-14286</f>
        <v>83887</v>
      </c>
      <c r="C11" s="4">
        <v>-39604</v>
      </c>
      <c r="D11" s="4">
        <f>-72245-2155</f>
        <v>-74400</v>
      </c>
      <c r="E11" s="4">
        <v>-27189</v>
      </c>
      <c r="F11" s="4">
        <v>-20000</v>
      </c>
      <c r="G11" s="4">
        <v>-31555</v>
      </c>
      <c r="J11">
        <v>49000</v>
      </c>
      <c r="K11">
        <v>54000</v>
      </c>
      <c r="L11" s="2">
        <f t="shared" si="0"/>
        <v>-5000</v>
      </c>
    </row>
    <row r="12" spans="1:12" x14ac:dyDescent="0.2">
      <c r="A12" s="1">
        <v>36713</v>
      </c>
      <c r="B12" s="4">
        <f>34482+4389+95622</f>
        <v>134493</v>
      </c>
      <c r="C12" s="4">
        <v>-39604</v>
      </c>
      <c r="D12" s="4">
        <f>-72245-23017</f>
        <v>-95262</v>
      </c>
      <c r="E12" s="4">
        <v>-34000</v>
      </c>
      <c r="F12" s="4">
        <v>-20000</v>
      </c>
      <c r="G12" s="4">
        <v>-31555</v>
      </c>
      <c r="J12">
        <v>77000</v>
      </c>
      <c r="K12">
        <v>54000</v>
      </c>
      <c r="L12" s="2">
        <f t="shared" si="0"/>
        <v>23000</v>
      </c>
    </row>
    <row r="13" spans="1:12" x14ac:dyDescent="0.2">
      <c r="A13" s="1">
        <v>36714</v>
      </c>
      <c r="B13" s="4">
        <f>17279+212+95622</f>
        <v>113113</v>
      </c>
      <c r="C13" s="4">
        <v>-39604</v>
      </c>
      <c r="D13" s="4">
        <f>-72245-37638</f>
        <v>-109883</v>
      </c>
      <c r="E13" s="4">
        <v>-34000</v>
      </c>
      <c r="F13" s="4">
        <v>-20000</v>
      </c>
      <c r="G13" s="4">
        <v>-31555</v>
      </c>
      <c r="J13">
        <v>92000</v>
      </c>
      <c r="K13">
        <v>54000</v>
      </c>
      <c r="L13" s="2">
        <f t="shared" si="0"/>
        <v>38000</v>
      </c>
    </row>
    <row r="14" spans="1:12" x14ac:dyDescent="0.2">
      <c r="A14" s="1">
        <v>36715</v>
      </c>
      <c r="B14" s="4">
        <f>24547+92709-17136</f>
        <v>100120</v>
      </c>
      <c r="C14" s="4">
        <v>-39604</v>
      </c>
      <c r="D14" s="4">
        <f>-72245-45113</f>
        <v>-117358</v>
      </c>
      <c r="E14" s="4">
        <v>-34000</v>
      </c>
      <c r="F14" s="4">
        <v>-20000</v>
      </c>
      <c r="G14" s="4">
        <v>-31555</v>
      </c>
      <c r="J14">
        <v>98000</v>
      </c>
      <c r="K14">
        <v>54000</v>
      </c>
      <c r="L14" s="2">
        <f t="shared" si="0"/>
        <v>44000</v>
      </c>
    </row>
    <row r="15" spans="1:12" x14ac:dyDescent="0.2">
      <c r="A15" s="1">
        <v>36716</v>
      </c>
      <c r="B15" s="4">
        <f>24341+107+92709-17136</f>
        <v>100021</v>
      </c>
      <c r="C15" s="4">
        <v>-39604</v>
      </c>
      <c r="D15" s="4">
        <f>-72245-42581</f>
        <v>-114826</v>
      </c>
      <c r="E15" s="4">
        <v>-34000</v>
      </c>
      <c r="F15" s="4">
        <v>-20000</v>
      </c>
      <c r="G15" s="4">
        <v>-31555</v>
      </c>
      <c r="J15">
        <v>96000</v>
      </c>
      <c r="K15">
        <v>54000</v>
      </c>
      <c r="L15" s="2">
        <f t="shared" si="0"/>
        <v>42000</v>
      </c>
    </row>
    <row r="16" spans="1:12" x14ac:dyDescent="0.2">
      <c r="A16" s="1">
        <v>36717</v>
      </c>
      <c r="B16" s="4">
        <f>52130+92709-17136</f>
        <v>127703</v>
      </c>
      <c r="C16" s="4">
        <v>-40000</v>
      </c>
      <c r="D16" s="4">
        <f>-72245-13152</f>
        <v>-85397</v>
      </c>
      <c r="E16" s="4">
        <v>-34000</v>
      </c>
      <c r="F16" s="4">
        <v>-20000</v>
      </c>
      <c r="G16" s="4">
        <v>-31555</v>
      </c>
      <c r="J16">
        <v>61000</v>
      </c>
      <c r="K16">
        <v>54000</v>
      </c>
      <c r="L16" s="2">
        <f t="shared" si="0"/>
        <v>7000</v>
      </c>
    </row>
    <row r="17" spans="1:12" x14ac:dyDescent="0.2">
      <c r="A17" s="1">
        <v>36718</v>
      </c>
      <c r="B17" s="4">
        <f>47875+109242-28636</f>
        <v>128481</v>
      </c>
      <c r="C17" s="4">
        <v>-40000</v>
      </c>
      <c r="D17" s="4">
        <f>-72245-38000</f>
        <v>-110245</v>
      </c>
      <c r="E17" s="4">
        <v>-34000</v>
      </c>
      <c r="F17" s="4">
        <v>-20000</v>
      </c>
      <c r="G17" s="4">
        <v>-31555</v>
      </c>
      <c r="J17">
        <v>92000</v>
      </c>
      <c r="K17">
        <v>54000</v>
      </c>
      <c r="L17" s="2">
        <f t="shared" si="0"/>
        <v>38000</v>
      </c>
    </row>
    <row r="18" spans="1:12" x14ac:dyDescent="0.2">
      <c r="A18" s="1">
        <v>36719</v>
      </c>
      <c r="B18" s="4">
        <f>34110+109400-16636</f>
        <v>126874</v>
      </c>
      <c r="C18" s="4">
        <v>-40000</v>
      </c>
      <c r="D18" s="4">
        <f>-72245-29000</f>
        <v>-101245</v>
      </c>
      <c r="E18" s="4">
        <v>-34000</v>
      </c>
      <c r="F18" s="4">
        <v>-20000</v>
      </c>
      <c r="G18" s="4">
        <v>-31555</v>
      </c>
      <c r="J18">
        <v>83000</v>
      </c>
      <c r="K18">
        <v>54000</v>
      </c>
      <c r="L18" s="2">
        <f t="shared" si="0"/>
        <v>29000</v>
      </c>
    </row>
    <row r="19" spans="1:12" x14ac:dyDescent="0.2">
      <c r="A19" s="1">
        <v>36720</v>
      </c>
      <c r="B19" s="6">
        <f>45566+141471-35436</f>
        <v>151601</v>
      </c>
      <c r="C19" s="6">
        <v>-25000</v>
      </c>
      <c r="D19" s="6">
        <f>-72245-27000</f>
        <v>-99245</v>
      </c>
      <c r="E19" s="6">
        <v>-34000</v>
      </c>
      <c r="F19" s="6">
        <v>-20000</v>
      </c>
      <c r="G19" s="6">
        <v>-31555</v>
      </c>
      <c r="J19">
        <v>81000</v>
      </c>
      <c r="K19">
        <v>54000</v>
      </c>
      <c r="L19" s="2">
        <f t="shared" si="0"/>
        <v>27000</v>
      </c>
    </row>
    <row r="20" spans="1:12" x14ac:dyDescent="0.2">
      <c r="A20" s="1">
        <v>36721</v>
      </c>
      <c r="B20" s="6">
        <f>69843+117027-21636</f>
        <v>165234</v>
      </c>
      <c r="C20" s="6">
        <v>-25000</v>
      </c>
      <c r="D20" s="6">
        <f t="shared" ref="D20:D26" si="1">-72245-L20</f>
        <v>-129245</v>
      </c>
      <c r="E20" s="6">
        <v>-34000</v>
      </c>
      <c r="F20" s="6">
        <v>-20000</v>
      </c>
      <c r="G20" s="6">
        <v>-31555</v>
      </c>
      <c r="J20">
        <v>111000</v>
      </c>
      <c r="K20">
        <v>54000</v>
      </c>
      <c r="L20" s="2">
        <f t="shared" si="0"/>
        <v>57000</v>
      </c>
    </row>
    <row r="21" spans="1:12" x14ac:dyDescent="0.2">
      <c r="A21" s="1">
        <v>36722</v>
      </c>
      <c r="B21" s="6">
        <f>36978+111397-46636</f>
        <v>101739</v>
      </c>
      <c r="C21" s="6">
        <v>-25000</v>
      </c>
      <c r="D21" s="6">
        <f t="shared" si="1"/>
        <v>-126245</v>
      </c>
      <c r="E21" s="6">
        <v>-34000</v>
      </c>
      <c r="F21" s="6">
        <v>-20000</v>
      </c>
      <c r="G21" s="6">
        <v>-31555</v>
      </c>
      <c r="J21">
        <v>108000</v>
      </c>
      <c r="K21">
        <v>54000</v>
      </c>
      <c r="L21" s="2">
        <f t="shared" si="0"/>
        <v>54000</v>
      </c>
    </row>
    <row r="22" spans="1:12" x14ac:dyDescent="0.2">
      <c r="A22" s="1">
        <v>36723</v>
      </c>
      <c r="B22" s="6">
        <f>16015+111397-26636</f>
        <v>100776</v>
      </c>
      <c r="C22" s="6">
        <v>-25000</v>
      </c>
      <c r="D22" s="6">
        <f t="shared" si="1"/>
        <v>-127245</v>
      </c>
      <c r="E22" s="6">
        <v>-34000</v>
      </c>
      <c r="F22" s="6">
        <v>-20000</v>
      </c>
      <c r="G22" s="6">
        <v>-31555</v>
      </c>
      <c r="J22">
        <v>109000</v>
      </c>
      <c r="K22">
        <v>54000</v>
      </c>
      <c r="L22" s="2">
        <f t="shared" si="0"/>
        <v>55000</v>
      </c>
    </row>
    <row r="23" spans="1:12" x14ac:dyDescent="0.2">
      <c r="A23" s="1">
        <v>36724</v>
      </c>
      <c r="B23" s="6">
        <f>6271+131397-16636</f>
        <v>121032</v>
      </c>
      <c r="C23" s="6">
        <v>-25000</v>
      </c>
      <c r="D23" s="6">
        <f t="shared" si="1"/>
        <v>-99245</v>
      </c>
      <c r="E23" s="6">
        <v>-34000</v>
      </c>
      <c r="F23" s="6">
        <v>-20000</v>
      </c>
      <c r="G23" s="6">
        <v>-31555</v>
      </c>
      <c r="J23">
        <v>81000</v>
      </c>
      <c r="K23">
        <v>54000</v>
      </c>
      <c r="L23" s="2">
        <f t="shared" si="0"/>
        <v>27000</v>
      </c>
    </row>
    <row r="24" spans="1:12" x14ac:dyDescent="0.2">
      <c r="A24" s="1">
        <v>36725</v>
      </c>
      <c r="B24" s="6">
        <f>41767+109672-1636</f>
        <v>149803</v>
      </c>
      <c r="C24" s="6">
        <v>-25000</v>
      </c>
      <c r="D24" s="6">
        <f t="shared" si="1"/>
        <v>-96245</v>
      </c>
      <c r="E24" s="6">
        <v>-34000</v>
      </c>
      <c r="F24" s="6">
        <v>-20000</v>
      </c>
      <c r="G24" s="6">
        <v>-31555</v>
      </c>
      <c r="J24">
        <v>78000</v>
      </c>
      <c r="K24">
        <v>54000</v>
      </c>
      <c r="L24" s="2">
        <f t="shared" si="0"/>
        <v>24000</v>
      </c>
    </row>
    <row r="25" spans="1:12" x14ac:dyDescent="0.2">
      <c r="A25" s="1">
        <v>36726</v>
      </c>
      <c r="B25" s="6">
        <f>38825+117819-16636</f>
        <v>140008</v>
      </c>
      <c r="C25" s="6">
        <v>-25000</v>
      </c>
      <c r="D25" s="6">
        <f t="shared" si="1"/>
        <v>-93245</v>
      </c>
      <c r="E25" s="6">
        <v>-34000</v>
      </c>
      <c r="F25" s="6">
        <v>-20000</v>
      </c>
      <c r="G25" s="6">
        <v>-31555</v>
      </c>
      <c r="J25">
        <v>75000</v>
      </c>
      <c r="K25">
        <v>54000</v>
      </c>
      <c r="L25" s="2">
        <f t="shared" si="0"/>
        <v>21000</v>
      </c>
    </row>
    <row r="26" spans="1:12" x14ac:dyDescent="0.2">
      <c r="A26" s="1">
        <v>36727</v>
      </c>
      <c r="B26" s="6">
        <f>51594+127249-12436</f>
        <v>166407</v>
      </c>
      <c r="C26" s="6">
        <v>-25000</v>
      </c>
      <c r="D26" s="6">
        <f t="shared" si="1"/>
        <v>-104245</v>
      </c>
      <c r="E26" s="6">
        <v>-34000</v>
      </c>
      <c r="F26" s="6">
        <v>-20000</v>
      </c>
      <c r="G26" s="6">
        <v>-31555</v>
      </c>
      <c r="J26">
        <v>86000</v>
      </c>
      <c r="K26">
        <v>54000</v>
      </c>
      <c r="L26" s="2">
        <f t="shared" si="0"/>
        <v>32000</v>
      </c>
    </row>
    <row r="27" spans="1:12" x14ac:dyDescent="0.2">
      <c r="A27" s="1">
        <v>36728</v>
      </c>
      <c r="B27" s="6">
        <f>131779+1881-7436-3646</f>
        <v>122578</v>
      </c>
      <c r="C27" s="6">
        <v>-25000</v>
      </c>
      <c r="D27" s="6">
        <f>-72245-44996</f>
        <v>-117241</v>
      </c>
      <c r="E27" s="6">
        <v>-34000</v>
      </c>
      <c r="F27" s="6">
        <v>-20000</v>
      </c>
      <c r="G27" s="6">
        <v>-31555</v>
      </c>
      <c r="L27" s="2"/>
    </row>
    <row r="28" spans="1:12" x14ac:dyDescent="0.2">
      <c r="A28" s="1">
        <v>36729</v>
      </c>
      <c r="B28" s="6">
        <f>26880+1645+157868-13716</f>
        <v>172677</v>
      </c>
      <c r="C28" s="6">
        <v>-25000</v>
      </c>
      <c r="D28" s="6">
        <f>-72245-53510</f>
        <v>-125755</v>
      </c>
      <c r="E28" s="6">
        <v>-34000</v>
      </c>
      <c r="F28" s="6">
        <v>-20000</v>
      </c>
      <c r="G28" s="6">
        <v>-31555</v>
      </c>
      <c r="L28" s="2"/>
    </row>
    <row r="29" spans="1:12" x14ac:dyDescent="0.2">
      <c r="A29" s="1">
        <v>36730</v>
      </c>
      <c r="B29" s="6">
        <f>28201+1765+157868-13716</f>
        <v>174118</v>
      </c>
      <c r="C29" s="6">
        <v>-25000</v>
      </c>
      <c r="D29" s="6">
        <f>-72245-42957</f>
        <v>-115202</v>
      </c>
      <c r="E29" s="6">
        <v>-34000</v>
      </c>
      <c r="F29" s="6">
        <v>-20000</v>
      </c>
      <c r="G29" s="6">
        <v>-31555</v>
      </c>
      <c r="L29" s="2"/>
    </row>
    <row r="30" spans="1:12" x14ac:dyDescent="0.2">
      <c r="A30" s="1">
        <v>36731</v>
      </c>
      <c r="B30" s="6">
        <f>25804+1983+157868-13716</f>
        <v>171939</v>
      </c>
      <c r="C30" s="6">
        <v>-25000</v>
      </c>
      <c r="D30" s="6">
        <f>-72245-45357</f>
        <v>-117602</v>
      </c>
      <c r="E30" s="6">
        <v>-34000</v>
      </c>
      <c r="F30" s="6">
        <v>-20000</v>
      </c>
      <c r="G30" s="6">
        <v>-31555</v>
      </c>
      <c r="L30" s="2"/>
    </row>
    <row r="31" spans="1:12" x14ac:dyDescent="0.2">
      <c r="A31" s="1">
        <v>36732</v>
      </c>
      <c r="B31" s="6">
        <f>61926+329+120817-20094</f>
        <v>162978</v>
      </c>
      <c r="C31" s="6">
        <v>-25000</v>
      </c>
      <c r="D31" s="6">
        <f>-72245-62963</f>
        <v>-135208</v>
      </c>
      <c r="E31" s="6">
        <v>-34000</v>
      </c>
      <c r="F31" s="6">
        <v>-20000</v>
      </c>
      <c r="G31" s="6">
        <v>-31555</v>
      </c>
      <c r="L31" s="2"/>
    </row>
    <row r="32" spans="1:12" x14ac:dyDescent="0.2">
      <c r="A32" s="1">
        <v>36733</v>
      </c>
      <c r="B32" s="6">
        <f>20174+378+159520-16636</f>
        <v>163436</v>
      </c>
      <c r="C32" s="6">
        <v>-25000</v>
      </c>
      <c r="D32" s="6">
        <f>-72245-53918</f>
        <v>-126163</v>
      </c>
      <c r="E32" s="6">
        <v>-34000</v>
      </c>
      <c r="F32" s="6">
        <v>-20000</v>
      </c>
      <c r="G32" s="6">
        <v>-31555</v>
      </c>
      <c r="L32" s="2"/>
    </row>
    <row r="33" spans="1:12" x14ac:dyDescent="0.2">
      <c r="A33" s="1">
        <v>36734</v>
      </c>
      <c r="B33" s="6">
        <f>19749+169088-21636</f>
        <v>167201</v>
      </c>
      <c r="C33" s="6">
        <v>-3000</v>
      </c>
      <c r="D33" s="6">
        <f>-72245-19770</f>
        <v>-92015</v>
      </c>
      <c r="E33" s="6">
        <v>-34000</v>
      </c>
      <c r="F33" s="6">
        <v>-20000</v>
      </c>
      <c r="G33" s="6">
        <v>-31555</v>
      </c>
      <c r="J33">
        <v>73770</v>
      </c>
      <c r="K33">
        <v>54000</v>
      </c>
      <c r="L33" s="2">
        <f>+J33-K33</f>
        <v>19770</v>
      </c>
    </row>
    <row r="34" spans="1:12" x14ac:dyDescent="0.2">
      <c r="A34" s="1">
        <v>36735</v>
      </c>
      <c r="B34" s="6">
        <f>13840+176802-26136</f>
        <v>164506</v>
      </c>
      <c r="C34" s="6">
        <v>-25000</v>
      </c>
      <c r="D34" s="6">
        <f>-72245</f>
        <v>-72245</v>
      </c>
      <c r="E34" s="6">
        <v>-33816</v>
      </c>
      <c r="F34" s="6">
        <v>0</v>
      </c>
      <c r="G34" s="6">
        <v>-31555</v>
      </c>
      <c r="J34">
        <v>33816</v>
      </c>
      <c r="K34">
        <v>33816</v>
      </c>
      <c r="L34" s="2">
        <f>+J34-K34</f>
        <v>0</v>
      </c>
    </row>
    <row r="35" spans="1:12" x14ac:dyDescent="0.2">
      <c r="A35" s="1">
        <v>36736</v>
      </c>
      <c r="B35" s="6">
        <f>-10408+126033-6636</f>
        <v>108989</v>
      </c>
      <c r="C35" s="6">
        <v>-25000</v>
      </c>
      <c r="D35" s="6">
        <f>-72245-41237</f>
        <v>-113482</v>
      </c>
      <c r="E35" s="6">
        <v>-34000</v>
      </c>
      <c r="F35" s="6">
        <v>-20000</v>
      </c>
      <c r="G35" s="6">
        <v>-31555</v>
      </c>
      <c r="J35">
        <v>95237</v>
      </c>
      <c r="K35">
        <v>54000</v>
      </c>
      <c r="L35" s="2">
        <f>+J35-K35</f>
        <v>41237</v>
      </c>
    </row>
    <row r="36" spans="1:12" x14ac:dyDescent="0.2">
      <c r="A36" s="1">
        <v>36737</v>
      </c>
      <c r="B36" s="6">
        <f>40603+126033-6636</f>
        <v>160000</v>
      </c>
      <c r="C36" s="6">
        <v>-25000</v>
      </c>
      <c r="D36" s="6">
        <f>-72245-104962</f>
        <v>-177207</v>
      </c>
      <c r="E36" s="6">
        <v>-34000</v>
      </c>
      <c r="F36" s="6">
        <v>-20000</v>
      </c>
      <c r="G36" s="6">
        <v>-31555</v>
      </c>
      <c r="J36">
        <v>158962</v>
      </c>
      <c r="K36">
        <v>54000</v>
      </c>
      <c r="L36" s="2">
        <f>+J36-K36</f>
        <v>104962</v>
      </c>
    </row>
    <row r="37" spans="1:12" x14ac:dyDescent="0.2">
      <c r="A37" s="1">
        <v>36738</v>
      </c>
      <c r="B37" s="6">
        <f>-29397+126033-6636</f>
        <v>90000</v>
      </c>
      <c r="C37" s="6">
        <v>-25000</v>
      </c>
      <c r="D37" s="6">
        <f>-72245-24962</f>
        <v>-97207</v>
      </c>
      <c r="E37" s="6">
        <v>-34000</v>
      </c>
      <c r="F37" s="6">
        <v>-20000</v>
      </c>
      <c r="G37" s="6">
        <v>-31555</v>
      </c>
      <c r="J37">
        <v>78962</v>
      </c>
      <c r="K37">
        <v>54000</v>
      </c>
      <c r="L37" s="2">
        <f>+J37-K37</f>
        <v>24962</v>
      </c>
    </row>
    <row r="38" spans="1:12" x14ac:dyDescent="0.2">
      <c r="A38" s="1">
        <v>36739</v>
      </c>
      <c r="B38" s="6">
        <f>-103042-57120+3790</f>
        <v>-156372</v>
      </c>
      <c r="C38" s="6">
        <v>16830</v>
      </c>
      <c r="D38" s="6">
        <f>-96665+11707</f>
        <v>-84958</v>
      </c>
      <c r="E38" s="6">
        <v>0</v>
      </c>
      <c r="F38" s="6">
        <v>0</v>
      </c>
      <c r="G38" s="6">
        <v>0</v>
      </c>
      <c r="L38" s="2"/>
    </row>
    <row r="39" spans="1:12" x14ac:dyDescent="0.2">
      <c r="A39" s="1">
        <v>36740</v>
      </c>
      <c r="B39" s="6">
        <f>-141511-57120+3790</f>
        <v>-194841</v>
      </c>
      <c r="C39" s="6">
        <v>5193</v>
      </c>
      <c r="D39" s="6">
        <f>-96665+42439</f>
        <v>-54226</v>
      </c>
      <c r="E39" s="6">
        <v>0</v>
      </c>
      <c r="F39" s="6">
        <v>0</v>
      </c>
      <c r="G39" s="6">
        <v>0</v>
      </c>
      <c r="L39" s="2"/>
    </row>
    <row r="40" spans="1:12" x14ac:dyDescent="0.2">
      <c r="A40" s="1">
        <v>36741</v>
      </c>
      <c r="B40" s="6">
        <f>-135212-57620+7188</f>
        <v>-185644</v>
      </c>
      <c r="C40" s="6">
        <v>-822</v>
      </c>
      <c r="D40" s="6">
        <f>-96665+43540</f>
        <v>-53125</v>
      </c>
      <c r="E40" s="6">
        <v>0</v>
      </c>
      <c r="F40" s="6">
        <v>0</v>
      </c>
      <c r="G40" s="6">
        <v>0</v>
      </c>
      <c r="L40" s="2"/>
    </row>
    <row r="41" spans="1:12" x14ac:dyDescent="0.2">
      <c r="A41" s="1">
        <v>36742</v>
      </c>
      <c r="B41" s="6">
        <f>-124061-57620+5188</f>
        <v>-176493</v>
      </c>
      <c r="C41" s="6">
        <v>5414</v>
      </c>
      <c r="D41" s="6">
        <f>-96665-2351</f>
        <v>-99016</v>
      </c>
      <c r="E41" s="6">
        <f>-8000+20000</f>
        <v>12000</v>
      </c>
      <c r="F41" s="6">
        <v>0</v>
      </c>
      <c r="G41" s="6">
        <v>0</v>
      </c>
      <c r="L41" s="2"/>
    </row>
    <row r="42" spans="1:12" x14ac:dyDescent="0.2">
      <c r="A42" s="1">
        <v>36743</v>
      </c>
      <c r="B42" s="6">
        <f>-118675-62136+5188</f>
        <v>-175623</v>
      </c>
      <c r="C42" s="6">
        <v>-2634</v>
      </c>
      <c r="D42" s="6">
        <f>-96665+1840</f>
        <v>-94825</v>
      </c>
      <c r="E42" s="6">
        <v>0</v>
      </c>
      <c r="F42" s="6">
        <v>0</v>
      </c>
      <c r="G42" s="6">
        <v>0</v>
      </c>
      <c r="L42" s="2"/>
    </row>
    <row r="43" spans="1:12" x14ac:dyDescent="0.2">
      <c r="A43" s="1">
        <v>36744</v>
      </c>
      <c r="B43" s="6">
        <f>-134996-70362+5188</f>
        <v>-200170</v>
      </c>
      <c r="C43" s="6">
        <v>-2634</v>
      </c>
      <c r="D43" s="6">
        <f>-96665+43403</f>
        <v>-53262</v>
      </c>
      <c r="E43" s="6">
        <v>0</v>
      </c>
      <c r="F43" s="6">
        <v>0</v>
      </c>
      <c r="G43" s="6">
        <v>0</v>
      </c>
      <c r="L43" s="2"/>
    </row>
    <row r="44" spans="1:12" x14ac:dyDescent="0.2">
      <c r="A44" s="1">
        <v>36745</v>
      </c>
      <c r="B44" s="6">
        <f>-132574-70362+5188</f>
        <v>-197748</v>
      </c>
      <c r="C44" s="6">
        <v>5041</v>
      </c>
      <c r="D44" s="6">
        <f>-96665+93532</f>
        <v>-3133</v>
      </c>
      <c r="E44" s="6">
        <v>0</v>
      </c>
      <c r="F44" s="6">
        <v>0</v>
      </c>
      <c r="G44" s="6">
        <v>0</v>
      </c>
      <c r="L44" s="2"/>
    </row>
    <row r="45" spans="1:12" x14ac:dyDescent="0.2">
      <c r="A45" s="1">
        <v>36746</v>
      </c>
      <c r="B45" s="6">
        <f>-141511-47620+18788</f>
        <v>-170343</v>
      </c>
      <c r="C45" s="6">
        <v>6891</v>
      </c>
      <c r="D45" s="6">
        <f>-96665+72664</f>
        <v>-24001</v>
      </c>
      <c r="E45" s="6">
        <v>0</v>
      </c>
      <c r="F45" s="6">
        <v>0</v>
      </c>
      <c r="G45" s="6">
        <v>0</v>
      </c>
      <c r="L45" s="2"/>
    </row>
    <row r="46" spans="1:12" x14ac:dyDescent="0.2">
      <c r="A46" s="1">
        <v>36747</v>
      </c>
      <c r="B46" s="6">
        <f>-136369-37636+10688</f>
        <v>-163317</v>
      </c>
      <c r="C46" s="6">
        <v>3351</v>
      </c>
      <c r="D46" s="6">
        <f>-96665+65836</f>
        <v>-30829</v>
      </c>
      <c r="E46" s="6">
        <v>0</v>
      </c>
      <c r="F46" s="6">
        <v>0</v>
      </c>
      <c r="G46" s="6">
        <v>0</v>
      </c>
      <c r="L46" s="2"/>
    </row>
    <row r="47" spans="1:12" x14ac:dyDescent="0.2">
      <c r="A47" s="1">
        <v>36748</v>
      </c>
      <c r="B47" s="6">
        <f>-136980-47620+10188</f>
        <v>-174412</v>
      </c>
      <c r="C47" s="6">
        <v>5100</v>
      </c>
      <c r="D47" s="6">
        <f>-96665+44268</f>
        <v>-52397</v>
      </c>
      <c r="E47" s="6">
        <v>0</v>
      </c>
      <c r="F47" s="6">
        <v>0</v>
      </c>
      <c r="G47" s="6">
        <v>0</v>
      </c>
      <c r="L47" s="2"/>
    </row>
    <row r="48" spans="1:12" x14ac:dyDescent="0.2">
      <c r="A48" s="1">
        <v>36749</v>
      </c>
      <c r="B48" s="6">
        <f>-130630-47620+5188</f>
        <v>-173062</v>
      </c>
      <c r="C48" s="6">
        <v>4991</v>
      </c>
      <c r="D48" s="6">
        <f>-96665+20690</f>
        <v>-75975</v>
      </c>
      <c r="E48" s="6">
        <v>0</v>
      </c>
      <c r="F48" s="6">
        <v>0</v>
      </c>
      <c r="G48" s="6">
        <v>0</v>
      </c>
      <c r="L48" s="2"/>
    </row>
    <row r="49" spans="1:12" x14ac:dyDescent="0.2">
      <c r="A49" s="1">
        <v>36750</v>
      </c>
      <c r="B49" s="6">
        <f>-153705-57620+5188</f>
        <v>-206137</v>
      </c>
      <c r="C49" s="6">
        <v>-2634</v>
      </c>
      <c r="D49" s="6">
        <f>-96665+13043</f>
        <v>-83622</v>
      </c>
      <c r="E49" s="6">
        <v>0</v>
      </c>
      <c r="F49" s="6">
        <v>0</v>
      </c>
      <c r="G49" s="6">
        <v>0</v>
      </c>
      <c r="L49" s="2"/>
    </row>
    <row r="50" spans="1:12" x14ac:dyDescent="0.2">
      <c r="A50" s="1">
        <v>36751</v>
      </c>
      <c r="B50" s="6">
        <f>-155688-57620+5188</f>
        <v>-208120</v>
      </c>
      <c r="C50" s="6">
        <v>-2651</v>
      </c>
      <c r="D50" s="6">
        <f>-96665+9367</f>
        <v>-87298</v>
      </c>
      <c r="E50" s="6">
        <v>0</v>
      </c>
      <c r="F50" s="6">
        <v>0</v>
      </c>
      <c r="G50" s="6">
        <v>0</v>
      </c>
      <c r="J50" s="2"/>
    </row>
    <row r="51" spans="1:12" x14ac:dyDescent="0.2">
      <c r="A51" s="1">
        <v>36752</v>
      </c>
      <c r="B51" s="6">
        <f>-127935-57620+5188</f>
        <v>-180367</v>
      </c>
      <c r="C51" s="6">
        <v>5259</v>
      </c>
      <c r="D51" s="6">
        <f>-96665+38430</f>
        <v>-58235</v>
      </c>
      <c r="E51" s="6">
        <v>0</v>
      </c>
      <c r="F51" s="6">
        <v>0</v>
      </c>
      <c r="G51" s="6">
        <v>0</v>
      </c>
      <c r="J51" s="2"/>
    </row>
    <row r="52" spans="1:12" x14ac:dyDescent="0.2">
      <c r="A52" s="1">
        <v>36753</v>
      </c>
      <c r="B52" s="6">
        <f>-76244-47620+5188</f>
        <v>-118676</v>
      </c>
      <c r="C52" s="6">
        <v>31364</v>
      </c>
      <c r="D52" s="6">
        <f>-96665+47908</f>
        <v>-48757</v>
      </c>
      <c r="E52" s="6">
        <v>0</v>
      </c>
      <c r="F52" s="6">
        <v>0</v>
      </c>
      <c r="G52" s="6">
        <v>0</v>
      </c>
      <c r="J52" s="2"/>
    </row>
    <row r="53" spans="1:12" x14ac:dyDescent="0.2">
      <c r="A53" s="1">
        <v>36754</v>
      </c>
      <c r="B53" s="6">
        <f>-100850-57620+5190</f>
        <v>-153280</v>
      </c>
      <c r="C53" s="6">
        <v>-2660</v>
      </c>
      <c r="D53" s="6">
        <f>-96665+53745</f>
        <v>-42920</v>
      </c>
      <c r="E53" s="6">
        <v>0</v>
      </c>
      <c r="F53" s="6">
        <v>0</v>
      </c>
      <c r="G53" s="6">
        <v>0</v>
      </c>
      <c r="J53" s="2"/>
    </row>
    <row r="54" spans="1:12" x14ac:dyDescent="0.2">
      <c r="A54" s="1">
        <v>36755</v>
      </c>
      <c r="B54" s="6">
        <f>-100881-57620+5188</f>
        <v>-153313</v>
      </c>
      <c r="C54" s="6">
        <v>-2660</v>
      </c>
      <c r="D54" s="6">
        <f>-96665+27620</f>
        <v>-69045</v>
      </c>
      <c r="E54" s="6">
        <v>0</v>
      </c>
      <c r="F54" s="6">
        <v>0</v>
      </c>
      <c r="G54" s="6">
        <v>0</v>
      </c>
      <c r="J54" s="2"/>
    </row>
    <row r="55" spans="1:12" x14ac:dyDescent="0.2">
      <c r="A55" s="1">
        <v>36756</v>
      </c>
      <c r="B55" s="6">
        <f>-88062-67620+5188</f>
        <v>-150494</v>
      </c>
      <c r="C55" s="6">
        <v>0</v>
      </c>
      <c r="D55" s="6">
        <f>-96665+37208</f>
        <v>-59457</v>
      </c>
      <c r="E55" s="6">
        <v>0</v>
      </c>
      <c r="F55" s="6">
        <v>0</v>
      </c>
      <c r="G55" s="6">
        <v>0</v>
      </c>
      <c r="J55" s="2"/>
    </row>
    <row r="56" spans="1:12" x14ac:dyDescent="0.2">
      <c r="A56" s="1">
        <v>36757</v>
      </c>
      <c r="B56" s="6">
        <f>-89035-67620+5188</f>
        <v>-151467</v>
      </c>
      <c r="C56" s="6">
        <v>0</v>
      </c>
      <c r="D56" s="6">
        <f>-96665+19725</f>
        <v>-76940</v>
      </c>
      <c r="E56" s="6">
        <v>0</v>
      </c>
      <c r="F56" s="6">
        <v>0</v>
      </c>
      <c r="G56" s="6">
        <v>0</v>
      </c>
      <c r="J56" s="2"/>
    </row>
    <row r="57" spans="1:12" x14ac:dyDescent="0.2">
      <c r="A57" s="1">
        <v>36758</v>
      </c>
      <c r="B57" s="6">
        <f>-92181-67620+5188</f>
        <v>-154613</v>
      </c>
      <c r="C57" s="6">
        <v>-2700</v>
      </c>
      <c r="D57" s="6">
        <f>-96665+23021</f>
        <v>-73644</v>
      </c>
      <c r="E57" s="6">
        <v>0</v>
      </c>
      <c r="F57" s="6">
        <v>0</v>
      </c>
      <c r="G57" s="6">
        <v>0</v>
      </c>
      <c r="J57" s="2"/>
    </row>
    <row r="58" spans="1:12" x14ac:dyDescent="0.2">
      <c r="A58" s="1">
        <v>36759</v>
      </c>
      <c r="B58" s="6">
        <f>-88808-67620+5188</f>
        <v>-151240</v>
      </c>
      <c r="C58" s="6">
        <v>-2660</v>
      </c>
      <c r="D58" s="6">
        <v>-96665</v>
      </c>
      <c r="E58" s="6">
        <v>0</v>
      </c>
      <c r="F58" s="6">
        <v>0</v>
      </c>
      <c r="G58" s="6">
        <v>0</v>
      </c>
      <c r="J58" s="2"/>
    </row>
    <row r="59" spans="1:12" x14ac:dyDescent="0.2">
      <c r="A59" s="1">
        <v>36760</v>
      </c>
      <c r="B59" s="6">
        <f>-78908-77620+5188</f>
        <v>-151340</v>
      </c>
      <c r="C59" s="6">
        <v>-2660</v>
      </c>
      <c r="D59" s="6">
        <f>-96665+64189</f>
        <v>-32476</v>
      </c>
      <c r="E59" s="6">
        <v>0</v>
      </c>
      <c r="F59" s="6">
        <v>0</v>
      </c>
      <c r="G59" s="6">
        <v>0</v>
      </c>
      <c r="J59" s="2"/>
    </row>
    <row r="60" spans="1:12" x14ac:dyDescent="0.2">
      <c r="A60" s="1">
        <v>36761</v>
      </c>
      <c r="B60" s="6">
        <f>-101298-57620+5188</f>
        <v>-153730</v>
      </c>
      <c r="C60" s="6">
        <v>0</v>
      </c>
      <c r="D60" s="6">
        <f>-96665+108200</f>
        <v>11535</v>
      </c>
      <c r="E60" s="6">
        <v>0</v>
      </c>
      <c r="F60" s="6">
        <v>0</v>
      </c>
      <c r="G60" s="6">
        <v>0</v>
      </c>
      <c r="J60" s="2"/>
    </row>
    <row r="61" spans="1:12" x14ac:dyDescent="0.2">
      <c r="A61" s="1">
        <v>36762</v>
      </c>
      <c r="B61" s="6">
        <f>-85118-67620+5188</f>
        <v>-147550</v>
      </c>
      <c r="C61" s="6">
        <v>-2660</v>
      </c>
      <c r="D61" s="6">
        <f>-96665+88916</f>
        <v>-7749</v>
      </c>
      <c r="E61" s="6">
        <v>0</v>
      </c>
      <c r="F61" s="6">
        <v>0</v>
      </c>
      <c r="G61" s="6">
        <v>0</v>
      </c>
      <c r="J61" s="2"/>
    </row>
    <row r="62" spans="1:12" x14ac:dyDescent="0.2">
      <c r="A62" s="1">
        <v>36763</v>
      </c>
      <c r="B62" s="6">
        <f>-87208-68620+5188</f>
        <v>-150640</v>
      </c>
      <c r="C62" s="6">
        <v>-2660</v>
      </c>
      <c r="D62" s="6">
        <f>-96665+20000</f>
        <v>-76665</v>
      </c>
      <c r="E62" s="6">
        <v>0</v>
      </c>
      <c r="F62" s="6">
        <v>0</v>
      </c>
      <c r="G62" s="6">
        <v>0</v>
      </c>
      <c r="J62" s="2"/>
    </row>
    <row r="63" spans="1:12" x14ac:dyDescent="0.2">
      <c r="A63" s="1">
        <v>36764</v>
      </c>
      <c r="B63" s="6">
        <f>-107358-67620+5188</f>
        <v>-169790</v>
      </c>
      <c r="C63" s="6">
        <v>-2660</v>
      </c>
      <c r="D63" s="6">
        <f>-96665+20000</f>
        <v>-76665</v>
      </c>
      <c r="E63" s="6">
        <v>0</v>
      </c>
      <c r="F63" s="6">
        <v>0</v>
      </c>
      <c r="G63" s="6">
        <v>0</v>
      </c>
      <c r="J63" s="2"/>
    </row>
    <row r="64" spans="1:12" x14ac:dyDescent="0.2">
      <c r="A64" s="1">
        <v>36765</v>
      </c>
      <c r="B64" s="6">
        <f>-112568-67620+5188</f>
        <v>-175000</v>
      </c>
      <c r="C64" s="6">
        <v>-2660</v>
      </c>
      <c r="D64" s="6">
        <f>-96665+20000</f>
        <v>-76665</v>
      </c>
      <c r="E64" s="6">
        <v>0</v>
      </c>
      <c r="F64" s="6">
        <v>0</v>
      </c>
      <c r="G64" s="6">
        <v>0</v>
      </c>
      <c r="J64" s="2"/>
    </row>
    <row r="65" spans="1:10" x14ac:dyDescent="0.2">
      <c r="A65" s="1">
        <v>36766</v>
      </c>
      <c r="B65" s="6">
        <f>-87568-67620+5188</f>
        <v>-150000</v>
      </c>
      <c r="C65" s="6">
        <v>22300</v>
      </c>
      <c r="D65" s="6">
        <f>-96665+38800</f>
        <v>-57865</v>
      </c>
      <c r="E65" s="6">
        <v>0</v>
      </c>
      <c r="F65" s="6">
        <v>0</v>
      </c>
      <c r="G65" s="6">
        <v>0</v>
      </c>
      <c r="J65" s="2"/>
    </row>
    <row r="66" spans="1:10" x14ac:dyDescent="0.2">
      <c r="A66" s="1">
        <v>36767</v>
      </c>
      <c r="B66" s="6">
        <f>-97568-57620+5188</f>
        <v>-150000</v>
      </c>
      <c r="C66" s="6">
        <v>0</v>
      </c>
      <c r="D66" s="6">
        <f>-96665+20000</f>
        <v>-76665</v>
      </c>
      <c r="E66" s="6">
        <v>0</v>
      </c>
      <c r="F66" s="6">
        <v>0</v>
      </c>
      <c r="G66" s="6">
        <v>0</v>
      </c>
      <c r="J66" s="2"/>
    </row>
    <row r="67" spans="1:10" x14ac:dyDescent="0.2">
      <c r="A67" s="1">
        <v>36768</v>
      </c>
      <c r="B67" s="6">
        <f>-97568-52620+188</f>
        <v>-150000</v>
      </c>
      <c r="C67" s="6">
        <v>0</v>
      </c>
      <c r="D67" s="6">
        <f>-96665+20000</f>
        <v>-76665</v>
      </c>
      <c r="E67" s="6">
        <v>0</v>
      </c>
      <c r="F67" s="6">
        <v>0</v>
      </c>
      <c r="G67" s="6">
        <v>0</v>
      </c>
      <c r="J67" s="2"/>
    </row>
    <row r="68" spans="1:10" x14ac:dyDescent="0.2">
      <c r="A68" s="1">
        <v>36769</v>
      </c>
      <c r="B68" s="6">
        <f>-97584-52620+204</f>
        <v>-150000</v>
      </c>
      <c r="C68" s="6">
        <v>0</v>
      </c>
      <c r="D68" s="6">
        <f>-96665+20000</f>
        <v>-76665</v>
      </c>
      <c r="E68" s="6">
        <v>0</v>
      </c>
      <c r="F68" s="6">
        <v>0</v>
      </c>
      <c r="G68" s="6">
        <v>0</v>
      </c>
      <c r="J68" s="2"/>
    </row>
    <row r="69" spans="1:10" x14ac:dyDescent="0.2">
      <c r="A69" s="1">
        <v>36770</v>
      </c>
      <c r="B69" s="6">
        <f>-92526-45833+30227</f>
        <v>-108132</v>
      </c>
      <c r="C69" s="6">
        <v>35450</v>
      </c>
      <c r="D69" s="6">
        <f>-96665+10000</f>
        <v>-86665</v>
      </c>
      <c r="E69" s="6">
        <v>27214</v>
      </c>
      <c r="F69" s="6">
        <v>20000</v>
      </c>
      <c r="G69" s="6">
        <v>0</v>
      </c>
      <c r="J69" s="2"/>
    </row>
    <row r="70" spans="1:10" x14ac:dyDescent="0.2">
      <c r="A70" s="1">
        <v>36771</v>
      </c>
      <c r="B70" s="6">
        <f>-33649-107583+19894</f>
        <v>-121338</v>
      </c>
      <c r="C70" s="6">
        <v>-2007</v>
      </c>
      <c r="D70" s="6">
        <v>-96665</v>
      </c>
      <c r="E70" s="6">
        <v>13144</v>
      </c>
      <c r="F70" s="6">
        <v>0</v>
      </c>
      <c r="G70" s="6">
        <v>0</v>
      </c>
      <c r="J70" s="2"/>
    </row>
    <row r="71" spans="1:10" x14ac:dyDescent="0.2">
      <c r="A71" s="1">
        <v>36772</v>
      </c>
      <c r="B71" s="6">
        <f>-31761-107583+19894</f>
        <v>-119450</v>
      </c>
      <c r="C71" s="6">
        <v>14912</v>
      </c>
      <c r="D71" s="6">
        <f>-96665-2536</f>
        <v>-99201</v>
      </c>
      <c r="E71" s="6">
        <v>-18706</v>
      </c>
      <c r="F71" s="6">
        <v>-20000</v>
      </c>
      <c r="G71" s="6">
        <v>0</v>
      </c>
      <c r="J71" s="2"/>
    </row>
    <row r="72" spans="1:10" x14ac:dyDescent="0.2">
      <c r="A72" s="1">
        <v>36773</v>
      </c>
      <c r="B72" s="6">
        <f>-37953-107583+19894</f>
        <v>-125642</v>
      </c>
      <c r="C72" s="6">
        <v>23286</v>
      </c>
      <c r="D72" s="6">
        <f>-96665-2536</f>
        <v>-99201</v>
      </c>
      <c r="E72" s="6">
        <v>0</v>
      </c>
      <c r="F72" s="6">
        <v>-5509</v>
      </c>
      <c r="G72" s="6">
        <v>0</v>
      </c>
      <c r="J72" s="2"/>
    </row>
    <row r="73" spans="1:10" x14ac:dyDescent="0.2">
      <c r="A73" s="1">
        <v>36774</v>
      </c>
      <c r="B73" s="6">
        <f>-42313-107583+19894</f>
        <v>-130002</v>
      </c>
      <c r="C73" s="6">
        <v>1125</v>
      </c>
      <c r="D73" s="6">
        <v>-96665</v>
      </c>
      <c r="E73" s="6">
        <v>19206</v>
      </c>
      <c r="F73" s="6">
        <v>0</v>
      </c>
      <c r="G73" s="6">
        <v>0</v>
      </c>
      <c r="J73" s="2"/>
    </row>
    <row r="74" spans="1:10" x14ac:dyDescent="0.2">
      <c r="A74" s="1">
        <v>36775</v>
      </c>
      <c r="B74" s="6">
        <f>-71487-60833+9894</f>
        <v>-122426</v>
      </c>
      <c r="C74" s="6">
        <v>23066</v>
      </c>
      <c r="D74" s="6">
        <f>-96665-1273</f>
        <v>-97938</v>
      </c>
      <c r="E74" s="6">
        <v>0</v>
      </c>
      <c r="F74" s="6">
        <v>0</v>
      </c>
      <c r="G74" s="6">
        <v>0</v>
      </c>
      <c r="J74" s="2"/>
    </row>
    <row r="75" spans="1:10" x14ac:dyDescent="0.2">
      <c r="A75" s="1">
        <v>36776</v>
      </c>
      <c r="B75" s="6">
        <f>-87147-55333+20523</f>
        <v>-121957</v>
      </c>
      <c r="C75" s="6">
        <v>23313</v>
      </c>
      <c r="D75" s="6">
        <v>-96665</v>
      </c>
      <c r="E75" s="6">
        <v>25000</v>
      </c>
      <c r="F75" s="6">
        <v>855</v>
      </c>
      <c r="G75" s="6">
        <v>0</v>
      </c>
      <c r="J75" s="2"/>
    </row>
    <row r="76" spans="1:10" x14ac:dyDescent="0.2">
      <c r="A76" s="1">
        <v>36777</v>
      </c>
      <c r="B76" s="6">
        <f>-76948-60833+15519</f>
        <v>-122262</v>
      </c>
      <c r="C76" s="6">
        <v>23316</v>
      </c>
      <c r="D76" s="6">
        <v>-96665</v>
      </c>
      <c r="E76" s="6">
        <v>25000</v>
      </c>
      <c r="F76" s="6">
        <v>18632</v>
      </c>
      <c r="G76" s="6">
        <v>0</v>
      </c>
      <c r="J76" s="2"/>
    </row>
    <row r="77" spans="1:10" x14ac:dyDescent="0.2">
      <c r="A77" s="1">
        <v>36778</v>
      </c>
      <c r="B77" s="6">
        <f>-54204-104833+15519</f>
        <v>-143518</v>
      </c>
      <c r="C77" s="6">
        <v>23090</v>
      </c>
      <c r="D77" s="6">
        <f>-96665-2536</f>
        <v>-99201</v>
      </c>
      <c r="E77" s="6">
        <v>-2807</v>
      </c>
      <c r="F77" s="6">
        <v>-20000</v>
      </c>
      <c r="G77" s="6">
        <v>0</v>
      </c>
      <c r="J77" s="2"/>
    </row>
    <row r="78" spans="1:10" x14ac:dyDescent="0.2">
      <c r="A78" s="1">
        <v>36779</v>
      </c>
      <c r="B78" s="6">
        <f>-57239-104833+15519</f>
        <v>-146553</v>
      </c>
      <c r="C78" s="6">
        <v>23215</v>
      </c>
      <c r="D78" s="6">
        <f>-96665-2536</f>
        <v>-99201</v>
      </c>
      <c r="E78" s="6">
        <v>-19947</v>
      </c>
      <c r="F78" s="6">
        <v>0</v>
      </c>
      <c r="G78" s="6">
        <v>0</v>
      </c>
      <c r="J78" s="2"/>
    </row>
    <row r="79" spans="1:10" x14ac:dyDescent="0.2">
      <c r="A79" s="1">
        <v>36780</v>
      </c>
      <c r="B79" s="6">
        <f>-29676-104833+15519</f>
        <v>-118990</v>
      </c>
      <c r="C79" s="6">
        <v>40236</v>
      </c>
      <c r="D79" s="6">
        <v>-96665</v>
      </c>
      <c r="E79" s="6">
        <v>4282</v>
      </c>
      <c r="F79" s="6">
        <v>0</v>
      </c>
      <c r="G79" s="6">
        <v>0</v>
      </c>
      <c r="J79" s="2"/>
    </row>
    <row r="80" spans="1:10" x14ac:dyDescent="0.2">
      <c r="A80" s="1">
        <v>36781</v>
      </c>
      <c r="B80" s="6">
        <f>-71164-70833+20519</f>
        <v>-121478</v>
      </c>
      <c r="C80" s="6">
        <v>23244</v>
      </c>
      <c r="D80" s="6">
        <f>-96665-2536</f>
        <v>-99201</v>
      </c>
      <c r="E80" s="6">
        <v>-5226</v>
      </c>
      <c r="F80" s="6">
        <v>-20000</v>
      </c>
      <c r="G80" s="6">
        <v>0</v>
      </c>
      <c r="J80" s="2"/>
    </row>
    <row r="81" spans="1:10" x14ac:dyDescent="0.2">
      <c r="A81" s="1">
        <v>36782</v>
      </c>
      <c r="B81" s="6">
        <f>-70997-60833+10519</f>
        <v>-121311</v>
      </c>
      <c r="C81" s="6">
        <v>23226</v>
      </c>
      <c r="D81" s="6">
        <f>-96665-2536</f>
        <v>-99201</v>
      </c>
      <c r="E81" s="6">
        <v>-6577</v>
      </c>
      <c r="F81" s="6">
        <v>0</v>
      </c>
      <c r="G81" s="6">
        <v>0</v>
      </c>
      <c r="J81" s="2"/>
    </row>
    <row r="82" spans="1:10" x14ac:dyDescent="0.2">
      <c r="A82" s="1">
        <v>36783</v>
      </c>
      <c r="B82" s="6">
        <f>-72952-60833+10986</f>
        <v>-122799</v>
      </c>
      <c r="C82" s="6">
        <v>-17021</v>
      </c>
      <c r="D82" s="6">
        <f>-96665-2536</f>
        <v>-99201</v>
      </c>
      <c r="E82" s="6">
        <v>-20000</v>
      </c>
      <c r="F82" s="6">
        <v>-4245</v>
      </c>
      <c r="G82" s="6">
        <v>0</v>
      </c>
      <c r="J82" s="2"/>
    </row>
    <row r="83" spans="1:10" x14ac:dyDescent="0.2">
      <c r="A83" s="1">
        <v>36784</v>
      </c>
      <c r="B83" s="6">
        <f>-69702-84370+29819</f>
        <v>-124253</v>
      </c>
      <c r="C83" s="6">
        <v>-16569</v>
      </c>
      <c r="D83" s="6">
        <f>-96665-2536</f>
        <v>-99201</v>
      </c>
      <c r="E83" s="6">
        <v>-16236</v>
      </c>
      <c r="F83" s="6"/>
      <c r="G83" s="6">
        <v>0</v>
      </c>
      <c r="J83" s="2"/>
    </row>
    <row r="84" spans="1:10" x14ac:dyDescent="0.2">
      <c r="A84" s="1">
        <v>36785</v>
      </c>
      <c r="B84" s="6">
        <f>-96034-60833+27532</f>
        <v>-129335</v>
      </c>
      <c r="C84" s="6">
        <v>-21568</v>
      </c>
      <c r="D84" s="6">
        <f>-96665-2536</f>
        <v>-99201</v>
      </c>
      <c r="E84" s="6">
        <v>-20000</v>
      </c>
      <c r="F84" s="6">
        <v>-3609</v>
      </c>
      <c r="G84" s="6">
        <v>0</v>
      </c>
      <c r="J84" s="2"/>
    </row>
    <row r="85" spans="1:10" x14ac:dyDescent="0.2">
      <c r="A85" s="1">
        <v>36786</v>
      </c>
      <c r="B85" s="6">
        <f>-89918-60833+27532</f>
        <v>-123219</v>
      </c>
      <c r="C85" s="6">
        <v>-32370</v>
      </c>
      <c r="D85" s="6">
        <v>-96665</v>
      </c>
      <c r="E85" s="6">
        <v>0</v>
      </c>
      <c r="F85" s="6">
        <v>0</v>
      </c>
      <c r="G85" s="6">
        <v>0</v>
      </c>
      <c r="J85" s="2"/>
    </row>
    <row r="86" spans="1:10" x14ac:dyDescent="0.2">
      <c r="A86" s="1">
        <v>36787</v>
      </c>
      <c r="B86" s="6">
        <f>-88938-60833+27531</f>
        <v>-122240</v>
      </c>
      <c r="C86" s="6">
        <f>-36600+40000</f>
        <v>3400</v>
      </c>
      <c r="D86" s="6">
        <v>-96665</v>
      </c>
      <c r="E86" s="6">
        <v>0</v>
      </c>
      <c r="F86" s="6">
        <v>0</v>
      </c>
      <c r="G86" s="6">
        <v>0</v>
      </c>
      <c r="J86" s="2"/>
    </row>
    <row r="87" spans="1:10" x14ac:dyDescent="0.2">
      <c r="A87" s="1">
        <v>36788</v>
      </c>
      <c r="B87" s="6">
        <f>-48426-90833+20519</f>
        <v>-118740</v>
      </c>
      <c r="C87" s="6">
        <f>-16600+40000</f>
        <v>23400</v>
      </c>
      <c r="D87" s="6">
        <v>-96665</v>
      </c>
      <c r="E87" s="6">
        <v>0</v>
      </c>
      <c r="F87" s="6">
        <v>0</v>
      </c>
      <c r="G87" s="6">
        <v>0</v>
      </c>
      <c r="J87" s="2"/>
    </row>
    <row r="88" spans="1:10" x14ac:dyDescent="0.2">
      <c r="A88" s="1">
        <v>36789</v>
      </c>
      <c r="B88" s="6">
        <f>-37737-60833+20910</f>
        <v>-77660</v>
      </c>
      <c r="C88" s="6">
        <f>-16600+40000-58</f>
        <v>23342</v>
      </c>
      <c r="D88" s="6">
        <v>-96665</v>
      </c>
      <c r="E88" s="6">
        <v>0</v>
      </c>
      <c r="F88" s="6">
        <v>0</v>
      </c>
      <c r="G88" s="6">
        <v>0</v>
      </c>
      <c r="J88" s="2"/>
    </row>
    <row r="89" spans="1:10" x14ac:dyDescent="0.2">
      <c r="A89" s="1">
        <v>36790</v>
      </c>
      <c r="B89" s="6">
        <f>-19985-69666+20519</f>
        <v>-69132</v>
      </c>
      <c r="C89" s="6">
        <f>-56600+40000-17960+37</f>
        <v>-34523</v>
      </c>
      <c r="D89" s="6">
        <v>-96665</v>
      </c>
      <c r="E89" s="6">
        <v>0</v>
      </c>
      <c r="F89" s="6">
        <v>0</v>
      </c>
      <c r="G89" s="6">
        <v>0</v>
      </c>
      <c r="J89" s="2"/>
    </row>
    <row r="90" spans="1:10" x14ac:dyDescent="0.2">
      <c r="A90" s="1">
        <v>36791</v>
      </c>
      <c r="B90" s="6">
        <f>-32774-60833+20519</f>
        <v>-73088</v>
      </c>
      <c r="C90" s="6">
        <f>-56600+40000-315</f>
        <v>-16915</v>
      </c>
      <c r="D90" s="6">
        <v>-96665</v>
      </c>
      <c r="E90" s="6">
        <v>0</v>
      </c>
      <c r="F90" s="6">
        <v>0</v>
      </c>
      <c r="G90" s="6">
        <v>0</v>
      </c>
      <c r="J90" s="2"/>
    </row>
    <row r="91" spans="1:10" x14ac:dyDescent="0.2">
      <c r="A91" s="1">
        <v>36792</v>
      </c>
      <c r="B91" s="6">
        <f>2283-126969+1822</f>
        <v>-122864</v>
      </c>
      <c r="C91" s="6">
        <f>-56600+40000-55</f>
        <v>-16655</v>
      </c>
      <c r="D91" s="6">
        <v>-96665</v>
      </c>
      <c r="E91" s="6">
        <v>0</v>
      </c>
      <c r="F91" s="6">
        <v>0</v>
      </c>
      <c r="G91" s="6">
        <v>-31555</v>
      </c>
      <c r="J91" s="2"/>
    </row>
    <row r="92" spans="1:10" x14ac:dyDescent="0.2">
      <c r="A92" s="1">
        <v>36793</v>
      </c>
      <c r="B92" s="6">
        <f>-663-126969+1822</f>
        <v>-125810</v>
      </c>
      <c r="C92" s="6">
        <f>-56600+40000-15000+1095</f>
        <v>-30505</v>
      </c>
      <c r="D92" s="6">
        <v>-96665</v>
      </c>
      <c r="E92" s="6">
        <v>0</v>
      </c>
      <c r="F92" s="6">
        <v>0</v>
      </c>
      <c r="G92" s="6">
        <v>0</v>
      </c>
      <c r="J92" s="2"/>
    </row>
    <row r="93" spans="1:10" x14ac:dyDescent="0.2">
      <c r="A93" s="1">
        <v>36794</v>
      </c>
      <c r="B93" s="6">
        <f>2696-126969+1822</f>
        <v>-122451</v>
      </c>
      <c r="C93" s="6">
        <f>-56600+40000-286+46600</f>
        <v>29714</v>
      </c>
      <c r="D93" s="6">
        <v>-96665</v>
      </c>
      <c r="E93" s="6">
        <v>0</v>
      </c>
      <c r="F93" s="6">
        <v>0</v>
      </c>
      <c r="G93" s="6">
        <v>0</v>
      </c>
      <c r="J93" s="2"/>
    </row>
    <row r="94" spans="1:10" x14ac:dyDescent="0.2">
      <c r="A94" s="1">
        <v>36795</v>
      </c>
      <c r="B94" s="6">
        <f>-58447-75833+11786</f>
        <v>-122494</v>
      </c>
      <c r="C94" s="6">
        <f>-16600+40000+172</f>
        <v>23572</v>
      </c>
      <c r="D94" s="6">
        <v>-96665</v>
      </c>
      <c r="E94" s="6">
        <v>0</v>
      </c>
      <c r="F94" s="6">
        <v>0</v>
      </c>
      <c r="G94" s="6">
        <v>0</v>
      </c>
      <c r="J94" s="2"/>
    </row>
    <row r="95" spans="1:10" x14ac:dyDescent="0.2">
      <c r="A95" s="1">
        <v>36796</v>
      </c>
      <c r="B95" s="6">
        <f>-67699-75833+20519</f>
        <v>-123013</v>
      </c>
      <c r="C95" s="6">
        <f>-16600+40000+200</f>
        <v>23600</v>
      </c>
      <c r="D95" s="6">
        <v>-96665</v>
      </c>
      <c r="E95" s="6">
        <v>0</v>
      </c>
      <c r="F95" s="6">
        <v>0</v>
      </c>
      <c r="G95" s="6">
        <v>0</v>
      </c>
      <c r="J95" s="2"/>
    </row>
    <row r="96" spans="1:10" x14ac:dyDescent="0.2">
      <c r="A96" s="1">
        <v>36797</v>
      </c>
      <c r="B96" s="6">
        <f>-52853-90833+20686</f>
        <v>-123000</v>
      </c>
      <c r="C96" s="6">
        <f>-16600+40000-26100</f>
        <v>-2700</v>
      </c>
      <c r="D96" s="6">
        <v>-96665</v>
      </c>
      <c r="E96" s="6">
        <v>0</v>
      </c>
      <c r="F96" s="6">
        <v>0</v>
      </c>
      <c r="G96" s="6">
        <v>0</v>
      </c>
      <c r="H96" s="4"/>
      <c r="I96" s="4"/>
      <c r="J96" s="2"/>
    </row>
    <row r="97" spans="1:10" x14ac:dyDescent="0.2">
      <c r="A97" s="1">
        <v>36798</v>
      </c>
      <c r="B97" s="6">
        <f>-82853-60833+20686</f>
        <v>-123000</v>
      </c>
      <c r="C97" s="6">
        <f>-16600+40000</f>
        <v>23400</v>
      </c>
      <c r="D97" s="6">
        <v>-96665</v>
      </c>
      <c r="E97" s="6">
        <v>0</v>
      </c>
      <c r="F97" s="6">
        <v>0</v>
      </c>
      <c r="G97" s="6">
        <v>0</v>
      </c>
      <c r="H97" s="4">
        <v>-10000</v>
      </c>
      <c r="I97" s="4"/>
      <c r="J97" s="2"/>
    </row>
    <row r="98" spans="1:10" x14ac:dyDescent="0.2">
      <c r="A98" s="1">
        <v>36799</v>
      </c>
      <c r="B98" s="6">
        <f>-82686-60833+20519</f>
        <v>-123000</v>
      </c>
      <c r="C98" s="6">
        <f>-16600+40000</f>
        <v>23400</v>
      </c>
      <c r="D98" s="6">
        <v>-96665</v>
      </c>
      <c r="E98" s="6">
        <v>0</v>
      </c>
      <c r="F98" s="6">
        <v>0</v>
      </c>
      <c r="G98" s="6">
        <v>0</v>
      </c>
      <c r="H98" s="4">
        <v>-10000</v>
      </c>
      <c r="I98" s="4"/>
      <c r="J98" s="2"/>
    </row>
    <row r="99" spans="1:10" x14ac:dyDescent="0.2">
      <c r="A99" s="1">
        <v>36800</v>
      </c>
      <c r="B99" s="6">
        <f>-84866-69216+10968</f>
        <v>-143114</v>
      </c>
      <c r="C99" s="6">
        <v>-34640</v>
      </c>
      <c r="D99" s="6">
        <f>-18146-11299</f>
        <v>-29445</v>
      </c>
      <c r="E99" s="6">
        <v>-32185</v>
      </c>
      <c r="F99" s="6">
        <v>-20000</v>
      </c>
      <c r="G99" s="6">
        <v>-31555</v>
      </c>
      <c r="H99" s="4">
        <v>-10000</v>
      </c>
      <c r="I99" s="4">
        <v>-30000</v>
      </c>
      <c r="J99" s="2"/>
    </row>
    <row r="100" spans="1:10" x14ac:dyDescent="0.2">
      <c r="A100" s="1">
        <v>36801</v>
      </c>
      <c r="B100" s="6">
        <f>-95110-69216+10968</f>
        <v>-153358</v>
      </c>
      <c r="C100" s="6">
        <v>-33940</v>
      </c>
      <c r="D100" s="6">
        <v>-18146</v>
      </c>
      <c r="E100" s="6">
        <v>-25000</v>
      </c>
      <c r="F100" s="6">
        <v>-6108</v>
      </c>
      <c r="G100" s="6">
        <v>-31555</v>
      </c>
      <c r="H100" s="4">
        <v>-10000</v>
      </c>
      <c r="I100" s="4">
        <v>-30000</v>
      </c>
      <c r="J100" s="2"/>
    </row>
    <row r="101" spans="1:10" x14ac:dyDescent="0.2">
      <c r="A101" s="1">
        <v>36802</v>
      </c>
      <c r="B101" s="6">
        <f>-92752-54677+21429</f>
        <v>-126000</v>
      </c>
      <c r="C101" s="6">
        <v>-33943</v>
      </c>
      <c r="D101" s="6">
        <f>-18146-40101</f>
        <v>-58247</v>
      </c>
      <c r="E101" s="6">
        <v>0</v>
      </c>
      <c r="F101" s="6">
        <v>0</v>
      </c>
      <c r="G101" s="6">
        <v>-31555</v>
      </c>
      <c r="H101" s="4">
        <v>-10000</v>
      </c>
      <c r="I101" s="4">
        <v>-30000</v>
      </c>
      <c r="J101" s="2"/>
    </row>
    <row r="102" spans="1:10" x14ac:dyDescent="0.2">
      <c r="A102" s="1">
        <v>36803</v>
      </c>
      <c r="B102" s="6">
        <f>-42241-54677+27735</f>
        <v>-69183</v>
      </c>
      <c r="C102" s="6">
        <v>-33081</v>
      </c>
      <c r="D102" s="6">
        <f>-18146-54421</f>
        <v>-72567</v>
      </c>
      <c r="E102" s="6">
        <v>5000</v>
      </c>
      <c r="F102" s="6">
        <v>10000</v>
      </c>
      <c r="G102" s="6">
        <v>-31555</v>
      </c>
      <c r="H102" s="4">
        <v>-10000</v>
      </c>
      <c r="I102" s="4">
        <v>-30000</v>
      </c>
      <c r="J102" s="2"/>
    </row>
    <row r="103" spans="1:10" x14ac:dyDescent="0.2">
      <c r="A103" s="1">
        <v>36804</v>
      </c>
      <c r="B103" s="6">
        <f>-37159-64805+26589</f>
        <v>-75375</v>
      </c>
      <c r="C103" s="6">
        <v>-36865</v>
      </c>
      <c r="D103" s="6">
        <f>-18146-33745</f>
        <v>-51891</v>
      </c>
      <c r="E103" s="6">
        <v>5000</v>
      </c>
      <c r="F103" s="6">
        <v>10000</v>
      </c>
      <c r="G103" s="6">
        <v>-31555</v>
      </c>
      <c r="H103" s="4">
        <v>-10000</v>
      </c>
      <c r="I103" s="4">
        <v>-30000</v>
      </c>
      <c r="J103" s="2"/>
    </row>
    <row r="104" spans="1:10" x14ac:dyDescent="0.2">
      <c r="A104" s="1">
        <v>36805</v>
      </c>
      <c r="B104" s="6">
        <f>-78291-55677+31589</f>
        <v>-102379</v>
      </c>
      <c r="C104" s="6">
        <v>-1073</v>
      </c>
      <c r="D104" s="6">
        <f>-18146+19091</f>
        <v>945</v>
      </c>
      <c r="E104" s="6">
        <f>5000+34000</f>
        <v>39000</v>
      </c>
      <c r="F104" s="6">
        <f>10000+20000</f>
        <v>30000</v>
      </c>
      <c r="G104" s="6">
        <v>0</v>
      </c>
      <c r="H104" s="4">
        <v>-10000</v>
      </c>
      <c r="I104" s="4">
        <v>-30000</v>
      </c>
      <c r="J104" s="2"/>
    </row>
    <row r="105" spans="1:10" x14ac:dyDescent="0.2">
      <c r="A105" s="1">
        <v>36806</v>
      </c>
      <c r="B105" s="6">
        <f>-66459-56775+21922</f>
        <v>-101312</v>
      </c>
      <c r="C105" s="6">
        <v>35321</v>
      </c>
      <c r="D105" s="6">
        <f>-18146+71695</f>
        <v>53549</v>
      </c>
      <c r="E105" s="6">
        <v>5000</v>
      </c>
      <c r="F105" s="6">
        <v>10000</v>
      </c>
      <c r="G105" s="6">
        <v>0</v>
      </c>
      <c r="H105" s="4">
        <v>-10000</v>
      </c>
      <c r="I105" s="4">
        <v>-30000</v>
      </c>
      <c r="J105" s="2"/>
    </row>
    <row r="106" spans="1:10" x14ac:dyDescent="0.2">
      <c r="A106" s="1">
        <v>36807</v>
      </c>
      <c r="B106" s="6">
        <f>-74958-56775+21922</f>
        <v>-109811</v>
      </c>
      <c r="C106" s="6">
        <v>35357</v>
      </c>
      <c r="D106" s="6">
        <f>-18146+106073</f>
        <v>87927</v>
      </c>
      <c r="E106" s="6">
        <v>5000</v>
      </c>
      <c r="F106" s="6">
        <v>10000</v>
      </c>
      <c r="G106" s="6">
        <v>0</v>
      </c>
      <c r="H106" s="4">
        <v>-10000</v>
      </c>
      <c r="I106" s="4">
        <v>-30000</v>
      </c>
      <c r="J106" s="2"/>
    </row>
    <row r="107" spans="1:10" x14ac:dyDescent="0.2">
      <c r="A107" s="1">
        <v>36808</v>
      </c>
      <c r="B107" s="6">
        <f>-56231-56777+21923</f>
        <v>-91085</v>
      </c>
      <c r="C107" s="6">
        <v>35358</v>
      </c>
      <c r="D107" s="6">
        <f>-18146+30505</f>
        <v>12359</v>
      </c>
      <c r="E107" s="6">
        <v>5000</v>
      </c>
      <c r="F107" s="6">
        <v>10000</v>
      </c>
      <c r="G107" s="6">
        <v>0</v>
      </c>
      <c r="H107" s="4">
        <v>-10000</v>
      </c>
      <c r="I107" s="4">
        <v>-30000</v>
      </c>
      <c r="J107" s="2"/>
    </row>
    <row r="108" spans="1:10" x14ac:dyDescent="0.2">
      <c r="A108" s="1">
        <v>36809</v>
      </c>
      <c r="B108" s="6">
        <f>-86388-54677+41589</f>
        <v>-99476</v>
      </c>
      <c r="C108" s="6">
        <v>35448</v>
      </c>
      <c r="D108" s="6">
        <v>-18146</v>
      </c>
      <c r="E108" s="6">
        <f>5000-1815</f>
        <v>3185</v>
      </c>
      <c r="F108" s="6">
        <v>10000</v>
      </c>
      <c r="G108" s="6">
        <v>-31555</v>
      </c>
      <c r="H108" s="4">
        <v>-10000</v>
      </c>
      <c r="I108" s="4">
        <v>-30000</v>
      </c>
      <c r="J108" s="2"/>
    </row>
    <row r="109" spans="1:10" x14ac:dyDescent="0.2">
      <c r="A109" s="1">
        <v>36810</v>
      </c>
      <c r="B109" s="6">
        <f>-66037-59677+51589</f>
        <v>-74125</v>
      </c>
      <c r="C109" s="6">
        <v>-34675</v>
      </c>
      <c r="D109" s="6">
        <v>-18146</v>
      </c>
      <c r="E109" s="6">
        <f>5000</f>
        <v>5000</v>
      </c>
      <c r="F109" s="6">
        <v>10000</v>
      </c>
      <c r="G109" s="6">
        <v>-31555</v>
      </c>
      <c r="H109" s="4">
        <v>-10000</v>
      </c>
      <c r="I109" s="4">
        <v>-30000</v>
      </c>
      <c r="J109" s="2"/>
    </row>
    <row r="110" spans="1:10" x14ac:dyDescent="0.2">
      <c r="A110" s="1">
        <v>36811</v>
      </c>
      <c r="B110" s="6">
        <f>-54943-54667+21589</f>
        <v>-88021</v>
      </c>
      <c r="C110" s="6">
        <v>-34496</v>
      </c>
      <c r="D110" s="6">
        <v>-18146</v>
      </c>
      <c r="E110" s="6">
        <f>5000-16581</f>
        <v>-11581</v>
      </c>
      <c r="F110" s="6">
        <f>10000-20000</f>
        <v>-10000</v>
      </c>
      <c r="G110" s="6">
        <v>-31555</v>
      </c>
      <c r="H110" s="4">
        <v>-10000</v>
      </c>
      <c r="I110" s="4">
        <v>-30000</v>
      </c>
      <c r="J110" s="2"/>
    </row>
    <row r="111" spans="1:10" x14ac:dyDescent="0.2">
      <c r="A111" s="1">
        <v>36812</v>
      </c>
      <c r="B111" s="6">
        <f>-61073-89667+11229</f>
        <v>-139511</v>
      </c>
      <c r="C111" s="6">
        <v>-42238</v>
      </c>
      <c r="D111" s="6">
        <f>-18146-59913</f>
        <v>-78059</v>
      </c>
      <c r="E111" s="6">
        <v>-34000</v>
      </c>
      <c r="F111" s="6">
        <v>-20000</v>
      </c>
      <c r="G111" s="6">
        <v>-31555</v>
      </c>
      <c r="H111" s="4">
        <v>-10000</v>
      </c>
      <c r="I111" s="4">
        <v>-10000</v>
      </c>
      <c r="J111" s="2"/>
    </row>
    <row r="112" spans="1:10" x14ac:dyDescent="0.2">
      <c r="A112" s="1">
        <v>36813</v>
      </c>
      <c r="B112" s="6">
        <f>50379-161316+10968</f>
        <v>-99969</v>
      </c>
      <c r="C112" s="6">
        <v>-39385</v>
      </c>
      <c r="D112" s="6">
        <f>-18146-3049</f>
        <v>-21195</v>
      </c>
      <c r="E112" s="6">
        <v>-34000</v>
      </c>
      <c r="F112" s="6">
        <v>-20000</v>
      </c>
      <c r="G112" s="6">
        <v>-31555</v>
      </c>
      <c r="H112" s="4">
        <v>-10000</v>
      </c>
      <c r="I112" s="4">
        <v>-10000</v>
      </c>
      <c r="J112" s="2"/>
    </row>
    <row r="113" spans="1:10" x14ac:dyDescent="0.2">
      <c r="A113" s="1">
        <v>36814</v>
      </c>
      <c r="B113" s="6">
        <f>51466-161316+10968</f>
        <v>-98882</v>
      </c>
      <c r="C113" s="6">
        <v>-34615</v>
      </c>
      <c r="D113" s="6">
        <v>0</v>
      </c>
      <c r="E113" s="6">
        <v>-9014</v>
      </c>
      <c r="F113" s="6">
        <v>-20000</v>
      </c>
      <c r="G113" s="6">
        <v>-31555</v>
      </c>
      <c r="H113" s="4">
        <v>-10000</v>
      </c>
      <c r="I113" s="4">
        <v>-10000</v>
      </c>
      <c r="J113" s="2"/>
    </row>
    <row r="114" spans="1:10" x14ac:dyDescent="0.2">
      <c r="A114" s="1">
        <v>36815</v>
      </c>
      <c r="B114" s="6">
        <f>47918-161316+10968</f>
        <v>-102430</v>
      </c>
      <c r="C114" s="6">
        <v>-34612</v>
      </c>
      <c r="D114" s="6">
        <v>0</v>
      </c>
      <c r="E114" s="6">
        <v>15000</v>
      </c>
      <c r="F114" s="6">
        <f>10000-14847</f>
        <v>-4847</v>
      </c>
      <c r="G114" s="6">
        <v>-31555</v>
      </c>
      <c r="H114" s="4">
        <v>-10000</v>
      </c>
      <c r="I114" s="4">
        <v>-10000</v>
      </c>
      <c r="J114" s="2"/>
    </row>
    <row r="115" spans="1:10" x14ac:dyDescent="0.2">
      <c r="A115" s="1">
        <v>36816</v>
      </c>
      <c r="B115" s="6">
        <f>-23171-89677+11429</f>
        <v>-101419</v>
      </c>
      <c r="C115" s="6">
        <v>-34551</v>
      </c>
      <c r="D115" s="6">
        <v>29727</v>
      </c>
      <c r="E115" s="6">
        <v>15000</v>
      </c>
      <c r="F115" s="6">
        <v>10000</v>
      </c>
      <c r="G115" s="6">
        <v>-31555</v>
      </c>
      <c r="H115" s="4">
        <v>-10000</v>
      </c>
      <c r="I115" s="4">
        <v>-10000</v>
      </c>
      <c r="J115" s="2"/>
    </row>
    <row r="116" spans="1:10" x14ac:dyDescent="0.2">
      <c r="A116" s="1">
        <v>36817</v>
      </c>
      <c r="B116" s="6">
        <f>-46212-69216+20968</f>
        <v>-94460</v>
      </c>
      <c r="C116" s="6">
        <v>-35000</v>
      </c>
      <c r="D116" s="6">
        <v>-16669</v>
      </c>
      <c r="E116" s="6">
        <v>-34000</v>
      </c>
      <c r="F116" s="6">
        <v>-20000</v>
      </c>
      <c r="G116" s="6">
        <v>-31555</v>
      </c>
      <c r="H116" s="4">
        <v>-10000</v>
      </c>
      <c r="I116" s="4">
        <v>-30000</v>
      </c>
      <c r="J116" s="2"/>
    </row>
    <row r="117" spans="1:10" x14ac:dyDescent="0.2">
      <c r="A117" s="1">
        <v>36818</v>
      </c>
      <c r="B117" s="6">
        <f>-10378-89216+11972</f>
        <v>-87622</v>
      </c>
      <c r="C117" s="6">
        <f>-35000-4438</f>
        <v>-39438</v>
      </c>
      <c r="D117" s="6">
        <v>1771</v>
      </c>
      <c r="E117" s="6">
        <v>15000</v>
      </c>
      <c r="F117" s="6">
        <v>10000</v>
      </c>
      <c r="G117" s="6">
        <v>-31555</v>
      </c>
      <c r="H117" s="4">
        <v>-10000</v>
      </c>
      <c r="I117" s="4">
        <v>-10000</v>
      </c>
      <c r="J117" s="2"/>
    </row>
    <row r="118" spans="1:10" x14ac:dyDescent="0.2">
      <c r="A118" s="1">
        <v>36819</v>
      </c>
      <c r="B118" s="6">
        <f>-14201-89220+10968</f>
        <v>-92453</v>
      </c>
      <c r="C118" s="6">
        <f>-35000-4429</f>
        <v>-39429</v>
      </c>
      <c r="D118" s="6">
        <v>-97133</v>
      </c>
      <c r="E118" s="6">
        <v>0</v>
      </c>
      <c r="F118" s="6">
        <v>0</v>
      </c>
      <c r="G118" s="6">
        <v>-31555</v>
      </c>
      <c r="H118" s="4">
        <v>-10000</v>
      </c>
      <c r="I118" s="4">
        <v>-30000</v>
      </c>
      <c r="J118" s="2"/>
    </row>
    <row r="119" spans="1:10" x14ac:dyDescent="0.2">
      <c r="A119" s="1">
        <v>36820</v>
      </c>
      <c r="B119" s="6">
        <f>-59834-79216+10968</f>
        <v>-128082</v>
      </c>
      <c r="C119" s="6">
        <f>-35000-4480</f>
        <v>-39480</v>
      </c>
      <c r="D119" s="6">
        <v>-40101</v>
      </c>
      <c r="E119" s="6">
        <v>15000</v>
      </c>
      <c r="F119" s="6">
        <v>10000</v>
      </c>
      <c r="G119" s="6">
        <v>-31555</v>
      </c>
      <c r="H119" s="4">
        <v>-10000</v>
      </c>
      <c r="I119" s="4">
        <v>-30000</v>
      </c>
      <c r="J119" s="2"/>
    </row>
    <row r="120" spans="1:10" x14ac:dyDescent="0.2">
      <c r="A120" s="1">
        <v>36821</v>
      </c>
      <c r="B120" s="6">
        <f>-54076-79216+10968</f>
        <v>-122324</v>
      </c>
      <c r="C120" s="6">
        <f>-35000-7660</f>
        <v>-42660</v>
      </c>
      <c r="D120" s="6">
        <v>-42521</v>
      </c>
      <c r="E120" s="6">
        <v>15000</v>
      </c>
      <c r="F120" s="6">
        <v>10000</v>
      </c>
      <c r="G120" s="6">
        <v>-31555</v>
      </c>
      <c r="H120" s="4">
        <v>-10000</v>
      </c>
      <c r="I120" s="4">
        <v>-30000</v>
      </c>
      <c r="J120" s="2"/>
    </row>
    <row r="121" spans="1:10" x14ac:dyDescent="0.2">
      <c r="A121" s="1">
        <v>36822</v>
      </c>
      <c r="B121" s="6">
        <f>-52819-79216+10968</f>
        <v>-121067</v>
      </c>
      <c r="C121" s="6">
        <f>-35000-7660</f>
        <v>-42660</v>
      </c>
      <c r="D121" s="6">
        <v>0</v>
      </c>
      <c r="E121" s="6">
        <v>12448</v>
      </c>
      <c r="F121" s="6">
        <v>0</v>
      </c>
      <c r="G121" s="6">
        <v>-31555</v>
      </c>
      <c r="H121" s="4">
        <v>-10000</v>
      </c>
      <c r="I121" s="4">
        <v>-30000</v>
      </c>
      <c r="J121" s="2"/>
    </row>
    <row r="122" spans="1:10" x14ac:dyDescent="0.2">
      <c r="A122" s="1">
        <v>36823</v>
      </c>
      <c r="B122" s="6">
        <f>-62675-81808+11483</f>
        <v>-133000</v>
      </c>
      <c r="C122" s="6">
        <f>-35000-7660</f>
        <v>-42660</v>
      </c>
      <c r="D122" s="6">
        <v>-16526</v>
      </c>
      <c r="E122" s="6">
        <v>15000</v>
      </c>
      <c r="F122" s="6">
        <v>10000</v>
      </c>
      <c r="G122" s="6">
        <v>-31555</v>
      </c>
      <c r="H122" s="4">
        <v>-10000</v>
      </c>
      <c r="I122" s="4">
        <v>-30000</v>
      </c>
      <c r="J122" s="2"/>
    </row>
    <row r="123" spans="1:10" x14ac:dyDescent="0.2">
      <c r="A123" s="1">
        <v>36824</v>
      </c>
      <c r="B123" s="6">
        <f>-51435-81813+10968</f>
        <v>-122280</v>
      </c>
      <c r="C123" s="6">
        <f>-35000-7660</f>
        <v>-42660</v>
      </c>
      <c r="D123" s="6">
        <v>-3740</v>
      </c>
      <c r="E123" s="6">
        <v>0</v>
      </c>
      <c r="F123" s="6">
        <v>0</v>
      </c>
      <c r="G123" s="6">
        <v>-31555</v>
      </c>
      <c r="H123" s="4">
        <v>-10000</v>
      </c>
      <c r="I123" s="4">
        <v>-30000</v>
      </c>
      <c r="J123" s="2"/>
    </row>
    <row r="124" spans="1:10" x14ac:dyDescent="0.2">
      <c r="A124" s="1">
        <v>36825</v>
      </c>
      <c r="B124" s="6">
        <f>-35871-85068+10968</f>
        <v>-109971</v>
      </c>
      <c r="C124" s="6">
        <f>-35000+20014</f>
        <v>-14986</v>
      </c>
      <c r="D124" s="6">
        <v>-33552</v>
      </c>
      <c r="E124" s="6">
        <v>15000</v>
      </c>
      <c r="F124" s="6">
        <v>10000</v>
      </c>
      <c r="G124" s="6">
        <v>-31555</v>
      </c>
      <c r="H124" s="4">
        <v>-10000</v>
      </c>
      <c r="I124" s="4">
        <v>-30000</v>
      </c>
      <c r="J124" s="2"/>
    </row>
    <row r="125" spans="1:10" x14ac:dyDescent="0.2">
      <c r="A125" s="1">
        <v>36826</v>
      </c>
      <c r="B125" s="6">
        <f>-8857-93462+10968</f>
        <v>-91351</v>
      </c>
      <c r="C125" s="6">
        <f>-35000-4500</f>
        <v>-39500</v>
      </c>
      <c r="D125" s="6">
        <v>0</v>
      </c>
      <c r="E125" s="6">
        <v>0</v>
      </c>
      <c r="F125" s="6">
        <v>0</v>
      </c>
      <c r="G125" s="6">
        <v>-31555</v>
      </c>
      <c r="H125" s="4">
        <v>-10000</v>
      </c>
      <c r="I125" s="4">
        <v>-30000</v>
      </c>
      <c r="J125" s="2"/>
    </row>
    <row r="126" spans="1:10" x14ac:dyDescent="0.2">
      <c r="A126" s="1">
        <v>36827</v>
      </c>
      <c r="B126" s="6">
        <f>-9663-96916+10968</f>
        <v>-95611</v>
      </c>
      <c r="C126" s="6">
        <f>-35000-4500</f>
        <v>-39500</v>
      </c>
      <c r="D126" s="6">
        <v>0</v>
      </c>
      <c r="E126" s="6">
        <v>15000</v>
      </c>
      <c r="F126" s="6">
        <v>10000</v>
      </c>
      <c r="G126" s="6">
        <v>-31555</v>
      </c>
      <c r="H126" s="4">
        <v>-10000</v>
      </c>
      <c r="I126" s="4">
        <v>-30000</v>
      </c>
      <c r="J126" s="2"/>
    </row>
    <row r="127" spans="1:10" x14ac:dyDescent="0.2">
      <c r="A127" s="1">
        <v>36828</v>
      </c>
      <c r="B127" s="6">
        <f>-9053-96916+10968</f>
        <v>-95001</v>
      </c>
      <c r="C127" s="6">
        <f>-35000-4500</f>
        <v>-39500</v>
      </c>
      <c r="D127" s="6">
        <v>0</v>
      </c>
      <c r="E127" s="6">
        <v>15000</v>
      </c>
      <c r="F127" s="6">
        <v>10000</v>
      </c>
      <c r="G127" s="6">
        <v>-31555</v>
      </c>
      <c r="H127" s="4">
        <v>-10000</v>
      </c>
      <c r="I127" s="4">
        <v>-30000</v>
      </c>
      <c r="J127" s="2"/>
    </row>
    <row r="128" spans="1:10" x14ac:dyDescent="0.2">
      <c r="A128" s="1">
        <v>36829</v>
      </c>
      <c r="B128" s="6">
        <f>-29053-76916+10968</f>
        <v>-95001</v>
      </c>
      <c r="C128" s="6">
        <f>-35000-4500</f>
        <v>-39500</v>
      </c>
      <c r="D128" s="6">
        <v>0</v>
      </c>
      <c r="E128" s="6">
        <v>15000</v>
      </c>
      <c r="F128" s="6">
        <v>10000</v>
      </c>
      <c r="G128" s="6">
        <v>-31555</v>
      </c>
      <c r="H128" s="4">
        <v>-10000</v>
      </c>
      <c r="I128" s="4">
        <v>-30000</v>
      </c>
      <c r="J128" s="2"/>
    </row>
    <row r="129" spans="1:10" x14ac:dyDescent="0.2">
      <c r="A129" s="1">
        <v>36830</v>
      </c>
      <c r="B129" s="6">
        <f>-46271-59690+10960</f>
        <v>-95001</v>
      </c>
      <c r="C129" s="6">
        <f>-35000-4500</f>
        <v>-39500</v>
      </c>
      <c r="D129" s="6">
        <v>0</v>
      </c>
      <c r="E129" s="6">
        <v>15000</v>
      </c>
      <c r="F129" s="6">
        <v>10000</v>
      </c>
      <c r="G129" s="6">
        <v>-31555</v>
      </c>
      <c r="H129" s="4">
        <v>-10000</v>
      </c>
      <c r="I129" s="4">
        <v>-30000</v>
      </c>
      <c r="J129" s="2"/>
    </row>
    <row r="130" spans="1:10" x14ac:dyDescent="0.2">
      <c r="A130" s="1">
        <v>36831</v>
      </c>
      <c r="B130" s="6">
        <f>-122919-28403+28403</f>
        <v>-122919</v>
      </c>
      <c r="C130" s="6">
        <v>-37828</v>
      </c>
      <c r="D130" s="6">
        <f>55000-26509</f>
        <v>28491</v>
      </c>
      <c r="E130" s="6">
        <v>-49719</v>
      </c>
      <c r="F130" s="6">
        <v>-31375</v>
      </c>
      <c r="G130" s="6">
        <v>0</v>
      </c>
      <c r="H130" s="4">
        <v>-10000</v>
      </c>
      <c r="I130" s="4">
        <v>0</v>
      </c>
      <c r="J130" s="2"/>
    </row>
    <row r="131" spans="1:10" x14ac:dyDescent="0.2">
      <c r="A131" s="1">
        <v>36832</v>
      </c>
      <c r="B131" s="6">
        <f>-120339-9287+38497</f>
        <v>-91129</v>
      </c>
      <c r="C131" s="6">
        <v>-39604</v>
      </c>
      <c r="D131" s="6">
        <v>55000</v>
      </c>
      <c r="E131" s="6">
        <v>-34050</v>
      </c>
      <c r="F131" s="6">
        <v>0</v>
      </c>
      <c r="G131" s="6">
        <v>0</v>
      </c>
      <c r="H131" s="4">
        <v>-10000</v>
      </c>
      <c r="I131" s="4">
        <v>0</v>
      </c>
      <c r="J131" s="2"/>
    </row>
    <row r="132" spans="1:10" x14ac:dyDescent="0.2">
      <c r="A132" s="1">
        <v>36833</v>
      </c>
      <c r="B132" s="6">
        <f>-112959-12873+30424</f>
        <v>-95408</v>
      </c>
      <c r="C132" s="6">
        <v>-39148</v>
      </c>
      <c r="D132" s="6">
        <v>55000</v>
      </c>
      <c r="E132" s="6">
        <v>-39954</v>
      </c>
      <c r="F132" s="6">
        <v>0</v>
      </c>
      <c r="G132" s="6">
        <v>0</v>
      </c>
      <c r="H132" s="4">
        <v>-10000</v>
      </c>
      <c r="I132" s="4">
        <v>0</v>
      </c>
      <c r="J132" s="2"/>
    </row>
    <row r="133" spans="1:10" x14ac:dyDescent="0.2">
      <c r="A133" s="1">
        <v>36834</v>
      </c>
      <c r="B133" s="6">
        <f>-80580-62619+38424</f>
        <v>-104775</v>
      </c>
      <c r="C133" s="6">
        <v>0</v>
      </c>
      <c r="D133" s="6">
        <f>55000+14570</f>
        <v>69570</v>
      </c>
      <c r="E133" s="6">
        <v>0</v>
      </c>
      <c r="F133" s="6">
        <v>0</v>
      </c>
      <c r="G133" s="6">
        <v>0</v>
      </c>
      <c r="H133" s="4">
        <v>-10000</v>
      </c>
      <c r="I133" s="4">
        <v>0</v>
      </c>
      <c r="J133" s="2"/>
    </row>
    <row r="134" spans="1:10" x14ac:dyDescent="0.2">
      <c r="A134" s="1">
        <v>36835</v>
      </c>
      <c r="B134" s="6">
        <f>-65426-62619+38424</f>
        <v>-89621</v>
      </c>
      <c r="C134" s="6">
        <v>0</v>
      </c>
      <c r="D134" s="6">
        <v>55000</v>
      </c>
      <c r="E134" s="6">
        <v>-10550</v>
      </c>
      <c r="F134" s="6">
        <v>0</v>
      </c>
      <c r="G134" s="6">
        <v>0</v>
      </c>
      <c r="H134" s="4">
        <v>-10000</v>
      </c>
      <c r="I134" s="4">
        <v>0</v>
      </c>
      <c r="J134" s="2"/>
    </row>
    <row r="135" spans="1:10" x14ac:dyDescent="0.2">
      <c r="A135" s="1">
        <v>36836</v>
      </c>
      <c r="B135" s="6">
        <f>-75055-62619+38424</f>
        <v>-99250</v>
      </c>
      <c r="C135" s="6">
        <v>0</v>
      </c>
      <c r="D135" s="6">
        <f>55000+64475</f>
        <v>119475</v>
      </c>
      <c r="E135" s="6">
        <v>0</v>
      </c>
      <c r="F135" s="6">
        <v>0</v>
      </c>
      <c r="G135" s="6">
        <v>0</v>
      </c>
      <c r="H135" s="4">
        <v>-10000</v>
      </c>
      <c r="I135" s="4">
        <v>0</v>
      </c>
      <c r="J135" s="2"/>
    </row>
    <row r="136" spans="1:10" x14ac:dyDescent="0.2">
      <c r="A136" s="1">
        <v>36837</v>
      </c>
      <c r="B136" s="6">
        <f>-86118-39778+28424</f>
        <v>-97472</v>
      </c>
      <c r="C136" s="6">
        <v>-7090</v>
      </c>
      <c r="D136" s="6">
        <f>55000+37199</f>
        <v>92199</v>
      </c>
      <c r="E136" s="6">
        <v>0</v>
      </c>
      <c r="F136" s="6">
        <v>0</v>
      </c>
      <c r="G136" s="6">
        <v>0</v>
      </c>
      <c r="H136" s="4">
        <v>-10000</v>
      </c>
      <c r="I136" s="4">
        <v>0</v>
      </c>
      <c r="J136" s="2"/>
    </row>
    <row r="137" spans="1:10" x14ac:dyDescent="0.2">
      <c r="A137" s="1">
        <v>36838</v>
      </c>
      <c r="B137" s="6">
        <f>-108761-37780+48424</f>
        <v>-98117</v>
      </c>
      <c r="C137" s="6">
        <v>14777</v>
      </c>
      <c r="D137" s="6">
        <v>55000</v>
      </c>
      <c r="E137" s="6">
        <v>-2604</v>
      </c>
      <c r="F137" s="6">
        <v>0</v>
      </c>
      <c r="G137" s="6">
        <v>0</v>
      </c>
      <c r="H137" s="4">
        <v>-10000</v>
      </c>
      <c r="I137" s="4">
        <v>0</v>
      </c>
      <c r="J137" s="2"/>
    </row>
    <row r="138" spans="1:10" x14ac:dyDescent="0.2">
      <c r="A138" s="1">
        <v>36839</v>
      </c>
      <c r="B138" s="6">
        <f>-121693-12781+28424</f>
        <v>-106050</v>
      </c>
      <c r="C138" s="6">
        <v>33857</v>
      </c>
      <c r="D138" s="6">
        <f>65000+58479</f>
        <v>123479</v>
      </c>
      <c r="E138" s="6">
        <v>0</v>
      </c>
      <c r="F138" s="6">
        <v>0</v>
      </c>
      <c r="G138" s="6">
        <v>83767</v>
      </c>
      <c r="H138" s="4">
        <v>-10000</v>
      </c>
      <c r="I138" s="4">
        <v>0</v>
      </c>
      <c r="J138" s="2"/>
    </row>
    <row r="139" spans="1:10" x14ac:dyDescent="0.2">
      <c r="A139" s="1">
        <v>36840</v>
      </c>
      <c r="B139" s="6">
        <f>-100678-12832+34483</f>
        <v>-79027</v>
      </c>
      <c r="C139" s="6">
        <v>40155</v>
      </c>
      <c r="D139" s="6">
        <f>65000+35321</f>
        <v>100321</v>
      </c>
      <c r="E139" s="6"/>
      <c r="F139" s="6">
        <v>0</v>
      </c>
      <c r="G139" s="6">
        <v>83767</v>
      </c>
      <c r="H139" s="4">
        <v>-10000</v>
      </c>
      <c r="I139" s="4">
        <v>0</v>
      </c>
      <c r="J139" s="2"/>
    </row>
    <row r="140" spans="1:10" x14ac:dyDescent="0.2">
      <c r="A140" s="1">
        <v>36841</v>
      </c>
      <c r="B140" s="6">
        <f>-111994-833+36478</f>
        <v>-76349</v>
      </c>
      <c r="C140" s="6">
        <v>319</v>
      </c>
      <c r="D140" s="6">
        <v>65000</v>
      </c>
      <c r="E140" s="6">
        <v>-30551</v>
      </c>
      <c r="F140" s="6">
        <v>0</v>
      </c>
      <c r="G140" s="6">
        <v>0</v>
      </c>
      <c r="H140" s="4">
        <v>-10000</v>
      </c>
      <c r="I140" s="4">
        <v>0</v>
      </c>
      <c r="J140" s="2"/>
    </row>
    <row r="141" spans="1:10" x14ac:dyDescent="0.2">
      <c r="A141" s="1">
        <v>36842</v>
      </c>
      <c r="B141" s="6">
        <f>-113004-833+36478</f>
        <v>-77359</v>
      </c>
      <c r="C141" s="6">
        <v>-6</v>
      </c>
      <c r="D141" s="6">
        <v>65000</v>
      </c>
      <c r="E141" s="6">
        <v>-49719</v>
      </c>
      <c r="F141" s="6">
        <v>-21231</v>
      </c>
      <c r="G141" s="6">
        <v>0</v>
      </c>
      <c r="H141" s="4">
        <v>-10000</v>
      </c>
      <c r="I141" s="4">
        <v>0</v>
      </c>
      <c r="J141" s="2"/>
    </row>
    <row r="142" spans="1:10" x14ac:dyDescent="0.2">
      <c r="A142" s="1">
        <v>36843</v>
      </c>
      <c r="B142" s="6">
        <f>-154475-833+36478</f>
        <v>-118830</v>
      </c>
      <c r="C142" s="6">
        <v>4982</v>
      </c>
      <c r="D142" s="6">
        <f>65000+136295</f>
        <v>201295</v>
      </c>
      <c r="E142" s="6">
        <v>0</v>
      </c>
      <c r="F142" s="6">
        <v>0</v>
      </c>
      <c r="G142" s="6">
        <v>84854</v>
      </c>
      <c r="H142" s="4">
        <v>-10000</v>
      </c>
      <c r="I142" s="4">
        <v>0</v>
      </c>
      <c r="J142" s="2"/>
    </row>
    <row r="143" spans="1:10" x14ac:dyDescent="0.2">
      <c r="A143" s="1">
        <v>36844</v>
      </c>
      <c r="B143" s="6">
        <f>-149517-833+57005</f>
        <v>-93345</v>
      </c>
      <c r="C143" s="6">
        <v>35608</v>
      </c>
      <c r="D143" s="6">
        <f>65000+137473</f>
        <v>202473</v>
      </c>
      <c r="E143" s="6">
        <v>0</v>
      </c>
      <c r="F143" s="6">
        <v>0</v>
      </c>
      <c r="G143" s="6">
        <v>84854</v>
      </c>
      <c r="H143" s="4">
        <v>-10000</v>
      </c>
      <c r="I143" s="4">
        <v>0</v>
      </c>
      <c r="J143" s="2"/>
    </row>
    <row r="144" spans="1:10" x14ac:dyDescent="0.2">
      <c r="A144" s="1">
        <v>36845</v>
      </c>
      <c r="B144" s="6">
        <f>-88946-10833+41478</f>
        <v>-58301</v>
      </c>
      <c r="C144" s="6">
        <v>20730</v>
      </c>
      <c r="D144" s="6">
        <f>65000+9655</f>
        <v>74655</v>
      </c>
      <c r="E144" s="6">
        <v>0</v>
      </c>
      <c r="F144" s="6">
        <v>0</v>
      </c>
      <c r="G144" s="6">
        <v>0</v>
      </c>
      <c r="H144" s="4">
        <v>-10000</v>
      </c>
      <c r="I144" s="4">
        <v>0</v>
      </c>
      <c r="J144" s="2"/>
    </row>
    <row r="145" spans="1:10" x14ac:dyDescent="0.2">
      <c r="A145" s="1">
        <v>36846</v>
      </c>
      <c r="B145" s="6">
        <f>-112753-10833+56093</f>
        <v>-67493</v>
      </c>
      <c r="C145" s="6">
        <v>-19724</v>
      </c>
      <c r="D145" s="6">
        <f>65000-60532</f>
        <v>4468</v>
      </c>
      <c r="E145" s="6">
        <v>0</v>
      </c>
      <c r="F145" s="6">
        <v>0</v>
      </c>
      <c r="G145" s="6">
        <v>60508</v>
      </c>
      <c r="H145" s="4">
        <v>-10000</v>
      </c>
      <c r="I145" s="4">
        <v>0</v>
      </c>
      <c r="J145" s="2"/>
    </row>
    <row r="146" spans="1:10" x14ac:dyDescent="0.2">
      <c r="A146" s="1">
        <v>36847</v>
      </c>
      <c r="B146" s="6">
        <f>-136227-833+36478</f>
        <v>-100582</v>
      </c>
      <c r="C146" s="6">
        <v>-41708</v>
      </c>
      <c r="D146" s="6">
        <v>-24800</v>
      </c>
      <c r="E146" s="6">
        <v>0</v>
      </c>
      <c r="F146" s="6">
        <v>-31290</v>
      </c>
      <c r="G146" s="6">
        <v>-29313</v>
      </c>
      <c r="H146" s="4">
        <v>-10000</v>
      </c>
      <c r="I146" s="4">
        <v>0</v>
      </c>
      <c r="J146" s="2"/>
    </row>
    <row r="147" spans="1:10" x14ac:dyDescent="0.2">
      <c r="A147" s="1">
        <v>36848</v>
      </c>
      <c r="B147" s="6">
        <f>-118981-19177+44478</f>
        <v>-93680</v>
      </c>
      <c r="C147" s="6">
        <v>310</v>
      </c>
      <c r="D147" s="6">
        <v>103811</v>
      </c>
      <c r="E147" s="6">
        <v>0</v>
      </c>
      <c r="F147" s="6">
        <v>65000</v>
      </c>
      <c r="G147" s="6">
        <v>0</v>
      </c>
      <c r="H147" s="4">
        <v>-10000</v>
      </c>
      <c r="I147" s="4">
        <v>0</v>
      </c>
      <c r="J147" s="2"/>
    </row>
    <row r="148" spans="1:10" x14ac:dyDescent="0.2">
      <c r="A148" s="1">
        <v>36849</v>
      </c>
      <c r="B148" s="6">
        <f>-119030-19177+44478</f>
        <v>-93729</v>
      </c>
      <c r="C148" s="6">
        <v>35868</v>
      </c>
      <c r="D148" s="6">
        <v>24578</v>
      </c>
      <c r="E148" s="6">
        <v>0</v>
      </c>
      <c r="F148" s="6">
        <v>65000</v>
      </c>
      <c r="G148" s="6">
        <v>0</v>
      </c>
      <c r="H148" s="4">
        <v>-10000</v>
      </c>
      <c r="I148" s="4">
        <v>0</v>
      </c>
      <c r="J148" s="2"/>
    </row>
    <row r="149" spans="1:10" x14ac:dyDescent="0.2">
      <c r="A149" s="1">
        <v>36850</v>
      </c>
      <c r="B149" s="6">
        <f>-30643-19177+64478</f>
        <v>14658</v>
      </c>
      <c r="C149" s="6">
        <v>39207</v>
      </c>
      <c r="D149" s="6">
        <v>62281</v>
      </c>
      <c r="E149" s="6">
        <v>0</v>
      </c>
      <c r="F149" s="6">
        <v>65000</v>
      </c>
      <c r="G149" s="6">
        <v>59000</v>
      </c>
      <c r="H149" s="4">
        <v>-10000</v>
      </c>
      <c r="I149" s="4">
        <v>0</v>
      </c>
      <c r="J149" s="2"/>
    </row>
    <row r="150" spans="1:10" x14ac:dyDescent="0.2">
      <c r="A150" s="1">
        <v>36851</v>
      </c>
      <c r="B150" s="6">
        <f>241626-833+55897</f>
        <v>296690</v>
      </c>
      <c r="C150" s="6">
        <v>-3677</v>
      </c>
      <c r="D150" s="6">
        <v>4624</v>
      </c>
      <c r="E150" s="6">
        <v>0</v>
      </c>
      <c r="F150" s="6">
        <v>0</v>
      </c>
      <c r="G150" s="6">
        <v>0</v>
      </c>
      <c r="H150" s="4">
        <v>-10000</v>
      </c>
      <c r="I150" s="4">
        <v>0</v>
      </c>
      <c r="J150" s="2"/>
    </row>
    <row r="151" spans="1:10" x14ac:dyDescent="0.2">
      <c r="A151" s="1">
        <v>36852</v>
      </c>
      <c r="B151" s="6">
        <f>471574-833+46478</f>
        <v>517219</v>
      </c>
      <c r="C151" s="6">
        <v>415</v>
      </c>
      <c r="D151" s="6">
        <v>-24800</v>
      </c>
      <c r="E151" s="6">
        <v>0</v>
      </c>
      <c r="F151" s="6">
        <v>-27402</v>
      </c>
      <c r="G151" s="6">
        <v>0</v>
      </c>
      <c r="H151" s="4">
        <v>-10000</v>
      </c>
      <c r="I151" s="4">
        <v>0</v>
      </c>
      <c r="J151" s="2"/>
    </row>
    <row r="152" spans="1:10" x14ac:dyDescent="0.2">
      <c r="A152" s="1">
        <v>36853</v>
      </c>
      <c r="B152" s="6">
        <f>408745-25835+37680</f>
        <v>420590</v>
      </c>
      <c r="C152" s="6">
        <v>-18006</v>
      </c>
      <c r="D152" s="6">
        <v>-24800</v>
      </c>
      <c r="E152" s="6">
        <v>0</v>
      </c>
      <c r="F152" s="6">
        <v>-28003</v>
      </c>
      <c r="G152" s="6">
        <v>0</v>
      </c>
      <c r="H152" s="4">
        <v>-10000</v>
      </c>
      <c r="I152" s="4">
        <v>0</v>
      </c>
      <c r="J152" s="2"/>
    </row>
    <row r="153" spans="1:10" x14ac:dyDescent="0.2">
      <c r="A153" s="1">
        <v>36854</v>
      </c>
      <c r="B153" s="6">
        <f>251290+37680-25835</f>
        <v>263135</v>
      </c>
      <c r="C153" s="6">
        <v>-18006</v>
      </c>
      <c r="D153" s="6">
        <v>-24800</v>
      </c>
      <c r="E153" s="6">
        <v>0</v>
      </c>
      <c r="F153" s="6">
        <v>-32750</v>
      </c>
      <c r="G153" s="6">
        <v>0</v>
      </c>
      <c r="H153" s="4">
        <v>-10000</v>
      </c>
      <c r="I153" s="4">
        <v>0</v>
      </c>
      <c r="J153" s="2"/>
    </row>
    <row r="154" spans="1:10" x14ac:dyDescent="0.2">
      <c r="A154" s="1">
        <v>36855</v>
      </c>
      <c r="B154" s="6">
        <f>209653+37680-25835</f>
        <v>221498</v>
      </c>
      <c r="C154" s="6">
        <v>-18006</v>
      </c>
      <c r="D154" s="6">
        <v>-24800</v>
      </c>
      <c r="E154" s="6">
        <v>-18621</v>
      </c>
      <c r="F154" s="6">
        <v>-35000</v>
      </c>
      <c r="G154" s="6">
        <v>0</v>
      </c>
      <c r="H154" s="4">
        <v>-10000</v>
      </c>
      <c r="I154" s="4">
        <v>0</v>
      </c>
      <c r="J154" s="2"/>
    </row>
    <row r="155" spans="1:10" x14ac:dyDescent="0.2">
      <c r="A155" s="1">
        <v>36856</v>
      </c>
      <c r="B155" s="6">
        <f>205860+37680-25835</f>
        <v>217705</v>
      </c>
      <c r="C155" s="6">
        <v>-18006</v>
      </c>
      <c r="D155" s="6">
        <v>-24800</v>
      </c>
      <c r="E155" s="6">
        <v>0</v>
      </c>
      <c r="F155" s="6">
        <v>-3195</v>
      </c>
      <c r="G155" s="6">
        <v>0</v>
      </c>
      <c r="H155" s="4">
        <v>-10000</v>
      </c>
      <c r="I155" s="4">
        <v>0</v>
      </c>
      <c r="J155" s="2"/>
    </row>
    <row r="156" spans="1:10" x14ac:dyDescent="0.2">
      <c r="A156" s="1">
        <v>36857</v>
      </c>
      <c r="B156" s="6">
        <f>261111+37680-25835</f>
        <v>272956</v>
      </c>
      <c r="C156" s="6">
        <v>5</v>
      </c>
      <c r="D156" s="6">
        <v>-27458</v>
      </c>
      <c r="E156" s="6">
        <v>0</v>
      </c>
      <c r="F156" s="6">
        <v>0</v>
      </c>
      <c r="G156" s="6">
        <v>-29312</v>
      </c>
      <c r="H156" s="4">
        <v>-10000</v>
      </c>
      <c r="I156" s="4">
        <v>0</v>
      </c>
      <c r="J156" s="2"/>
    </row>
    <row r="157" spans="1:10" x14ac:dyDescent="0.2">
      <c r="A157" s="1">
        <v>36858</v>
      </c>
      <c r="B157" s="6">
        <f>324145+28424-47779</f>
        <v>304790</v>
      </c>
      <c r="C157" s="6">
        <v>-28421</v>
      </c>
      <c r="D157" s="6">
        <v>0</v>
      </c>
      <c r="E157" s="6">
        <v>0</v>
      </c>
      <c r="F157" s="6">
        <v>0</v>
      </c>
      <c r="G157" s="6">
        <v>0</v>
      </c>
      <c r="H157" s="4">
        <v>-10000</v>
      </c>
      <c r="I157" s="4">
        <v>0</v>
      </c>
      <c r="J157" s="2"/>
    </row>
    <row r="158" spans="1:10" x14ac:dyDescent="0.2">
      <c r="A158" s="1">
        <v>36859</v>
      </c>
      <c r="B158" s="6">
        <f>343655+28424-23779</f>
        <v>348300</v>
      </c>
      <c r="C158" s="6">
        <v>-200</v>
      </c>
      <c r="D158" s="6">
        <v>0</v>
      </c>
      <c r="E158" s="6">
        <v>0</v>
      </c>
      <c r="F158" s="6">
        <v>0</v>
      </c>
      <c r="G158" s="6">
        <v>0</v>
      </c>
      <c r="H158" s="4">
        <v>-10000</v>
      </c>
      <c r="I158" s="4">
        <v>0</v>
      </c>
      <c r="J158" s="2"/>
    </row>
    <row r="159" spans="1:10" x14ac:dyDescent="0.2">
      <c r="A159" s="1">
        <v>36860</v>
      </c>
      <c r="B159" s="6">
        <f>322372+191042-170414</f>
        <v>343000</v>
      </c>
      <c r="C159" s="6">
        <v>-200</v>
      </c>
      <c r="D159" s="6">
        <v>0</v>
      </c>
      <c r="E159" s="6">
        <v>0</v>
      </c>
      <c r="F159" s="6">
        <v>0</v>
      </c>
      <c r="G159" s="6">
        <v>0</v>
      </c>
      <c r="H159" s="4">
        <v>-10000</v>
      </c>
      <c r="I159" s="4">
        <v>0</v>
      </c>
      <c r="J159" s="2"/>
    </row>
    <row r="160" spans="1:10" x14ac:dyDescent="0.2">
      <c r="A160" s="1">
        <v>36861</v>
      </c>
      <c r="B160" s="6">
        <f>272054+170285-53697</f>
        <v>388642</v>
      </c>
      <c r="C160" s="6">
        <f>697</f>
        <v>697</v>
      </c>
      <c r="D160" s="6">
        <f>60000+11227</f>
        <v>71227</v>
      </c>
      <c r="E160" s="6">
        <v>0</v>
      </c>
      <c r="F160" s="6">
        <v>0</v>
      </c>
      <c r="G160" s="6">
        <v>0</v>
      </c>
      <c r="H160" s="4">
        <v>0</v>
      </c>
      <c r="I160" s="4">
        <v>0</v>
      </c>
      <c r="J160" s="2"/>
    </row>
    <row r="161" spans="1:10" x14ac:dyDescent="0.2">
      <c r="A161" s="1">
        <v>36862</v>
      </c>
      <c r="B161" s="6">
        <f>261322+170707-61769</f>
        <v>370260</v>
      </c>
      <c r="C161" s="6">
        <f>35072+380</f>
        <v>35452</v>
      </c>
      <c r="D161" s="6">
        <f>60000-36254</f>
        <v>23746</v>
      </c>
      <c r="E161" s="6">
        <v>0</v>
      </c>
      <c r="F161" s="6">
        <v>0</v>
      </c>
      <c r="G161" s="16">
        <v>0</v>
      </c>
      <c r="H161" s="4">
        <v>0</v>
      </c>
      <c r="I161" s="4">
        <v>0</v>
      </c>
      <c r="J161" s="2"/>
    </row>
    <row r="162" spans="1:10" x14ac:dyDescent="0.2">
      <c r="A162" s="1">
        <v>36863</v>
      </c>
      <c r="B162" s="6">
        <f>234722+170707-61769</f>
        <v>343660</v>
      </c>
      <c r="C162" s="6">
        <f>35414-39486</f>
        <v>-4072</v>
      </c>
      <c r="D162" s="6">
        <f>60000+43143</f>
        <v>103143</v>
      </c>
      <c r="E162" s="6">
        <v>0</v>
      </c>
      <c r="F162" s="6">
        <v>0</v>
      </c>
      <c r="G162" s="16">
        <v>0</v>
      </c>
      <c r="H162" s="4">
        <v>0</v>
      </c>
      <c r="I162" s="4">
        <v>0</v>
      </c>
      <c r="J162" s="2"/>
    </row>
    <row r="163" spans="1:10" x14ac:dyDescent="0.2">
      <c r="A163" s="1">
        <v>36864</v>
      </c>
      <c r="B163" s="6">
        <f>323208+170706-61769</f>
        <v>432145</v>
      </c>
      <c r="C163" s="6">
        <f>35414+11337</f>
        <v>46751</v>
      </c>
      <c r="D163" s="6">
        <f>60000+33362</f>
        <v>93362</v>
      </c>
      <c r="E163" s="6">
        <v>0</v>
      </c>
      <c r="F163" s="6">
        <v>0</v>
      </c>
      <c r="G163" s="16">
        <v>0</v>
      </c>
      <c r="H163" s="4">
        <v>0</v>
      </c>
      <c r="I163" s="4">
        <v>0</v>
      </c>
      <c r="J163" s="2"/>
    </row>
    <row r="164" spans="1:10" x14ac:dyDescent="0.2">
      <c r="A164" s="1">
        <v>36865</v>
      </c>
      <c r="B164" s="6">
        <f>320655+170720-32055</f>
        <v>459320</v>
      </c>
      <c r="C164" s="6">
        <f>35414+11356</f>
        <v>46770</v>
      </c>
      <c r="D164" s="6">
        <f>60000+92447</f>
        <v>152447</v>
      </c>
      <c r="E164" s="6">
        <v>0</v>
      </c>
      <c r="F164" s="6">
        <v>0</v>
      </c>
      <c r="G164" s="6">
        <v>84854</v>
      </c>
      <c r="H164" s="4">
        <v>0</v>
      </c>
      <c r="I164" s="4">
        <v>0</v>
      </c>
      <c r="J164" s="2"/>
    </row>
    <row r="165" spans="1:10" x14ac:dyDescent="0.2">
      <c r="A165" s="1">
        <v>36866</v>
      </c>
      <c r="B165" s="6">
        <f>336622+185940-18903</f>
        <v>503659</v>
      </c>
      <c r="C165" s="6">
        <f>35414+27761</f>
        <v>63175</v>
      </c>
      <c r="D165" s="6">
        <f>60000+139636</f>
        <v>199636</v>
      </c>
      <c r="E165" s="6">
        <v>0</v>
      </c>
      <c r="F165" s="6">
        <v>0</v>
      </c>
      <c r="G165" s="6">
        <v>84854</v>
      </c>
      <c r="H165" s="4">
        <v>0</v>
      </c>
      <c r="I165" s="4">
        <v>0</v>
      </c>
      <c r="J165" s="2"/>
    </row>
    <row r="166" spans="1:10" x14ac:dyDescent="0.2">
      <c r="A166" s="1">
        <v>36867</v>
      </c>
      <c r="B166" s="6">
        <f>223082+200132-46804</f>
        <v>376410</v>
      </c>
      <c r="C166" s="6">
        <f>35414-21196</f>
        <v>14218</v>
      </c>
      <c r="D166" s="6">
        <f>60000+23875</f>
        <v>83875</v>
      </c>
      <c r="E166" s="6">
        <v>0</v>
      </c>
      <c r="F166" s="6">
        <v>0</v>
      </c>
      <c r="G166" s="6">
        <v>84854</v>
      </c>
      <c r="H166" s="4">
        <v>0</v>
      </c>
      <c r="I166" s="4">
        <v>0</v>
      </c>
      <c r="J166" s="2"/>
    </row>
    <row r="167" spans="1:10" x14ac:dyDescent="0.2">
      <c r="A167" s="1">
        <v>36868</v>
      </c>
      <c r="B167" s="6">
        <f>216641+201456-66307</f>
        <v>351790</v>
      </c>
      <c r="C167" s="6">
        <f>35414+1252</f>
        <v>36666</v>
      </c>
      <c r="D167" s="6">
        <f>60000+55686</f>
        <v>115686</v>
      </c>
      <c r="E167" s="6">
        <v>0</v>
      </c>
      <c r="F167" s="6">
        <v>0</v>
      </c>
      <c r="G167" s="6">
        <v>84854</v>
      </c>
      <c r="H167" s="4">
        <v>0</v>
      </c>
      <c r="I167" s="4">
        <v>0</v>
      </c>
      <c r="J167" s="2"/>
    </row>
    <row r="168" spans="1:10" x14ac:dyDescent="0.2">
      <c r="A168" s="1">
        <v>36869</v>
      </c>
      <c r="B168" s="6">
        <f>240578+203087-50000</f>
        <v>393665</v>
      </c>
      <c r="C168" s="6">
        <f>35414+38472</f>
        <v>73886</v>
      </c>
      <c r="D168" s="6">
        <f>60000+6341</f>
        <v>66341</v>
      </c>
      <c r="E168" s="6">
        <v>0</v>
      </c>
      <c r="F168" s="6">
        <v>0</v>
      </c>
      <c r="G168" s="6">
        <v>0</v>
      </c>
      <c r="H168" s="4">
        <v>0</v>
      </c>
      <c r="I168" s="4">
        <v>0</v>
      </c>
      <c r="J168" s="2"/>
    </row>
    <row r="169" spans="1:10" x14ac:dyDescent="0.2">
      <c r="A169" s="1">
        <v>36870</v>
      </c>
      <c r="B169" s="6">
        <f>177023+203087-50000</f>
        <v>330110</v>
      </c>
      <c r="C169" s="6">
        <f>35414+38468</f>
        <v>73882</v>
      </c>
      <c r="D169" s="6">
        <f>60000-53303</f>
        <v>6697</v>
      </c>
      <c r="E169" s="6">
        <v>0</v>
      </c>
      <c r="F169" s="6">
        <v>0</v>
      </c>
      <c r="G169" s="6">
        <v>0</v>
      </c>
      <c r="H169" s="4">
        <v>0</v>
      </c>
      <c r="I169" s="4">
        <v>0</v>
      </c>
      <c r="J169" s="2"/>
    </row>
    <row r="170" spans="1:10" x14ac:dyDescent="0.2">
      <c r="A170" s="1">
        <v>36871</v>
      </c>
      <c r="B170" s="6">
        <f>290384+203087-50000</f>
        <v>443471</v>
      </c>
      <c r="C170" s="6">
        <f>35414+38481</f>
        <v>73895</v>
      </c>
      <c r="D170" s="6">
        <f>60000-18535</f>
        <v>41465</v>
      </c>
      <c r="E170" s="6">
        <v>4419</v>
      </c>
      <c r="F170" s="6">
        <v>39077</v>
      </c>
      <c r="G170" s="6">
        <v>84854</v>
      </c>
      <c r="H170" s="4">
        <v>0</v>
      </c>
      <c r="I170" s="4">
        <v>0</v>
      </c>
      <c r="J170" s="2"/>
    </row>
    <row r="171" spans="1:10" x14ac:dyDescent="0.2">
      <c r="A171" s="1">
        <v>36872</v>
      </c>
      <c r="B171" s="6">
        <f>406965+236868-54386</f>
        <v>589447</v>
      </c>
      <c r="C171" s="6">
        <f>35414+22798</f>
        <v>58212</v>
      </c>
      <c r="D171" s="6">
        <f>60000-13619</f>
        <v>46381</v>
      </c>
      <c r="E171" s="6">
        <v>4419</v>
      </c>
      <c r="F171" s="6">
        <v>39077</v>
      </c>
      <c r="G171" s="6">
        <v>84854</v>
      </c>
      <c r="H171" s="4">
        <v>0</v>
      </c>
      <c r="I171" s="4">
        <v>0</v>
      </c>
      <c r="J171" s="2"/>
    </row>
    <row r="172" spans="1:10" x14ac:dyDescent="0.2">
      <c r="A172" s="1">
        <v>36873</v>
      </c>
      <c r="B172" s="6">
        <f>450287+207102-92673</f>
        <v>564716</v>
      </c>
      <c r="C172" s="6">
        <f>35414+127</f>
        <v>35541</v>
      </c>
      <c r="D172" s="6">
        <f>60000-28981</f>
        <v>31019</v>
      </c>
      <c r="E172" s="6">
        <v>0</v>
      </c>
      <c r="F172" s="6">
        <v>0</v>
      </c>
      <c r="G172" s="6">
        <v>84854</v>
      </c>
      <c r="H172" s="4">
        <v>0</v>
      </c>
      <c r="I172" s="4">
        <v>0</v>
      </c>
      <c r="J172" s="2"/>
    </row>
    <row r="173" spans="1:10" x14ac:dyDescent="0.2">
      <c r="A173" s="1">
        <v>36874</v>
      </c>
      <c r="B173" s="6">
        <f>336200+203947-66307</f>
        <v>473840</v>
      </c>
      <c r="C173" s="6">
        <f>35414-25630</f>
        <v>9784</v>
      </c>
      <c r="D173" s="6">
        <f>60000-29084</f>
        <v>30916</v>
      </c>
      <c r="E173" s="6">
        <v>0</v>
      </c>
      <c r="F173" s="6">
        <v>0</v>
      </c>
      <c r="G173" s="6">
        <v>0</v>
      </c>
      <c r="H173" s="4">
        <v>20000</v>
      </c>
      <c r="I173" s="4">
        <v>20000</v>
      </c>
      <c r="J173" s="2"/>
    </row>
    <row r="174" spans="1:10" x14ac:dyDescent="0.2">
      <c r="A174" s="1">
        <v>36875</v>
      </c>
      <c r="B174" s="6">
        <f>192532+202947-68784</f>
        <v>326695</v>
      </c>
      <c r="C174" s="6">
        <f>35414-36610</f>
        <v>-1196</v>
      </c>
      <c r="D174" s="6">
        <f>60000+24664</f>
        <v>84664</v>
      </c>
      <c r="E174" s="6">
        <v>0</v>
      </c>
      <c r="F174" s="6"/>
      <c r="G174" s="6">
        <v>0</v>
      </c>
      <c r="H174" s="4">
        <v>20000</v>
      </c>
      <c r="I174" s="4">
        <v>20000</v>
      </c>
      <c r="J174" s="2"/>
    </row>
    <row r="175" spans="1:10" x14ac:dyDescent="0.2">
      <c r="A175" s="1">
        <v>36876</v>
      </c>
      <c r="B175" s="6">
        <f>209261+206947-33072</f>
        <v>383136</v>
      </c>
      <c r="C175" s="6">
        <f>35414-34964</f>
        <v>450</v>
      </c>
      <c r="D175" s="6">
        <f>60000-30486</f>
        <v>29514</v>
      </c>
      <c r="E175" s="6">
        <v>0</v>
      </c>
      <c r="F175" s="6"/>
      <c r="G175" s="6">
        <v>0</v>
      </c>
      <c r="H175" s="4">
        <v>0</v>
      </c>
      <c r="I175" s="4">
        <v>0</v>
      </c>
      <c r="J175" s="2"/>
    </row>
    <row r="176" spans="1:10" x14ac:dyDescent="0.2">
      <c r="A176" s="1">
        <v>36877</v>
      </c>
      <c r="B176" s="6">
        <f>358022+206947-28072</f>
        <v>536897</v>
      </c>
      <c r="C176" s="6">
        <f>35414-8693</f>
        <v>26721</v>
      </c>
      <c r="D176" s="6">
        <f>60000+142374</f>
        <v>202374</v>
      </c>
      <c r="E176" s="6">
        <v>0</v>
      </c>
      <c r="F176" s="6">
        <v>19000</v>
      </c>
      <c r="G176" s="6">
        <v>84854</v>
      </c>
      <c r="H176" s="4">
        <v>0</v>
      </c>
      <c r="I176" s="4">
        <v>0</v>
      </c>
      <c r="J176" s="2"/>
    </row>
    <row r="177" spans="1:10" x14ac:dyDescent="0.2">
      <c r="A177" s="1">
        <v>36878</v>
      </c>
      <c r="B177" s="6">
        <f>350915+206947-38072</f>
        <v>519790</v>
      </c>
      <c r="C177" s="6">
        <f>35414-23</f>
        <v>35391</v>
      </c>
      <c r="D177" s="6">
        <f>60000+32427</f>
        <v>92427</v>
      </c>
      <c r="E177" s="6">
        <v>0</v>
      </c>
      <c r="F177" s="6">
        <v>19000</v>
      </c>
      <c r="G177" s="6">
        <v>84854</v>
      </c>
      <c r="H177" s="4">
        <v>0</v>
      </c>
      <c r="I177" s="4">
        <v>0</v>
      </c>
      <c r="J177" s="2"/>
    </row>
    <row r="178" spans="1:10" x14ac:dyDescent="0.2">
      <c r="A178" s="1">
        <v>36879</v>
      </c>
      <c r="B178" s="6">
        <f>188834+208095-45119</f>
        <v>351810</v>
      </c>
      <c r="C178" s="6">
        <f>35414-16386</f>
        <v>19028</v>
      </c>
      <c r="D178" s="6">
        <f>60000-11246</f>
        <v>48754</v>
      </c>
      <c r="E178" s="6">
        <v>0</v>
      </c>
      <c r="F178" s="6">
        <v>40000</v>
      </c>
      <c r="G178" s="6">
        <v>84854</v>
      </c>
      <c r="H178" s="4">
        <v>20000</v>
      </c>
      <c r="I178" s="4">
        <v>20000</v>
      </c>
      <c r="J178" s="2"/>
    </row>
    <row r="179" spans="1:10" x14ac:dyDescent="0.2">
      <c r="A179" s="1">
        <v>36880</v>
      </c>
      <c r="B179" s="6">
        <f>281771+201903-82724</f>
        <v>400950</v>
      </c>
      <c r="C179" s="6">
        <v>-5508</v>
      </c>
      <c r="D179" s="6">
        <f>60000+73738</f>
        <v>133738</v>
      </c>
      <c r="E179" s="6">
        <v>0</v>
      </c>
      <c r="F179" s="6">
        <v>0</v>
      </c>
      <c r="G179" s="6">
        <v>0</v>
      </c>
      <c r="H179" s="4">
        <v>20000</v>
      </c>
      <c r="I179" s="4">
        <v>20000</v>
      </c>
      <c r="J179" s="2"/>
    </row>
    <row r="180" spans="1:10" x14ac:dyDescent="0.2">
      <c r="A180" s="1">
        <v>36881</v>
      </c>
      <c r="B180" s="6">
        <f>254989+244301-5000</f>
        <v>494290</v>
      </c>
      <c r="C180" s="6">
        <f>35414+4912</f>
        <v>40326</v>
      </c>
      <c r="D180" s="6">
        <f>60000+118958</f>
        <v>178958</v>
      </c>
      <c r="E180" s="6">
        <v>0</v>
      </c>
      <c r="F180" s="6">
        <v>0</v>
      </c>
      <c r="G180" s="6">
        <v>55000</v>
      </c>
      <c r="H180" s="4">
        <v>20000</v>
      </c>
      <c r="I180" s="4">
        <v>20000</v>
      </c>
      <c r="J180" s="2"/>
    </row>
    <row r="181" spans="1:10" x14ac:dyDescent="0.2">
      <c r="A181" s="1">
        <v>36882</v>
      </c>
      <c r="B181" s="6">
        <f>171293+223387</f>
        <v>394680</v>
      </c>
      <c r="C181" s="6">
        <v>-10381</v>
      </c>
      <c r="D181" s="6">
        <v>60000</v>
      </c>
      <c r="E181" s="6">
        <v>0</v>
      </c>
      <c r="F181" s="6">
        <v>0</v>
      </c>
      <c r="G181" s="6">
        <v>0</v>
      </c>
      <c r="H181" s="4">
        <v>20000</v>
      </c>
      <c r="I181" s="4">
        <v>20000</v>
      </c>
      <c r="J181" s="2"/>
    </row>
    <row r="182" spans="1:10" x14ac:dyDescent="0.2">
      <c r="A182" s="1">
        <v>36883</v>
      </c>
      <c r="B182" s="6">
        <f>94533+228287</f>
        <v>322820</v>
      </c>
      <c r="C182" s="6">
        <v>-31614</v>
      </c>
      <c r="D182" s="6">
        <v>60000</v>
      </c>
      <c r="E182" s="6">
        <v>0</v>
      </c>
      <c r="F182" s="6">
        <v>0</v>
      </c>
      <c r="G182" s="6">
        <v>0</v>
      </c>
      <c r="H182" s="4">
        <v>20000</v>
      </c>
      <c r="I182" s="4">
        <v>20000</v>
      </c>
      <c r="J182" s="2"/>
    </row>
    <row r="183" spans="1:10" x14ac:dyDescent="0.2">
      <c r="A183" s="1">
        <v>36884</v>
      </c>
      <c r="B183" s="6">
        <f>62713+228287</f>
        <v>291000</v>
      </c>
      <c r="C183" s="6">
        <v>-29553</v>
      </c>
      <c r="D183" s="6">
        <v>60000</v>
      </c>
      <c r="E183" s="6">
        <v>0</v>
      </c>
      <c r="F183" s="6">
        <v>0</v>
      </c>
      <c r="G183" s="6">
        <v>0</v>
      </c>
      <c r="H183" s="4">
        <v>20000</v>
      </c>
      <c r="I183" s="4">
        <v>20000</v>
      </c>
      <c r="J183" s="2"/>
    </row>
    <row r="184" spans="1:10" x14ac:dyDescent="0.2">
      <c r="A184" s="1">
        <v>36885</v>
      </c>
      <c r="B184" s="6">
        <f>6513+228287</f>
        <v>234800</v>
      </c>
      <c r="C184" s="6">
        <v>-29732</v>
      </c>
      <c r="D184" s="6">
        <v>60000</v>
      </c>
      <c r="E184" s="6">
        <v>0</v>
      </c>
      <c r="F184" s="6">
        <v>0</v>
      </c>
      <c r="G184" s="6">
        <v>-24792</v>
      </c>
      <c r="H184" s="4">
        <v>20000</v>
      </c>
      <c r="I184" s="4">
        <v>20000</v>
      </c>
      <c r="J184" s="2"/>
    </row>
    <row r="185" spans="1:10" x14ac:dyDescent="0.2">
      <c r="A185" s="1">
        <v>36886</v>
      </c>
      <c r="B185" s="6">
        <f>228287-35637</f>
        <v>192650</v>
      </c>
      <c r="C185" s="6">
        <v>-36357</v>
      </c>
      <c r="D185" s="6">
        <v>60000</v>
      </c>
      <c r="E185" s="6">
        <v>0</v>
      </c>
      <c r="F185" s="6">
        <v>0</v>
      </c>
      <c r="G185" s="6">
        <v>0</v>
      </c>
      <c r="H185" s="4">
        <v>20000</v>
      </c>
      <c r="I185" s="4">
        <v>20000</v>
      </c>
      <c r="J185" s="2"/>
    </row>
    <row r="186" spans="1:10" x14ac:dyDescent="0.2">
      <c r="A186" s="1">
        <v>36887</v>
      </c>
      <c r="B186" s="6">
        <f>17779+233830-9999</f>
        <v>241610</v>
      </c>
      <c r="C186" s="6">
        <f>35000-515</f>
        <v>34485</v>
      </c>
      <c r="D186" s="6">
        <v>60000</v>
      </c>
      <c r="E186" s="6">
        <v>0</v>
      </c>
      <c r="F186" s="6">
        <v>0</v>
      </c>
      <c r="G186" s="6">
        <v>0</v>
      </c>
      <c r="H186" s="4">
        <v>0</v>
      </c>
      <c r="I186" s="4">
        <v>0</v>
      </c>
      <c r="J186" s="2"/>
    </row>
    <row r="187" spans="1:10" x14ac:dyDescent="0.2">
      <c r="A187" s="1">
        <v>36888</v>
      </c>
      <c r="B187" s="6">
        <f>72370-11420+230050</f>
        <v>291000</v>
      </c>
      <c r="C187" s="6">
        <v>0</v>
      </c>
      <c r="D187" s="6">
        <v>60000</v>
      </c>
      <c r="E187" s="6">
        <v>0</v>
      </c>
      <c r="F187" s="6">
        <v>0</v>
      </c>
      <c r="G187" s="6">
        <v>0</v>
      </c>
      <c r="H187" s="4">
        <v>0</v>
      </c>
      <c r="I187" s="4">
        <v>0</v>
      </c>
      <c r="J187" s="2"/>
    </row>
    <row r="188" spans="1:10" x14ac:dyDescent="0.2">
      <c r="A188" s="1">
        <v>36889</v>
      </c>
      <c r="B188" s="6">
        <f>90822+210178-60000</f>
        <v>241000</v>
      </c>
      <c r="C188" s="6">
        <v>0</v>
      </c>
      <c r="D188" s="6">
        <v>60000</v>
      </c>
      <c r="E188" s="6">
        <v>0</v>
      </c>
      <c r="F188" s="6">
        <v>0</v>
      </c>
      <c r="G188" s="6">
        <v>0</v>
      </c>
      <c r="H188" s="4">
        <v>0</v>
      </c>
      <c r="I188" s="4">
        <v>0</v>
      </c>
      <c r="J188" s="2"/>
    </row>
    <row r="189" spans="1:10" x14ac:dyDescent="0.2">
      <c r="A189" s="1">
        <v>36890</v>
      </c>
      <c r="B189" s="6">
        <f>140822+210178-60000</f>
        <v>291000</v>
      </c>
      <c r="C189" s="6">
        <v>0</v>
      </c>
      <c r="D189" s="6">
        <v>60000</v>
      </c>
      <c r="E189" s="6">
        <v>0</v>
      </c>
      <c r="F189" s="6">
        <v>0</v>
      </c>
      <c r="G189" s="6">
        <v>0</v>
      </c>
      <c r="H189" s="4">
        <v>0</v>
      </c>
      <c r="I189" s="4">
        <v>0</v>
      </c>
      <c r="J189" s="2"/>
    </row>
    <row r="190" spans="1:10" x14ac:dyDescent="0.2">
      <c r="A190" s="1">
        <v>36891</v>
      </c>
      <c r="B190" s="6">
        <f>240795+233417-83212</f>
        <v>391000</v>
      </c>
      <c r="C190" s="6">
        <v>0</v>
      </c>
      <c r="D190" s="6">
        <v>60000</v>
      </c>
      <c r="E190" s="6">
        <v>0</v>
      </c>
      <c r="F190" s="6">
        <v>0</v>
      </c>
      <c r="G190" s="6">
        <v>0</v>
      </c>
      <c r="H190" s="4">
        <v>0</v>
      </c>
      <c r="I190" s="4">
        <v>0</v>
      </c>
      <c r="J190" s="2"/>
    </row>
    <row r="191" spans="1:10" x14ac:dyDescent="0.2">
      <c r="A191" s="1">
        <v>36892</v>
      </c>
      <c r="B191" s="6">
        <f>240188+109717-422</f>
        <v>349483</v>
      </c>
      <c r="C191" s="6">
        <v>1885</v>
      </c>
      <c r="D191" s="6">
        <f>60000-26910</f>
        <v>33090</v>
      </c>
      <c r="E191" s="6">
        <v>0</v>
      </c>
      <c r="F191" s="6">
        <v>0</v>
      </c>
      <c r="G191" s="6">
        <v>0</v>
      </c>
      <c r="H191" s="4">
        <v>9677</v>
      </c>
      <c r="I191" s="4">
        <v>0</v>
      </c>
      <c r="J191" s="2"/>
    </row>
    <row r="192" spans="1:10" x14ac:dyDescent="0.2">
      <c r="A192" s="1">
        <v>36893</v>
      </c>
      <c r="B192" s="6">
        <f>155045+109717-422</f>
        <v>264340</v>
      </c>
      <c r="C192" s="6">
        <v>-5453</v>
      </c>
      <c r="D192" s="6">
        <f>60000+135231</f>
        <v>195231</v>
      </c>
      <c r="E192" s="6">
        <v>0</v>
      </c>
      <c r="F192" s="6">
        <v>0</v>
      </c>
      <c r="G192" s="6">
        <v>0</v>
      </c>
      <c r="H192" s="4">
        <v>9677</v>
      </c>
      <c r="I192" s="4">
        <v>0</v>
      </c>
      <c r="J192" s="2"/>
    </row>
    <row r="193" spans="1:10" x14ac:dyDescent="0.2">
      <c r="A193" s="1">
        <v>36894</v>
      </c>
      <c r="B193" s="6">
        <f>332069+122955</f>
        <v>455024</v>
      </c>
      <c r="C193" s="6">
        <v>40360</v>
      </c>
      <c r="D193" s="6">
        <f>60000+12571</f>
        <v>72571</v>
      </c>
      <c r="E193" s="6">
        <v>0</v>
      </c>
      <c r="F193" s="6">
        <v>0</v>
      </c>
      <c r="G193" s="6">
        <v>0</v>
      </c>
      <c r="H193" s="4">
        <v>9677</v>
      </c>
      <c r="I193" s="4">
        <v>0</v>
      </c>
      <c r="J193" s="2"/>
    </row>
    <row r="194" spans="1:10" x14ac:dyDescent="0.2">
      <c r="A194" s="1">
        <v>36895</v>
      </c>
      <c r="B194" s="6">
        <f>265411+123716</f>
        <v>389127</v>
      </c>
      <c r="C194" s="6">
        <v>36717</v>
      </c>
      <c r="D194" s="6">
        <f>60000-14522</f>
        <v>45478</v>
      </c>
      <c r="E194" s="6">
        <v>0</v>
      </c>
      <c r="F194" s="6">
        <v>0</v>
      </c>
      <c r="G194" s="6">
        <v>0</v>
      </c>
      <c r="H194" s="4">
        <v>9677</v>
      </c>
      <c r="I194" s="4">
        <v>0</v>
      </c>
      <c r="J194" s="2"/>
    </row>
    <row r="195" spans="1:10" x14ac:dyDescent="0.2">
      <c r="A195" s="1">
        <v>36896</v>
      </c>
      <c r="B195" s="6">
        <f>258502+152728-9414</f>
        <v>401816</v>
      </c>
      <c r="C195" s="6">
        <v>119</v>
      </c>
      <c r="D195" s="6">
        <f>60000-60000</f>
        <v>0</v>
      </c>
      <c r="E195" s="6">
        <v>0</v>
      </c>
      <c r="F195" s="6">
        <v>-1960</v>
      </c>
      <c r="G195" s="6">
        <v>0</v>
      </c>
      <c r="H195" s="4">
        <v>9677</v>
      </c>
      <c r="I195" s="4">
        <v>0</v>
      </c>
      <c r="J195" s="2"/>
    </row>
    <row r="196" spans="1:10" x14ac:dyDescent="0.2">
      <c r="A196" s="1">
        <v>36897</v>
      </c>
      <c r="B196" s="6">
        <f>142207+120122-46247</f>
        <v>216082</v>
      </c>
      <c r="C196" s="6">
        <v>350</v>
      </c>
      <c r="D196" s="6">
        <f>60000-38477</f>
        <v>21523</v>
      </c>
      <c r="E196" s="6">
        <v>0</v>
      </c>
      <c r="F196" s="6">
        <v>0</v>
      </c>
      <c r="G196" s="6">
        <v>0</v>
      </c>
      <c r="H196" s="4">
        <v>9677</v>
      </c>
      <c r="I196" s="4">
        <v>0</v>
      </c>
      <c r="J196" s="2"/>
    </row>
    <row r="197" spans="1:10" x14ac:dyDescent="0.2">
      <c r="A197" s="1">
        <v>36898</v>
      </c>
      <c r="B197" s="6">
        <f>215686+120122-46247</f>
        <v>289561</v>
      </c>
      <c r="C197" s="6">
        <f>35414-18530</f>
        <v>16884</v>
      </c>
      <c r="D197" s="6">
        <f>60000+4968</f>
        <v>64968</v>
      </c>
      <c r="E197" s="6">
        <v>0</v>
      </c>
      <c r="F197" s="6">
        <v>0</v>
      </c>
      <c r="G197" s="6">
        <v>0</v>
      </c>
      <c r="H197" s="4">
        <v>9677</v>
      </c>
      <c r="I197" s="4">
        <v>0</v>
      </c>
      <c r="J197" s="2"/>
    </row>
    <row r="198" spans="1:10" x14ac:dyDescent="0.2">
      <c r="A198" s="1">
        <v>36899</v>
      </c>
      <c r="B198" s="6">
        <f>300685+120122-46247</f>
        <v>374560</v>
      </c>
      <c r="C198" s="6">
        <f>35414+693</f>
        <v>36107</v>
      </c>
      <c r="D198" s="6">
        <f>60000+29788</f>
        <v>89788</v>
      </c>
      <c r="E198" s="6">
        <v>0</v>
      </c>
      <c r="F198" s="6">
        <v>0</v>
      </c>
      <c r="G198" s="6">
        <v>0</v>
      </c>
      <c r="H198" s="4">
        <v>9677</v>
      </c>
      <c r="I198" s="4">
        <v>0</v>
      </c>
      <c r="J198" s="2"/>
    </row>
    <row r="199" spans="1:10" x14ac:dyDescent="0.2">
      <c r="A199" s="1">
        <v>36900</v>
      </c>
      <c r="B199" s="6">
        <f>335123+116481-16894</f>
        <v>434710</v>
      </c>
      <c r="C199" s="6">
        <v>11532</v>
      </c>
      <c r="D199" s="6">
        <f>60000+61606</f>
        <v>121606</v>
      </c>
      <c r="E199" s="6">
        <v>0</v>
      </c>
      <c r="F199" s="6">
        <v>0</v>
      </c>
      <c r="G199" s="6">
        <v>0</v>
      </c>
      <c r="H199" s="4">
        <v>9677</v>
      </c>
      <c r="I199" s="4">
        <v>0</v>
      </c>
      <c r="J199" s="2"/>
    </row>
    <row r="200" spans="1:10" x14ac:dyDescent="0.2">
      <c r="A200" s="1">
        <v>36901</v>
      </c>
      <c r="B200" s="6">
        <f>189530+133887-11397</f>
        <v>312020</v>
      </c>
      <c r="C200" s="6">
        <v>11</v>
      </c>
      <c r="D200" s="6">
        <f>60000+35920</f>
        <v>95920</v>
      </c>
      <c r="E200" s="6">
        <v>0</v>
      </c>
      <c r="F200" s="6">
        <v>0</v>
      </c>
      <c r="G200" s="6">
        <v>0</v>
      </c>
      <c r="H200" s="4">
        <v>9677</v>
      </c>
      <c r="I200" s="4">
        <v>0</v>
      </c>
      <c r="J200" s="2"/>
    </row>
    <row r="201" spans="1:10" x14ac:dyDescent="0.2">
      <c r="A201" s="1">
        <v>36902</v>
      </c>
      <c r="B201" s="6">
        <f>112765+139294-1300</f>
        <v>250759</v>
      </c>
      <c r="C201" s="6">
        <v>-9815</v>
      </c>
      <c r="D201" s="6">
        <f>60000+3035</f>
        <v>63035</v>
      </c>
      <c r="E201" s="6">
        <v>0</v>
      </c>
      <c r="F201" s="6">
        <v>0</v>
      </c>
      <c r="G201" s="6">
        <v>-10102</v>
      </c>
      <c r="H201" s="4">
        <v>9677</v>
      </c>
      <c r="I201" s="4">
        <v>0</v>
      </c>
      <c r="J201" s="2"/>
    </row>
    <row r="202" spans="1:10" x14ac:dyDescent="0.2">
      <c r="A202" s="1">
        <v>36903</v>
      </c>
      <c r="B202" s="6">
        <f>126720+143190</f>
        <v>269910</v>
      </c>
      <c r="C202" s="6">
        <v>-9834</v>
      </c>
      <c r="D202" s="6">
        <f>60000-60000</f>
        <v>0</v>
      </c>
      <c r="E202" s="6">
        <v>0</v>
      </c>
      <c r="F202" s="6">
        <v>-7014</v>
      </c>
      <c r="G202" s="6">
        <v>-10102</v>
      </c>
      <c r="H202" s="4">
        <v>9677</v>
      </c>
      <c r="I202" s="4">
        <v>0</v>
      </c>
      <c r="J202" s="2"/>
    </row>
    <row r="203" spans="1:10" x14ac:dyDescent="0.2">
      <c r="A203" s="1">
        <v>36904</v>
      </c>
      <c r="B203" s="6">
        <f>74516+133115</f>
        <v>207631</v>
      </c>
      <c r="C203" s="6">
        <v>-16431</v>
      </c>
      <c r="D203" s="6">
        <f>60000-23898</f>
        <v>36102</v>
      </c>
      <c r="E203" s="6">
        <v>0</v>
      </c>
      <c r="F203" s="6">
        <v>0</v>
      </c>
      <c r="G203" s="6">
        <v>-5538</v>
      </c>
      <c r="H203" s="4">
        <v>9677</v>
      </c>
      <c r="I203" s="4">
        <v>0</v>
      </c>
      <c r="J203" s="2"/>
    </row>
    <row r="204" spans="1:10" x14ac:dyDescent="0.2">
      <c r="A204" s="1">
        <v>36905</v>
      </c>
      <c r="B204" s="6">
        <f>109599+133088</f>
        <v>242687</v>
      </c>
      <c r="C204" s="6">
        <v>-16495</v>
      </c>
      <c r="D204" s="6">
        <f>60000-60000</f>
        <v>0</v>
      </c>
      <c r="E204" s="6">
        <v>0</v>
      </c>
      <c r="F204" s="6">
        <v>-20434</v>
      </c>
      <c r="G204" s="6">
        <v>-5538</v>
      </c>
      <c r="H204" s="4">
        <v>9677</v>
      </c>
      <c r="I204" s="4">
        <v>0</v>
      </c>
      <c r="J204" s="2"/>
    </row>
    <row r="205" spans="1:10" x14ac:dyDescent="0.2">
      <c r="A205" s="1">
        <v>36906</v>
      </c>
      <c r="B205" s="6">
        <f>171911+133088</f>
        <v>304999</v>
      </c>
      <c r="C205" s="6">
        <v>-16655</v>
      </c>
      <c r="D205" s="6">
        <f>60000-53180</f>
        <v>6820</v>
      </c>
      <c r="E205" s="6">
        <v>0</v>
      </c>
      <c r="F205" s="6">
        <v>0</v>
      </c>
      <c r="G205" s="6">
        <v>-5538</v>
      </c>
      <c r="H205" s="4">
        <v>9677</v>
      </c>
      <c r="I205" s="4">
        <v>0</v>
      </c>
      <c r="J205" s="2"/>
    </row>
    <row r="206" spans="1:10" x14ac:dyDescent="0.2">
      <c r="A206" s="1">
        <v>36907</v>
      </c>
      <c r="B206" s="6">
        <f>249219+133088</f>
        <v>382307</v>
      </c>
      <c r="C206" s="6">
        <v>-16655</v>
      </c>
      <c r="D206" s="6">
        <f>60000-61273</f>
        <v>-1273</v>
      </c>
      <c r="E206" s="6">
        <v>0</v>
      </c>
      <c r="F206" s="6">
        <v>0</v>
      </c>
      <c r="G206" s="6">
        <v>-5538</v>
      </c>
      <c r="H206" s="4">
        <v>9677</v>
      </c>
      <c r="I206" s="4">
        <v>0</v>
      </c>
      <c r="J206" s="2"/>
    </row>
    <row r="207" spans="1:10" x14ac:dyDescent="0.2">
      <c r="A207" s="1">
        <v>36908</v>
      </c>
      <c r="B207" s="6">
        <f>227806+130161-27</f>
        <v>357940</v>
      </c>
      <c r="C207" s="6">
        <v>-9834</v>
      </c>
      <c r="D207" s="6">
        <f>60000-16072</f>
        <v>43928</v>
      </c>
      <c r="E207" s="6">
        <v>0</v>
      </c>
      <c r="F207" s="6">
        <v>0</v>
      </c>
      <c r="G207" s="6">
        <v>0</v>
      </c>
      <c r="H207" s="4">
        <v>9677</v>
      </c>
      <c r="I207" s="4">
        <v>0</v>
      </c>
      <c r="J207" s="2"/>
    </row>
    <row r="208" spans="1:10" x14ac:dyDescent="0.2">
      <c r="A208" s="1">
        <v>36909</v>
      </c>
      <c r="B208" s="6">
        <f>224495+163550</f>
        <v>388045</v>
      </c>
      <c r="C208" s="6">
        <v>-559</v>
      </c>
      <c r="D208" s="6">
        <f>60000+11172</f>
        <v>71172</v>
      </c>
      <c r="E208" s="6">
        <v>0</v>
      </c>
      <c r="F208" s="6">
        <v>0</v>
      </c>
      <c r="G208" s="6">
        <v>0</v>
      </c>
      <c r="H208" s="4">
        <v>9677</v>
      </c>
      <c r="I208" s="4">
        <v>0</v>
      </c>
      <c r="J208" s="2"/>
    </row>
    <row r="209" spans="1:10" x14ac:dyDescent="0.2">
      <c r="A209" s="1">
        <v>36910</v>
      </c>
      <c r="B209" s="6">
        <f>306395+128527-22082</f>
        <v>412840</v>
      </c>
      <c r="C209" s="6">
        <f>35414-3</f>
        <v>35411</v>
      </c>
      <c r="D209" s="6">
        <f>60000+21247</f>
        <v>81247</v>
      </c>
      <c r="E209" s="6">
        <v>45000</v>
      </c>
      <c r="F209" s="6">
        <v>29190</v>
      </c>
      <c r="G209" s="6">
        <v>84854</v>
      </c>
      <c r="H209" s="4">
        <v>0</v>
      </c>
      <c r="I209" s="4">
        <v>0</v>
      </c>
      <c r="J209" s="2"/>
    </row>
    <row r="210" spans="1:10" x14ac:dyDescent="0.2">
      <c r="A210" s="1">
        <v>36911</v>
      </c>
      <c r="B210" s="6">
        <f>356412+119675</f>
        <v>476087</v>
      </c>
      <c r="C210" s="6">
        <v>140</v>
      </c>
      <c r="D210" s="6">
        <f>60000-32773</f>
        <v>27227</v>
      </c>
      <c r="E210" s="6">
        <v>0</v>
      </c>
      <c r="F210" s="6">
        <v>0</v>
      </c>
      <c r="G210" s="6">
        <v>0</v>
      </c>
      <c r="H210" s="4">
        <v>0</v>
      </c>
      <c r="I210" s="4">
        <v>0</v>
      </c>
      <c r="J210" s="2"/>
    </row>
    <row r="211" spans="1:10" x14ac:dyDescent="0.2">
      <c r="A211" s="1">
        <v>36912</v>
      </c>
      <c r="B211" s="6">
        <f>353335+119675</f>
        <v>473010</v>
      </c>
      <c r="C211" s="6">
        <v>9</v>
      </c>
      <c r="D211" s="6">
        <f>60000-11734</f>
        <v>48266</v>
      </c>
      <c r="E211" s="6">
        <v>0</v>
      </c>
      <c r="F211" s="6">
        <v>0</v>
      </c>
      <c r="G211" s="6">
        <v>0</v>
      </c>
      <c r="H211" s="4">
        <v>0</v>
      </c>
      <c r="I211" s="4">
        <v>0</v>
      </c>
      <c r="J211" s="2"/>
    </row>
    <row r="212" spans="1:10" x14ac:dyDescent="0.2">
      <c r="A212" s="1">
        <v>36913</v>
      </c>
      <c r="B212" s="6">
        <f>226639+119675</f>
        <v>346314</v>
      </c>
      <c r="C212" s="6">
        <v>13</v>
      </c>
      <c r="D212" s="6">
        <f>60000+22638</f>
        <v>82638</v>
      </c>
      <c r="E212" s="6">
        <v>0</v>
      </c>
      <c r="F212" s="6">
        <v>0</v>
      </c>
      <c r="G212" s="6">
        <v>0</v>
      </c>
      <c r="H212" s="4">
        <v>0</v>
      </c>
      <c r="I212" s="4">
        <v>0</v>
      </c>
      <c r="J212" s="2"/>
    </row>
    <row r="213" spans="1:10" x14ac:dyDescent="0.2">
      <c r="A213" s="1">
        <v>36914</v>
      </c>
      <c r="B213" s="6">
        <f>245827+139454-36401</f>
        <v>348880</v>
      </c>
      <c r="C213" s="6">
        <v>-13</v>
      </c>
      <c r="D213" s="6">
        <f>60000-43015</f>
        <v>16985</v>
      </c>
      <c r="E213" s="6">
        <v>0</v>
      </c>
      <c r="F213" s="6">
        <v>0</v>
      </c>
      <c r="G213" s="6">
        <v>0</v>
      </c>
      <c r="H213" s="4">
        <v>0</v>
      </c>
      <c r="I213" s="4">
        <v>0</v>
      </c>
      <c r="J213" s="2"/>
    </row>
    <row r="214" spans="1:10" x14ac:dyDescent="0.2">
      <c r="A214" s="1">
        <v>36915</v>
      </c>
      <c r="B214" s="6">
        <f>340040+121381-34897</f>
        <v>426524</v>
      </c>
      <c r="C214" s="6">
        <v>1993</v>
      </c>
      <c r="D214" s="6">
        <f>60000-14218</f>
        <v>45782</v>
      </c>
      <c r="E214" s="6">
        <v>0</v>
      </c>
      <c r="F214" s="6">
        <v>0</v>
      </c>
      <c r="G214" s="6">
        <v>0</v>
      </c>
      <c r="H214" s="4">
        <v>0</v>
      </c>
      <c r="I214" s="4">
        <v>20000</v>
      </c>
      <c r="J214" s="2"/>
    </row>
    <row r="215" spans="1:10" x14ac:dyDescent="0.2">
      <c r="A215" s="1">
        <v>36916</v>
      </c>
      <c r="B215" s="6">
        <f>231287-24711+120890</f>
        <v>327466</v>
      </c>
      <c r="C215" s="6">
        <v>-1945</v>
      </c>
      <c r="D215" s="6">
        <f>60000+39848</f>
        <v>99848</v>
      </c>
      <c r="E215" s="6">
        <v>0</v>
      </c>
      <c r="F215" s="6">
        <v>0</v>
      </c>
      <c r="G215" s="6">
        <v>0</v>
      </c>
      <c r="H215" s="4">
        <v>0</v>
      </c>
      <c r="I215" s="4">
        <v>0</v>
      </c>
      <c r="J215" s="2"/>
    </row>
    <row r="216" spans="1:10" x14ac:dyDescent="0.2">
      <c r="A216" s="1">
        <v>36917</v>
      </c>
      <c r="B216" s="6">
        <f>245101-29379+110918</f>
        <v>326640</v>
      </c>
      <c r="C216" s="6">
        <v>-37</v>
      </c>
      <c r="D216" s="6">
        <f>60000-6313</f>
        <v>53687</v>
      </c>
      <c r="E216" s="6">
        <v>0</v>
      </c>
      <c r="F216" s="6">
        <v>0</v>
      </c>
      <c r="G216" s="6">
        <v>0</v>
      </c>
      <c r="H216" s="4">
        <v>0</v>
      </c>
      <c r="I216" s="4">
        <v>0</v>
      </c>
      <c r="J216" s="2"/>
    </row>
    <row r="217" spans="1:10" x14ac:dyDescent="0.2">
      <c r="A217" s="1">
        <v>36918</v>
      </c>
      <c r="B217" s="6">
        <f>231179+101260</f>
        <v>332439</v>
      </c>
      <c r="C217" s="6">
        <v>-2</v>
      </c>
      <c r="D217" s="6">
        <f>60000+32544</f>
        <v>92544</v>
      </c>
      <c r="E217" s="6">
        <v>0</v>
      </c>
      <c r="F217" s="6">
        <v>0</v>
      </c>
      <c r="G217" s="6">
        <v>0</v>
      </c>
      <c r="H217" s="4">
        <v>0</v>
      </c>
      <c r="I217" s="4">
        <v>0</v>
      </c>
      <c r="J217" s="2"/>
    </row>
    <row r="218" spans="1:10" x14ac:dyDescent="0.2">
      <c r="A218" s="1">
        <v>36919</v>
      </c>
      <c r="B218" s="6">
        <f>241160+101260</f>
        <v>342420</v>
      </c>
      <c r="C218" s="6">
        <v>0</v>
      </c>
      <c r="D218" s="6">
        <f>60000-30350</f>
        <v>29650</v>
      </c>
      <c r="E218" s="6">
        <v>0</v>
      </c>
      <c r="F218" s="6">
        <v>0</v>
      </c>
      <c r="G218" s="6">
        <v>0</v>
      </c>
      <c r="H218" s="4">
        <v>0</v>
      </c>
      <c r="I218" s="4">
        <v>0</v>
      </c>
      <c r="J218" s="2"/>
    </row>
    <row r="219" spans="1:10" x14ac:dyDescent="0.2">
      <c r="A219" s="1">
        <v>36920</v>
      </c>
      <c r="B219" s="6">
        <f>185969+101260</f>
        <v>287229</v>
      </c>
      <c r="C219" s="6">
        <v>-38796</v>
      </c>
      <c r="D219" s="6">
        <f>60000-43749</f>
        <v>16251</v>
      </c>
      <c r="E219" s="6">
        <v>0</v>
      </c>
      <c r="F219" s="6">
        <v>0</v>
      </c>
      <c r="G219" s="6">
        <v>-39537</v>
      </c>
      <c r="H219" s="4">
        <v>0</v>
      </c>
      <c r="I219" s="4">
        <v>0</v>
      </c>
      <c r="J219" s="2"/>
    </row>
    <row r="220" spans="1:10" x14ac:dyDescent="0.2">
      <c r="A220" s="1">
        <v>36921</v>
      </c>
      <c r="B220" s="6">
        <f>199760-10000+100730</f>
        <v>290490</v>
      </c>
      <c r="C220" s="6">
        <v>-22054</v>
      </c>
      <c r="D220" s="6">
        <f>60000-84800</f>
        <v>-24800</v>
      </c>
      <c r="E220" s="6">
        <v>0</v>
      </c>
      <c r="F220" s="6">
        <v>-8350</v>
      </c>
      <c r="G220" s="6">
        <v>0</v>
      </c>
      <c r="H220" s="4">
        <v>0</v>
      </c>
      <c r="I220" s="4">
        <v>0</v>
      </c>
      <c r="J220" s="2"/>
    </row>
    <row r="221" spans="1:10" x14ac:dyDescent="0.2">
      <c r="A221" s="1">
        <v>36922</v>
      </c>
      <c r="B221" s="6">
        <f>166674+121644</f>
        <v>288318</v>
      </c>
      <c r="C221" s="6">
        <v>-36620</v>
      </c>
      <c r="D221" s="6">
        <f>60000-7997</f>
        <v>52003</v>
      </c>
      <c r="E221" s="6">
        <v>0</v>
      </c>
      <c r="F221" s="6">
        <v>0</v>
      </c>
      <c r="G221" s="6">
        <v>0</v>
      </c>
      <c r="H221" s="4">
        <v>0</v>
      </c>
      <c r="I221" s="4">
        <v>0</v>
      </c>
      <c r="J221" s="2"/>
    </row>
    <row r="222" spans="1:10" x14ac:dyDescent="0.2">
      <c r="A222" s="1">
        <v>36923</v>
      </c>
      <c r="B222" s="6">
        <f>150000+228173-52051+149538</f>
        <v>475660</v>
      </c>
      <c r="C222" s="6">
        <v>2535</v>
      </c>
      <c r="D222" s="6">
        <f>60000+78209</f>
        <v>138209</v>
      </c>
      <c r="E222" s="6">
        <v>24000</v>
      </c>
      <c r="F222" s="6">
        <v>47290</v>
      </c>
      <c r="G222" s="6">
        <v>0</v>
      </c>
      <c r="H222" s="4">
        <v>0</v>
      </c>
      <c r="I222" s="4">
        <v>0</v>
      </c>
      <c r="J222" s="2"/>
    </row>
    <row r="223" spans="1:10" x14ac:dyDescent="0.2">
      <c r="A223" s="1">
        <v>36924</v>
      </c>
      <c r="B223" s="6">
        <f>150000+421439-23113+197874</f>
        <v>746200</v>
      </c>
      <c r="C223" s="6">
        <v>39954</v>
      </c>
      <c r="D223" s="6">
        <f>60000+34395</f>
        <v>94395</v>
      </c>
      <c r="E223" s="6">
        <v>45830</v>
      </c>
      <c r="F223" s="6">
        <v>61106</v>
      </c>
      <c r="G223" s="6">
        <v>0</v>
      </c>
      <c r="H223" s="4">
        <v>20000</v>
      </c>
      <c r="I223" s="4">
        <v>20000</v>
      </c>
      <c r="J223" s="2"/>
    </row>
    <row r="224" spans="1:10" x14ac:dyDescent="0.2">
      <c r="A224" s="1">
        <v>36925</v>
      </c>
      <c r="B224" s="6">
        <f>150000+284240-41468+103838</f>
        <v>496610</v>
      </c>
      <c r="C224" s="6">
        <v>28</v>
      </c>
      <c r="D224" s="6">
        <f>60000+45016</f>
        <v>105016</v>
      </c>
      <c r="E224" s="6">
        <v>0</v>
      </c>
      <c r="F224" s="6">
        <v>0</v>
      </c>
      <c r="G224" s="6">
        <v>0</v>
      </c>
      <c r="H224" s="4">
        <v>0</v>
      </c>
      <c r="I224" s="4">
        <v>0</v>
      </c>
      <c r="J224" s="2"/>
    </row>
    <row r="225" spans="1:10" x14ac:dyDescent="0.2">
      <c r="A225" s="1">
        <v>36926</v>
      </c>
      <c r="B225" s="6">
        <f>150000+155910-41468+103838</f>
        <v>368280</v>
      </c>
      <c r="C225" s="6">
        <v>0</v>
      </c>
      <c r="D225" s="6">
        <f>60000+1459</f>
        <v>61459</v>
      </c>
      <c r="E225" s="6">
        <v>0</v>
      </c>
      <c r="F225" s="6">
        <v>0</v>
      </c>
      <c r="G225" s="6">
        <v>0</v>
      </c>
      <c r="H225" s="4">
        <v>0</v>
      </c>
      <c r="I225" s="4">
        <v>0</v>
      </c>
      <c r="J225" s="2"/>
    </row>
    <row r="226" spans="1:10" x14ac:dyDescent="0.2">
      <c r="A226" s="1">
        <v>36927</v>
      </c>
      <c r="B226" s="6">
        <f>150000+158590-41468+103838</f>
        <v>370960</v>
      </c>
      <c r="C226" s="6">
        <v>0</v>
      </c>
      <c r="D226" s="6">
        <f>60000+74072</f>
        <v>134072</v>
      </c>
      <c r="E226" s="6">
        <v>0</v>
      </c>
      <c r="F226" s="6">
        <v>0</v>
      </c>
      <c r="G226" s="6">
        <v>0</v>
      </c>
      <c r="H226" s="4">
        <v>0</v>
      </c>
      <c r="I226" s="4">
        <v>0</v>
      </c>
      <c r="J226" s="2"/>
    </row>
    <row r="227" spans="1:10" x14ac:dyDescent="0.2">
      <c r="A227" s="1">
        <v>36928</v>
      </c>
      <c r="B227" s="6">
        <f>150000+134404-31966+105600</f>
        <v>358038</v>
      </c>
      <c r="C227" s="6">
        <f>-323</f>
        <v>-323</v>
      </c>
      <c r="D227" s="6">
        <f>60000-15197</f>
        <v>44803</v>
      </c>
      <c r="E227" s="6">
        <v>0</v>
      </c>
      <c r="F227" s="6">
        <v>0</v>
      </c>
      <c r="G227" s="6">
        <v>0</v>
      </c>
      <c r="H227" s="4">
        <v>0</v>
      </c>
      <c r="I227" s="4">
        <v>0</v>
      </c>
      <c r="J227" s="2"/>
    </row>
    <row r="228" spans="1:10" x14ac:dyDescent="0.2">
      <c r="A228" s="1">
        <v>36929</v>
      </c>
      <c r="B228" s="6">
        <f>150000+150537-37930+67076</f>
        <v>329683</v>
      </c>
      <c r="C228" s="6">
        <v>0</v>
      </c>
      <c r="D228" s="6">
        <f>60000+28647</f>
        <v>88647</v>
      </c>
      <c r="E228" s="6">
        <v>0</v>
      </c>
      <c r="F228" s="6">
        <v>0</v>
      </c>
      <c r="G228" s="6">
        <v>0</v>
      </c>
      <c r="H228" s="4">
        <v>0</v>
      </c>
      <c r="I228" s="4">
        <v>0</v>
      </c>
      <c r="J228" s="2"/>
    </row>
    <row r="229" spans="1:10" x14ac:dyDescent="0.2">
      <c r="A229" s="1">
        <v>36930</v>
      </c>
      <c r="B229" s="6">
        <f>150000+82296-62734+63838</f>
        <v>233400</v>
      </c>
      <c r="C229" s="6">
        <v>0</v>
      </c>
      <c r="D229" s="6">
        <f>60000-69466</f>
        <v>-9466</v>
      </c>
      <c r="E229" s="6">
        <v>0</v>
      </c>
      <c r="F229" s="6">
        <v>0</v>
      </c>
      <c r="G229" s="6">
        <v>-33763</v>
      </c>
      <c r="H229" s="4">
        <v>0</v>
      </c>
      <c r="I229" s="4">
        <v>0</v>
      </c>
      <c r="J229" s="2"/>
    </row>
    <row r="230" spans="1:10" x14ac:dyDescent="0.2">
      <c r="A230" s="1">
        <v>36931</v>
      </c>
      <c r="B230" s="6">
        <f>150000+103302-71630+103838</f>
        <v>285510</v>
      </c>
      <c r="C230" s="6">
        <v>9</v>
      </c>
      <c r="D230" s="6">
        <f>60000+11616</f>
        <v>71616</v>
      </c>
      <c r="E230" s="6">
        <v>0</v>
      </c>
      <c r="F230" s="6">
        <v>0</v>
      </c>
      <c r="G230" s="6">
        <v>0</v>
      </c>
      <c r="H230" s="4">
        <v>0</v>
      </c>
      <c r="I230" s="4">
        <v>0</v>
      </c>
      <c r="J230" s="2"/>
    </row>
    <row r="231" spans="1:10" x14ac:dyDescent="0.2">
      <c r="A231" s="1">
        <v>36932</v>
      </c>
      <c r="B231" s="6">
        <f>150000+188548-33209+111621</f>
        <v>416960</v>
      </c>
      <c r="C231" s="6">
        <f>35414-514</f>
        <v>34900</v>
      </c>
      <c r="D231" s="6">
        <f>60000+96056</f>
        <v>156056</v>
      </c>
      <c r="E231" s="6">
        <v>0</v>
      </c>
      <c r="F231" s="6">
        <v>0</v>
      </c>
      <c r="G231" s="6">
        <v>0</v>
      </c>
      <c r="H231" s="4">
        <v>0</v>
      </c>
      <c r="I231" s="4">
        <v>0</v>
      </c>
      <c r="J231" s="2"/>
    </row>
    <row r="232" spans="1:10" x14ac:dyDescent="0.2">
      <c r="A232" s="1">
        <v>36933</v>
      </c>
      <c r="B232" s="6">
        <f>150000+119638-33209+111621</f>
        <v>348050</v>
      </c>
      <c r="C232" s="6">
        <v>23444</v>
      </c>
      <c r="D232" s="6">
        <f>60000+111101</f>
        <v>171101</v>
      </c>
      <c r="E232" s="6">
        <v>0</v>
      </c>
      <c r="F232" s="6">
        <v>0</v>
      </c>
      <c r="G232" s="6">
        <v>0</v>
      </c>
      <c r="H232" s="4">
        <v>0</v>
      </c>
      <c r="I232" s="4">
        <v>0</v>
      </c>
      <c r="J232" s="2"/>
    </row>
    <row r="233" spans="1:10" x14ac:dyDescent="0.2">
      <c r="A233" s="1">
        <v>36934</v>
      </c>
      <c r="B233" s="6">
        <f>150000+104448-33209+111621</f>
        <v>332860</v>
      </c>
      <c r="C233" s="6">
        <v>35</v>
      </c>
      <c r="D233" s="6">
        <f>60000-42223</f>
        <v>17777</v>
      </c>
      <c r="E233" s="6">
        <v>0</v>
      </c>
      <c r="F233" s="6">
        <v>0</v>
      </c>
      <c r="G233" s="6">
        <v>0</v>
      </c>
      <c r="H233" s="4">
        <v>0</v>
      </c>
      <c r="I233" s="4">
        <v>0</v>
      </c>
      <c r="J233" s="2"/>
    </row>
    <row r="234" spans="1:10" x14ac:dyDescent="0.2">
      <c r="A234" s="1">
        <v>36935</v>
      </c>
      <c r="B234" s="6">
        <f>150000+2090-33209+106879</f>
        <v>225760</v>
      </c>
      <c r="C234" s="6">
        <v>-323</v>
      </c>
      <c r="D234" s="6">
        <f>60000-17035</f>
        <v>42965</v>
      </c>
      <c r="E234" s="6">
        <v>0</v>
      </c>
      <c r="F234" s="6">
        <v>0</v>
      </c>
      <c r="G234" s="6">
        <v>-32000</v>
      </c>
      <c r="H234" s="4">
        <v>0</v>
      </c>
      <c r="I234" s="4">
        <v>0</v>
      </c>
      <c r="J234" s="2"/>
    </row>
    <row r="235" spans="1:10" x14ac:dyDescent="0.2">
      <c r="A235" s="1">
        <v>36936</v>
      </c>
      <c r="B235" s="6">
        <f>150000+107916-35234+79904</f>
        <v>302586</v>
      </c>
      <c r="C235" s="6">
        <v>-323</v>
      </c>
      <c r="D235" s="6">
        <f>60000+62370</f>
        <v>122370</v>
      </c>
      <c r="E235" s="6">
        <v>0</v>
      </c>
      <c r="F235" s="6">
        <v>0</v>
      </c>
      <c r="G235" s="6">
        <v>0</v>
      </c>
      <c r="H235" s="4">
        <v>0</v>
      </c>
      <c r="I235" s="4">
        <v>0</v>
      </c>
      <c r="J235" s="2"/>
    </row>
    <row r="236" spans="1:10" x14ac:dyDescent="0.2">
      <c r="A236" s="1">
        <v>36937</v>
      </c>
      <c r="B236" s="6">
        <f>150000+213564-53209+62379</f>
        <v>372734</v>
      </c>
      <c r="C236" s="6">
        <v>0</v>
      </c>
      <c r="D236" s="6">
        <f>60000-11421</f>
        <v>48579</v>
      </c>
      <c r="E236" s="6">
        <v>0</v>
      </c>
      <c r="F236" s="6">
        <v>0</v>
      </c>
      <c r="G236" s="6">
        <v>0</v>
      </c>
      <c r="H236" s="4">
        <v>0</v>
      </c>
      <c r="I236" s="4">
        <v>0</v>
      </c>
      <c r="J236" s="2"/>
    </row>
    <row r="237" spans="1:10" x14ac:dyDescent="0.2">
      <c r="A237" s="1">
        <v>36938</v>
      </c>
      <c r="B237" s="6">
        <f>150000+235818-42757+82379</f>
        <v>425440</v>
      </c>
      <c r="C237" s="6">
        <v>6</v>
      </c>
      <c r="D237" s="6">
        <f>60000+54178</f>
        <v>114178</v>
      </c>
      <c r="E237" s="6">
        <v>0</v>
      </c>
      <c r="F237" s="6">
        <v>0</v>
      </c>
      <c r="G237" s="6">
        <v>0</v>
      </c>
      <c r="H237" s="4">
        <v>0</v>
      </c>
      <c r="I237" s="4">
        <v>0</v>
      </c>
      <c r="J237" s="2"/>
    </row>
    <row r="238" spans="1:10" x14ac:dyDescent="0.2">
      <c r="A238" s="1">
        <v>36939</v>
      </c>
      <c r="B238" s="6">
        <f>150000+169010-24080+86840</f>
        <v>381770</v>
      </c>
      <c r="C238" s="6">
        <f>75888-3421</f>
        <v>72467</v>
      </c>
      <c r="D238" s="6">
        <f>60000+64847</f>
        <v>124847</v>
      </c>
      <c r="E238" s="6">
        <v>70272</v>
      </c>
      <c r="F238" s="6">
        <v>65180</v>
      </c>
      <c r="G238" s="6">
        <v>40736</v>
      </c>
      <c r="H238" s="4">
        <v>0</v>
      </c>
      <c r="I238" s="4">
        <v>0</v>
      </c>
      <c r="J238" s="2"/>
    </row>
    <row r="239" spans="1:10" x14ac:dyDescent="0.2">
      <c r="A239" s="1">
        <v>36940</v>
      </c>
      <c r="B239" s="6">
        <f>150000+123540-24080+86840</f>
        <v>336300</v>
      </c>
      <c r="C239" s="6">
        <v>-277</v>
      </c>
      <c r="D239" s="6">
        <f>60000+137787</f>
        <v>197787</v>
      </c>
      <c r="E239" s="6">
        <v>0</v>
      </c>
      <c r="F239" s="6">
        <v>0</v>
      </c>
      <c r="G239" s="6">
        <v>0</v>
      </c>
      <c r="H239" s="4">
        <v>0</v>
      </c>
      <c r="I239" s="4">
        <v>0</v>
      </c>
      <c r="J239" s="2"/>
    </row>
    <row r="240" spans="1:10" x14ac:dyDescent="0.2">
      <c r="A240" s="1">
        <v>36941</v>
      </c>
      <c r="B240" s="6">
        <f>150000+102510-24080+86840</f>
        <v>315270</v>
      </c>
      <c r="C240" s="6">
        <v>-323</v>
      </c>
      <c r="D240" s="6">
        <f>60000-759</f>
        <v>59241</v>
      </c>
      <c r="E240" s="6">
        <v>0</v>
      </c>
      <c r="F240" s="6">
        <v>0</v>
      </c>
      <c r="G240" s="6">
        <v>0</v>
      </c>
      <c r="H240" s="4">
        <v>0</v>
      </c>
      <c r="I240" s="4">
        <v>0</v>
      </c>
      <c r="J240" s="2"/>
    </row>
    <row r="241" spans="1:10" x14ac:dyDescent="0.2">
      <c r="A241" s="1">
        <v>36942</v>
      </c>
      <c r="B241" s="6">
        <f>150000+38861-24080+86840</f>
        <v>251621</v>
      </c>
      <c r="C241" s="6">
        <f>75888-30341</f>
        <v>45547</v>
      </c>
      <c r="D241" s="6">
        <f>60000+18993</f>
        <v>78993</v>
      </c>
      <c r="E241" s="6">
        <v>0</v>
      </c>
      <c r="F241" s="6">
        <v>0</v>
      </c>
      <c r="G241" s="6">
        <v>84854</v>
      </c>
      <c r="H241" s="4">
        <v>20000</v>
      </c>
      <c r="I241" s="4">
        <v>0</v>
      </c>
      <c r="J241" s="2"/>
    </row>
    <row r="242" spans="1:10" x14ac:dyDescent="0.2">
      <c r="A242" s="1">
        <v>36943</v>
      </c>
      <c r="B242" s="6">
        <f>150000+43140+114766-96</f>
        <v>307810</v>
      </c>
      <c r="C242" s="6">
        <f>75888-726</f>
        <v>75162</v>
      </c>
      <c r="D242" s="6">
        <f>60000+37157</f>
        <v>97157</v>
      </c>
      <c r="E242" s="6">
        <v>0</v>
      </c>
      <c r="F242" s="6">
        <v>0</v>
      </c>
      <c r="G242" s="6">
        <v>0</v>
      </c>
      <c r="H242" s="4">
        <v>20000</v>
      </c>
      <c r="I242" s="4">
        <v>20000</v>
      </c>
      <c r="J242" s="2"/>
    </row>
    <row r="243" spans="1:10" x14ac:dyDescent="0.2">
      <c r="A243" s="1">
        <v>36944</v>
      </c>
      <c r="B243" s="6">
        <f>150000+48530+150266-2596</f>
        <v>346200</v>
      </c>
      <c r="C243" s="6">
        <f>601</f>
        <v>601</v>
      </c>
      <c r="D243" s="6">
        <f>60000+102973</f>
        <v>162973</v>
      </c>
      <c r="E243" s="6">
        <v>0</v>
      </c>
      <c r="F243" s="6">
        <v>0</v>
      </c>
      <c r="G243" s="6">
        <v>0</v>
      </c>
      <c r="H243" s="4">
        <v>0</v>
      </c>
      <c r="I243" s="4">
        <v>0</v>
      </c>
      <c r="J243" s="2"/>
    </row>
    <row r="244" spans="1:10" x14ac:dyDescent="0.2">
      <c r="A244" s="1">
        <v>36945</v>
      </c>
      <c r="B244" s="6">
        <f>150000+86281+92379-23209</f>
        <v>305451</v>
      </c>
      <c r="C244" s="6">
        <v>0</v>
      </c>
      <c r="D244" s="6">
        <f>60000+7577</f>
        <v>67577</v>
      </c>
      <c r="E244" s="6">
        <v>0</v>
      </c>
      <c r="F244" s="6">
        <v>0</v>
      </c>
      <c r="G244" s="6">
        <v>0</v>
      </c>
      <c r="H244" s="4">
        <v>0</v>
      </c>
      <c r="I244" s="4">
        <v>0</v>
      </c>
      <c r="J244" s="2"/>
    </row>
    <row r="245" spans="1:10" x14ac:dyDescent="0.2">
      <c r="A245" s="1">
        <v>36946</v>
      </c>
      <c r="B245" s="6">
        <f>150000+68097+79656-36542</f>
        <v>261211</v>
      </c>
      <c r="C245" s="6">
        <v>11</v>
      </c>
      <c r="D245" s="6">
        <f>60000+35963</f>
        <v>95963</v>
      </c>
      <c r="E245" s="6">
        <v>0</v>
      </c>
      <c r="F245" s="6">
        <v>0</v>
      </c>
      <c r="G245" s="6">
        <v>0</v>
      </c>
      <c r="H245" s="4">
        <v>0</v>
      </c>
      <c r="I245" s="4">
        <v>0</v>
      </c>
      <c r="J245" s="2"/>
    </row>
    <row r="246" spans="1:10" x14ac:dyDescent="0.2">
      <c r="A246" s="1">
        <v>36947</v>
      </c>
      <c r="B246" s="6">
        <f>150000+116877+79656-36542</f>
        <v>309991</v>
      </c>
      <c r="C246" s="6">
        <f>75888-219</f>
        <v>75669</v>
      </c>
      <c r="D246" s="6">
        <f>60000+53481</f>
        <v>113481</v>
      </c>
      <c r="E246" s="6">
        <v>0</v>
      </c>
      <c r="F246" s="6">
        <v>0</v>
      </c>
      <c r="G246" s="6">
        <v>0</v>
      </c>
      <c r="H246" s="4">
        <v>0</v>
      </c>
      <c r="I246" s="4">
        <v>0</v>
      </c>
      <c r="J246" s="2"/>
    </row>
    <row r="247" spans="1:10" x14ac:dyDescent="0.2">
      <c r="A247" s="1">
        <v>36948</v>
      </c>
      <c r="B247" s="6">
        <f>150000+114311+79656-36542</f>
        <v>307425</v>
      </c>
      <c r="C247" s="6">
        <f>75000-19</f>
        <v>74981</v>
      </c>
      <c r="D247" s="6">
        <f>60000-38249</f>
        <v>21751</v>
      </c>
      <c r="E247" s="6">
        <v>0</v>
      </c>
      <c r="F247" s="6">
        <v>0</v>
      </c>
      <c r="G247" s="6">
        <v>0</v>
      </c>
      <c r="H247" s="4">
        <v>0</v>
      </c>
      <c r="I247" s="4">
        <v>0</v>
      </c>
      <c r="J247" s="2"/>
    </row>
    <row r="248" spans="1:10" x14ac:dyDescent="0.2">
      <c r="A248" s="1">
        <v>36949</v>
      </c>
      <c r="B248" s="6">
        <f>150000+73466+92454-23210</f>
        <v>292710</v>
      </c>
      <c r="C248" s="6">
        <v>-4906</v>
      </c>
      <c r="D248" s="6">
        <f>60000+79122</f>
        <v>139122</v>
      </c>
      <c r="E248" s="6">
        <v>0</v>
      </c>
      <c r="F248" s="6">
        <v>0</v>
      </c>
      <c r="G248" s="6">
        <v>0</v>
      </c>
      <c r="H248" s="4">
        <v>0</v>
      </c>
      <c r="I248" s="4">
        <v>0</v>
      </c>
      <c r="J248" s="2"/>
    </row>
    <row r="249" spans="1:10" x14ac:dyDescent="0.2">
      <c r="A249" s="1">
        <v>36950</v>
      </c>
      <c r="B249" s="6">
        <f>150000-1246+97696-23113</f>
        <v>223337</v>
      </c>
      <c r="C249" s="6">
        <v>36670</v>
      </c>
      <c r="D249" s="6">
        <f>60000+114376</f>
        <v>174376</v>
      </c>
      <c r="E249" s="6">
        <v>0</v>
      </c>
      <c r="F249" s="6">
        <v>0</v>
      </c>
      <c r="G249" s="6">
        <v>0</v>
      </c>
      <c r="H249" s="4">
        <v>0</v>
      </c>
      <c r="I249" s="4">
        <v>0</v>
      </c>
      <c r="J249" s="2"/>
    </row>
    <row r="250" spans="1:10" x14ac:dyDescent="0.2">
      <c r="A250" s="1">
        <v>36951</v>
      </c>
      <c r="B250" s="6">
        <f>228097-13384+2377</f>
        <v>217090</v>
      </c>
      <c r="C250" s="6">
        <f>50000-8647</f>
        <v>41353</v>
      </c>
      <c r="D250" s="6">
        <v>8043</v>
      </c>
      <c r="E250" s="6">
        <v>0</v>
      </c>
      <c r="F250" s="6">
        <v>0</v>
      </c>
      <c r="G250" s="6">
        <v>50000</v>
      </c>
      <c r="H250" s="4">
        <v>0</v>
      </c>
      <c r="I250" s="4">
        <v>20000</v>
      </c>
      <c r="J250" s="2"/>
    </row>
    <row r="251" spans="1:10" x14ac:dyDescent="0.2">
      <c r="A251" s="1">
        <v>36952</v>
      </c>
      <c r="B251" s="6">
        <f>237223-44459+758</f>
        <v>193522</v>
      </c>
      <c r="C251" s="6">
        <f>17000-8788</f>
        <v>8212</v>
      </c>
      <c r="D251" s="6">
        <v>18488</v>
      </c>
      <c r="E251" s="6">
        <v>0</v>
      </c>
      <c r="F251" s="6">
        <v>0</v>
      </c>
      <c r="G251" s="6">
        <v>0</v>
      </c>
      <c r="H251" s="4">
        <v>0</v>
      </c>
      <c r="I251" s="4">
        <v>20000</v>
      </c>
      <c r="J251" s="2"/>
    </row>
    <row r="252" spans="1:10" x14ac:dyDescent="0.2">
      <c r="A252" s="1">
        <v>36953</v>
      </c>
      <c r="B252" s="6">
        <f>88577-10425+14082</f>
        <v>92234</v>
      </c>
      <c r="C252" s="6">
        <f>-19793</f>
        <v>-19793</v>
      </c>
      <c r="D252" s="6">
        <v>71227</v>
      </c>
      <c r="E252" s="6">
        <v>0</v>
      </c>
      <c r="F252" s="6">
        <v>0</v>
      </c>
      <c r="G252" s="6">
        <v>-27000</v>
      </c>
      <c r="H252" s="4">
        <v>20000</v>
      </c>
      <c r="I252" s="4">
        <v>20000</v>
      </c>
      <c r="J252" s="2"/>
    </row>
    <row r="253" spans="1:10" x14ac:dyDescent="0.2">
      <c r="A253" s="1">
        <v>36954</v>
      </c>
      <c r="B253" s="6">
        <f>165523-10425+14082</f>
        <v>169180</v>
      </c>
      <c r="C253" s="6">
        <f>50000-495</f>
        <v>49505</v>
      </c>
      <c r="D253" s="6">
        <v>89074</v>
      </c>
      <c r="E253" s="6">
        <v>0</v>
      </c>
      <c r="F253" s="6">
        <v>0</v>
      </c>
      <c r="G253" s="6">
        <v>0</v>
      </c>
      <c r="H253" s="4">
        <v>20000</v>
      </c>
      <c r="I253" s="4">
        <v>20000</v>
      </c>
      <c r="J253" s="2"/>
    </row>
    <row r="254" spans="1:10" x14ac:dyDescent="0.2">
      <c r="A254" s="1">
        <v>36955</v>
      </c>
      <c r="B254" s="6">
        <f>231115-10427+14082</f>
        <v>234770</v>
      </c>
      <c r="C254" s="6">
        <f>50000+24619</f>
        <v>74619</v>
      </c>
      <c r="D254" s="6">
        <v>127027</v>
      </c>
      <c r="E254" s="6">
        <v>0</v>
      </c>
      <c r="F254" s="6">
        <v>0</v>
      </c>
      <c r="G254" s="6">
        <v>84854</v>
      </c>
      <c r="H254" s="4">
        <v>20000</v>
      </c>
      <c r="I254" s="4">
        <v>20000</v>
      </c>
      <c r="J254" s="2"/>
    </row>
    <row r="255" spans="1:10" x14ac:dyDescent="0.2">
      <c r="A255" s="1">
        <v>36956</v>
      </c>
      <c r="B255" s="6">
        <f>281646-68347+2051</f>
        <v>215350</v>
      </c>
      <c r="C255" s="6">
        <f>50000+14</f>
        <v>50014</v>
      </c>
      <c r="D255" s="6">
        <v>21414</v>
      </c>
      <c r="E255" s="6">
        <v>0</v>
      </c>
      <c r="F255" s="6">
        <v>0</v>
      </c>
      <c r="G255" s="6">
        <v>0</v>
      </c>
      <c r="H255" s="4">
        <v>20000</v>
      </c>
      <c r="I255" s="4">
        <v>20000</v>
      </c>
      <c r="J255" s="2"/>
    </row>
    <row r="256" spans="1:10" x14ac:dyDescent="0.2">
      <c r="A256" s="1">
        <v>36957</v>
      </c>
      <c r="B256" s="6">
        <f>142167-143369+4451</f>
        <v>3249</v>
      </c>
      <c r="C256" s="6">
        <f>50000-77</f>
        <v>49923</v>
      </c>
      <c r="D256" s="6">
        <v>-24800</v>
      </c>
      <c r="E256" s="6">
        <v>45000</v>
      </c>
      <c r="F256" s="6">
        <f>60000-59366</f>
        <v>634</v>
      </c>
      <c r="G256" s="6">
        <v>0</v>
      </c>
      <c r="H256" s="4">
        <v>20000</v>
      </c>
      <c r="I256" s="4">
        <v>20000</v>
      </c>
      <c r="J256" s="2"/>
    </row>
    <row r="257" spans="1:10" x14ac:dyDescent="0.2">
      <c r="A257" s="1">
        <v>36958</v>
      </c>
      <c r="B257" s="6">
        <f>67210-78601+4451</f>
        <v>-6940</v>
      </c>
      <c r="C257" s="6">
        <f>50000-19787</f>
        <v>30213</v>
      </c>
      <c r="D257" s="6">
        <f>60000+8660</f>
        <v>68660</v>
      </c>
      <c r="E257" s="6">
        <v>20000</v>
      </c>
      <c r="F257" s="6">
        <v>30000</v>
      </c>
      <c r="G257" s="6">
        <v>40000</v>
      </c>
      <c r="H257" s="4">
        <v>5000</v>
      </c>
      <c r="I257" s="4">
        <v>10000</v>
      </c>
      <c r="J257" s="2"/>
    </row>
    <row r="258" spans="1:10" x14ac:dyDescent="0.2">
      <c r="A258" s="1">
        <v>36959</v>
      </c>
      <c r="B258" s="6">
        <f>-115191-141840+4451</f>
        <v>-252580</v>
      </c>
      <c r="C258" s="6">
        <f>21000+3871</f>
        <v>24871</v>
      </c>
      <c r="D258" s="6">
        <f>60000+25504</f>
        <v>85504</v>
      </c>
      <c r="E258" s="6">
        <v>15000</v>
      </c>
      <c r="F258" s="6">
        <v>30000</v>
      </c>
      <c r="G258" s="6">
        <v>0</v>
      </c>
      <c r="H258" s="4">
        <v>5000</v>
      </c>
      <c r="I258" s="4">
        <v>13000</v>
      </c>
      <c r="J258" s="2"/>
    </row>
    <row r="259" spans="1:10" x14ac:dyDescent="0.2">
      <c r="A259" s="1">
        <v>36960</v>
      </c>
      <c r="B259" s="6">
        <f>-147719-112224+4451</f>
        <v>-255492</v>
      </c>
      <c r="C259" s="6">
        <f>40000-6</f>
        <v>39994</v>
      </c>
      <c r="D259" s="6">
        <f>60000-12933</f>
        <v>47067</v>
      </c>
      <c r="E259" s="6">
        <v>15000</v>
      </c>
      <c r="F259" s="6">
        <v>30000</v>
      </c>
      <c r="G259" s="6">
        <v>35000</v>
      </c>
      <c r="H259" s="4">
        <v>5000</v>
      </c>
      <c r="I259" s="4">
        <v>13000</v>
      </c>
      <c r="J259" s="2"/>
    </row>
    <row r="260" spans="1:10" x14ac:dyDescent="0.2">
      <c r="A260" s="1">
        <v>36961</v>
      </c>
      <c r="B260" s="6">
        <f>-168580-112224+4451</f>
        <v>-276353</v>
      </c>
      <c r="C260" s="6">
        <f>40000-5</f>
        <v>39995</v>
      </c>
      <c r="D260" s="6">
        <f>60000+69588</f>
        <v>129588</v>
      </c>
      <c r="E260" s="6">
        <v>15000</v>
      </c>
      <c r="F260" s="6">
        <v>30000</v>
      </c>
      <c r="G260" s="6">
        <v>35000</v>
      </c>
      <c r="H260" s="4">
        <v>5000</v>
      </c>
      <c r="I260" s="4">
        <v>13000</v>
      </c>
      <c r="J260" s="2"/>
    </row>
    <row r="261" spans="1:10" x14ac:dyDescent="0.2">
      <c r="A261" s="1">
        <v>36962</v>
      </c>
      <c r="B261" s="6">
        <f>-162993-112224+4451</f>
        <v>-270766</v>
      </c>
      <c r="C261" s="6">
        <f>40000+4</f>
        <v>40004</v>
      </c>
      <c r="D261" s="6">
        <f>60000+65489</f>
        <v>125489</v>
      </c>
      <c r="E261" s="6">
        <v>15000</v>
      </c>
      <c r="F261" s="6">
        <v>30000</v>
      </c>
      <c r="G261" s="6">
        <v>35000</v>
      </c>
      <c r="H261" s="4">
        <v>5000</v>
      </c>
      <c r="I261" s="4">
        <v>13000</v>
      </c>
      <c r="J261" s="2"/>
    </row>
    <row r="262" spans="1:10" x14ac:dyDescent="0.2">
      <c r="A262" s="1">
        <v>36963</v>
      </c>
      <c r="B262" s="6">
        <f>-169090-95661+4451</f>
        <v>-260300</v>
      </c>
      <c r="C262" s="6">
        <f>50000-237</f>
        <v>49763</v>
      </c>
      <c r="D262" s="6">
        <f>60000+21553</f>
        <v>81553</v>
      </c>
      <c r="E262" s="6">
        <v>55000</v>
      </c>
      <c r="F262" s="6">
        <v>30000</v>
      </c>
      <c r="G262" s="6">
        <v>84854</v>
      </c>
      <c r="H262" s="4">
        <v>20000</v>
      </c>
      <c r="I262" s="4">
        <v>20000</v>
      </c>
      <c r="J262" s="2"/>
    </row>
    <row r="263" spans="1:10" x14ac:dyDescent="0.2">
      <c r="A263" s="1">
        <v>36964</v>
      </c>
      <c r="B263" s="6">
        <f>-155032-100603+14451</f>
        <v>-241184</v>
      </c>
      <c r="C263" s="6">
        <f>50000-39543</f>
        <v>10457</v>
      </c>
      <c r="D263" s="6">
        <v>60000</v>
      </c>
      <c r="E263" s="6">
        <f>15000-35780</f>
        <v>-20780</v>
      </c>
      <c r="F263" s="6">
        <f>30000-76150</f>
        <v>-46150</v>
      </c>
      <c r="G263" s="6">
        <v>35000</v>
      </c>
      <c r="H263" s="4">
        <v>5000</v>
      </c>
      <c r="I263" s="4">
        <v>12000</v>
      </c>
      <c r="J263" s="2"/>
    </row>
    <row r="264" spans="1:10" x14ac:dyDescent="0.2">
      <c r="A264" s="1">
        <v>36965</v>
      </c>
      <c r="B264" s="6">
        <f>-123097-155968+9451</f>
        <v>-269614</v>
      </c>
      <c r="C264" s="6">
        <f>50000+10</f>
        <v>50010</v>
      </c>
      <c r="D264" s="6">
        <f>60000+25926</f>
        <v>85926</v>
      </c>
      <c r="E264" s="6">
        <v>45000</v>
      </c>
      <c r="F264" s="6">
        <v>30000</v>
      </c>
      <c r="G264" s="6">
        <v>35000</v>
      </c>
      <c r="H264" s="4">
        <v>5000</v>
      </c>
      <c r="I264" s="4">
        <v>12000</v>
      </c>
      <c r="J264" s="2"/>
    </row>
    <row r="265" spans="1:10" x14ac:dyDescent="0.2">
      <c r="A265" s="1">
        <v>36966</v>
      </c>
      <c r="B265" s="6">
        <f>-151141-107892+4451</f>
        <v>-254582</v>
      </c>
      <c r="C265" s="6">
        <f>62000-289</f>
        <v>61711</v>
      </c>
      <c r="D265" s="6">
        <f>60000+78171</f>
        <v>138171</v>
      </c>
      <c r="E265" s="6">
        <v>45000</v>
      </c>
      <c r="F265" s="6">
        <v>45000</v>
      </c>
      <c r="G265" s="6">
        <v>84854</v>
      </c>
      <c r="H265" s="4">
        <v>20000</v>
      </c>
      <c r="I265" s="4">
        <v>20000</v>
      </c>
      <c r="J265" s="2"/>
    </row>
    <row r="266" spans="1:10" x14ac:dyDescent="0.2">
      <c r="A266" s="1">
        <v>36967</v>
      </c>
      <c r="B266" s="6">
        <f>-152060-100013+4989</f>
        <v>-247084</v>
      </c>
      <c r="C266" s="6">
        <f>50000-33</f>
        <v>49967</v>
      </c>
      <c r="D266" s="6">
        <f>60000</f>
        <v>60000</v>
      </c>
      <c r="E266" s="6">
        <v>45000</v>
      </c>
      <c r="F266" s="6">
        <f>64925-25495</f>
        <v>39430</v>
      </c>
      <c r="G266" s="6">
        <v>84854</v>
      </c>
      <c r="H266" s="4">
        <v>20000</v>
      </c>
      <c r="I266" s="4">
        <v>20000</v>
      </c>
      <c r="J266" s="2"/>
    </row>
    <row r="267" spans="1:10" x14ac:dyDescent="0.2">
      <c r="A267" s="1">
        <v>36968</v>
      </c>
      <c r="B267" s="6">
        <f>-144266-100013+4989</f>
        <v>-239290</v>
      </c>
      <c r="C267" s="6">
        <f>50000+2</f>
        <v>50002</v>
      </c>
      <c r="D267" s="6">
        <f>60000</f>
        <v>60000</v>
      </c>
      <c r="E267" s="6">
        <v>45000</v>
      </c>
      <c r="F267" s="6">
        <f>30000-7855</f>
        <v>22145</v>
      </c>
      <c r="G267" s="6">
        <v>35000</v>
      </c>
      <c r="H267" s="4">
        <v>20000</v>
      </c>
      <c r="I267" s="4">
        <v>20000</v>
      </c>
      <c r="J267" s="2"/>
    </row>
    <row r="268" spans="1:10" x14ac:dyDescent="0.2">
      <c r="A268" s="1">
        <v>36969</v>
      </c>
      <c r="B268" s="6">
        <f>-161886-100013+4989</f>
        <v>-256910</v>
      </c>
      <c r="C268" s="6">
        <f>50000-6455</f>
        <v>43545</v>
      </c>
      <c r="D268" s="6">
        <f>60000+23237</f>
        <v>83237</v>
      </c>
      <c r="E268" s="6">
        <v>0</v>
      </c>
      <c r="F268" s="6">
        <v>30000</v>
      </c>
      <c r="G268" s="6">
        <v>35000</v>
      </c>
      <c r="H268" s="4">
        <v>20000</v>
      </c>
      <c r="I268" s="4">
        <v>20000</v>
      </c>
      <c r="J268" s="2"/>
    </row>
    <row r="269" spans="1:10" x14ac:dyDescent="0.2">
      <c r="A269" s="1">
        <v>36970</v>
      </c>
      <c r="B269" s="6">
        <f>-141346-106627+13755</f>
        <v>-234218</v>
      </c>
      <c r="C269" s="6">
        <f>50000-32055</f>
        <v>17945</v>
      </c>
      <c r="D269" s="6">
        <f>60000+40453</f>
        <v>100453</v>
      </c>
      <c r="E269" s="6">
        <v>0</v>
      </c>
      <c r="F269" s="6">
        <f>30000</f>
        <v>30000</v>
      </c>
      <c r="G269" s="6">
        <v>84854</v>
      </c>
      <c r="H269" s="4">
        <v>0</v>
      </c>
      <c r="I269" s="4">
        <v>0</v>
      </c>
      <c r="J269" s="2"/>
    </row>
    <row r="270" spans="1:10" x14ac:dyDescent="0.2">
      <c r="A270" s="1">
        <v>36971</v>
      </c>
      <c r="B270" s="6">
        <f>-160426-100013+31336</f>
        <v>-229103</v>
      </c>
      <c r="C270" s="6">
        <f>222</f>
        <v>222</v>
      </c>
      <c r="D270" s="6">
        <f>60000</f>
        <v>60000</v>
      </c>
      <c r="E270" s="6">
        <v>0</v>
      </c>
      <c r="F270" s="6">
        <f>30000-18379</f>
        <v>11621</v>
      </c>
      <c r="G270" s="6">
        <v>0</v>
      </c>
      <c r="H270" s="4">
        <v>0</v>
      </c>
      <c r="I270" s="4">
        <v>0</v>
      </c>
      <c r="J270" s="2"/>
    </row>
    <row r="271" spans="1:10" x14ac:dyDescent="0.2">
      <c r="A271" s="1">
        <v>36972</v>
      </c>
      <c r="B271" s="6">
        <f>-142371-107302+4451</f>
        <v>-245222</v>
      </c>
      <c r="C271" s="6">
        <v>0</v>
      </c>
      <c r="D271" s="6">
        <f>60000</f>
        <v>60000</v>
      </c>
      <c r="E271" s="6">
        <v>0</v>
      </c>
      <c r="F271" s="6">
        <f>30000-26619</f>
        <v>3381</v>
      </c>
      <c r="G271" s="6">
        <v>0</v>
      </c>
      <c r="H271" s="4">
        <v>0</v>
      </c>
      <c r="I271" s="4">
        <v>0</v>
      </c>
      <c r="J271" s="2"/>
    </row>
    <row r="272" spans="1:10" x14ac:dyDescent="0.2">
      <c r="A272" s="1">
        <v>36973</v>
      </c>
      <c r="B272" s="6">
        <f>-113382-121898+38321</f>
        <v>-196959</v>
      </c>
      <c r="C272" s="6">
        <v>13</v>
      </c>
      <c r="D272" s="6">
        <f>60000-43990</f>
        <v>16010</v>
      </c>
      <c r="E272" s="6">
        <v>0</v>
      </c>
      <c r="F272" s="6">
        <v>30000</v>
      </c>
      <c r="G272" s="6">
        <v>0</v>
      </c>
      <c r="H272" s="4">
        <v>0</v>
      </c>
      <c r="I272" s="4">
        <v>0</v>
      </c>
      <c r="J272" s="2"/>
    </row>
    <row r="273" spans="1:10" x14ac:dyDescent="0.2">
      <c r="A273" s="1">
        <v>36974</v>
      </c>
      <c r="B273" s="6">
        <f>-81048-111062+10451</f>
        <v>-181659</v>
      </c>
      <c r="C273" s="6">
        <f>40000-187</f>
        <v>39813</v>
      </c>
      <c r="D273" s="6">
        <f>60000+30781</f>
        <v>90781</v>
      </c>
      <c r="E273" s="6">
        <v>30000</v>
      </c>
      <c r="F273" s="6">
        <v>30000</v>
      </c>
      <c r="G273" s="6">
        <v>84854</v>
      </c>
      <c r="H273" s="4">
        <v>0</v>
      </c>
      <c r="I273" s="4">
        <v>0</v>
      </c>
      <c r="J273" s="2"/>
    </row>
    <row r="274" spans="1:10" x14ac:dyDescent="0.2">
      <c r="A274" s="1">
        <v>36975</v>
      </c>
      <c r="B274" s="6">
        <f>-13089-111062+10451</f>
        <v>-113700</v>
      </c>
      <c r="C274" s="6">
        <f>55000+15175</f>
        <v>70175</v>
      </c>
      <c r="D274" s="6">
        <f>60000+56134</f>
        <v>116134</v>
      </c>
      <c r="E274" s="6">
        <v>65000</v>
      </c>
      <c r="F274" s="6">
        <v>60000</v>
      </c>
      <c r="G274" s="6">
        <v>84854</v>
      </c>
      <c r="H274" s="4">
        <v>0</v>
      </c>
      <c r="I274" s="4">
        <v>0</v>
      </c>
      <c r="J274" s="2"/>
    </row>
    <row r="275" spans="1:10" x14ac:dyDescent="0.2">
      <c r="A275" s="1">
        <v>36976</v>
      </c>
      <c r="B275" s="6">
        <f>42841-111062+10451</f>
        <v>-57770</v>
      </c>
      <c r="C275" s="6">
        <f>65000+25245</f>
        <v>90245</v>
      </c>
      <c r="D275" s="6">
        <f>60000-49647</f>
        <v>10353</v>
      </c>
      <c r="E275" s="6">
        <v>65000</v>
      </c>
      <c r="F275" s="6">
        <v>60000</v>
      </c>
      <c r="G275" s="6">
        <v>47976</v>
      </c>
      <c r="H275" s="4">
        <v>0</v>
      </c>
      <c r="I275" s="4">
        <v>0</v>
      </c>
      <c r="J275" s="2"/>
    </row>
    <row r="276" spans="1:10" x14ac:dyDescent="0.2">
      <c r="A276" s="1">
        <v>36977</v>
      </c>
      <c r="B276" s="6">
        <f>-58109-111329+16080</f>
        <v>-153358</v>
      </c>
      <c r="C276" s="6">
        <f>-41</f>
        <v>-41</v>
      </c>
      <c r="D276" s="6">
        <f>60000-12037</f>
        <v>47963</v>
      </c>
      <c r="E276" s="6">
        <v>0</v>
      </c>
      <c r="F276" s="6">
        <v>0</v>
      </c>
      <c r="G276" s="6">
        <v>0</v>
      </c>
      <c r="H276" s="4">
        <v>0</v>
      </c>
      <c r="I276" s="4">
        <v>20000</v>
      </c>
      <c r="J276" s="2"/>
    </row>
    <row r="277" spans="1:10" x14ac:dyDescent="0.2">
      <c r="A277" s="1">
        <v>36978</v>
      </c>
      <c r="B277" s="6">
        <f>-166335-116329+32628</f>
        <v>-250036</v>
      </c>
      <c r="C277" s="6">
        <f>-814</f>
        <v>-814</v>
      </c>
      <c r="D277" s="6">
        <f>60000-59330</f>
        <v>670</v>
      </c>
      <c r="E277" s="6">
        <v>0</v>
      </c>
      <c r="F277" s="6">
        <v>0</v>
      </c>
      <c r="G277" s="6">
        <v>0</v>
      </c>
      <c r="H277" s="4">
        <v>814</v>
      </c>
      <c r="I277" s="4">
        <v>20000</v>
      </c>
      <c r="J277" s="2"/>
    </row>
    <row r="278" spans="1:10" x14ac:dyDescent="0.2">
      <c r="A278" s="1">
        <v>36979</v>
      </c>
      <c r="B278" s="6">
        <f>-148328-120729+25653</f>
        <v>-243404</v>
      </c>
      <c r="C278" s="6">
        <v>0</v>
      </c>
      <c r="D278" s="6">
        <f>60000-3575</f>
        <v>56425</v>
      </c>
      <c r="E278" s="6">
        <v>0</v>
      </c>
      <c r="F278" s="6">
        <v>0</v>
      </c>
      <c r="G278" s="6">
        <v>0</v>
      </c>
      <c r="H278" s="4">
        <v>0</v>
      </c>
      <c r="I278" s="4">
        <v>0</v>
      </c>
      <c r="J278" s="2"/>
    </row>
    <row r="279" spans="1:10" x14ac:dyDescent="0.2">
      <c r="A279" s="1">
        <v>36980</v>
      </c>
      <c r="B279" s="6">
        <f>-102962-110329+22491</f>
        <v>-190800</v>
      </c>
      <c r="C279" s="6">
        <v>0</v>
      </c>
      <c r="D279" s="6">
        <f>60000-55371</f>
        <v>4629</v>
      </c>
      <c r="E279" s="6">
        <v>0</v>
      </c>
      <c r="F279" s="6">
        <v>0</v>
      </c>
      <c r="G279" s="6">
        <v>0</v>
      </c>
      <c r="H279" s="4">
        <v>0</v>
      </c>
      <c r="I279" s="4">
        <v>0</v>
      </c>
      <c r="J279" s="2"/>
    </row>
    <row r="280" spans="1:10" x14ac:dyDescent="0.2">
      <c r="A280" s="1">
        <v>36981</v>
      </c>
      <c r="B280" s="6">
        <f>-86264-106470+10324</f>
        <v>-182410</v>
      </c>
      <c r="C280" s="6">
        <v>0</v>
      </c>
      <c r="D280" s="6">
        <v>60000</v>
      </c>
      <c r="E280" s="6">
        <v>0</v>
      </c>
      <c r="F280" s="6">
        <v>0</v>
      </c>
      <c r="G280" s="6">
        <v>0</v>
      </c>
      <c r="H280" s="4">
        <v>0</v>
      </c>
      <c r="I280" s="4">
        <v>0</v>
      </c>
      <c r="J280" s="2"/>
    </row>
    <row r="281" spans="1:10" x14ac:dyDescent="0.2">
      <c r="A281" s="1">
        <v>36982</v>
      </c>
      <c r="B281" s="6">
        <f>-75070-98793+776</f>
        <v>-173087</v>
      </c>
      <c r="C281" s="6">
        <f>-39000</f>
        <v>-39000</v>
      </c>
      <c r="D281" s="6">
        <f>25000+32596</f>
        <v>57596</v>
      </c>
      <c r="E281" s="6">
        <v>0</v>
      </c>
      <c r="F281" s="6">
        <v>0</v>
      </c>
      <c r="G281" s="6">
        <v>0</v>
      </c>
      <c r="H281" s="4">
        <v>0</v>
      </c>
      <c r="I281" s="4">
        <v>20000</v>
      </c>
      <c r="J281" s="2"/>
    </row>
    <row r="282" spans="1:10" x14ac:dyDescent="0.2">
      <c r="A282" s="1">
        <v>36983</v>
      </c>
      <c r="B282" s="6">
        <f>-96541-98792+776</f>
        <v>-194557</v>
      </c>
      <c r="C282" s="6">
        <f>-39000</f>
        <v>-39000</v>
      </c>
      <c r="D282" s="6">
        <f>25000+37475</f>
        <v>62475</v>
      </c>
      <c r="E282" s="6">
        <v>0</v>
      </c>
      <c r="F282" s="6">
        <v>0</v>
      </c>
      <c r="G282" s="6">
        <v>0</v>
      </c>
      <c r="H282" s="4">
        <v>0</v>
      </c>
      <c r="I282" s="4">
        <v>20000</v>
      </c>
      <c r="J282" s="2"/>
    </row>
    <row r="283" spans="1:10" x14ac:dyDescent="0.2">
      <c r="A283" s="1">
        <v>36984</v>
      </c>
      <c r="B283" s="6">
        <f>-83047-111417</f>
        <v>-194464</v>
      </c>
      <c r="C283" s="6">
        <f>-39000</f>
        <v>-39000</v>
      </c>
      <c r="D283" s="6">
        <f>170000</f>
        <v>170000</v>
      </c>
      <c r="E283" s="6">
        <v>0</v>
      </c>
      <c r="F283" s="6">
        <f>12181</f>
        <v>12181</v>
      </c>
      <c r="G283" s="6">
        <v>0</v>
      </c>
      <c r="H283" s="4">
        <v>0</v>
      </c>
      <c r="I283" s="4">
        <v>0</v>
      </c>
      <c r="J283" s="2"/>
    </row>
    <row r="284" spans="1:10" x14ac:dyDescent="0.2">
      <c r="A284" s="1">
        <v>36985</v>
      </c>
      <c r="B284" s="6">
        <f>-148735-79006+13015</f>
        <v>-214726</v>
      </c>
      <c r="C284" s="6">
        <f>-41145</f>
        <v>-41145</v>
      </c>
      <c r="D284" s="6">
        <f>170000</f>
        <v>170000</v>
      </c>
      <c r="E284" s="6">
        <v>-7492</v>
      </c>
      <c r="F284" s="6">
        <v>0</v>
      </c>
      <c r="G284" s="6">
        <v>0</v>
      </c>
      <c r="H284" s="4">
        <v>0</v>
      </c>
      <c r="I284" s="4">
        <v>20000</v>
      </c>
      <c r="J284" s="2"/>
    </row>
    <row r="285" spans="1:10" x14ac:dyDescent="0.2">
      <c r="A285" s="1">
        <v>36986</v>
      </c>
      <c r="B285" s="6">
        <f>-126914-79006+15000</f>
        <v>-190920</v>
      </c>
      <c r="C285" s="6">
        <f>-41145</f>
        <v>-41145</v>
      </c>
      <c r="D285" s="6">
        <f>25000</f>
        <v>25000</v>
      </c>
      <c r="E285" s="6">
        <f>-21771</f>
        <v>-21771</v>
      </c>
      <c r="F285" s="6">
        <v>0</v>
      </c>
      <c r="G285" s="6">
        <v>0</v>
      </c>
      <c r="H285" s="4">
        <v>0</v>
      </c>
      <c r="I285" s="4">
        <v>0</v>
      </c>
      <c r="J285" s="2"/>
    </row>
    <row r="286" spans="1:10" x14ac:dyDescent="0.2">
      <c r="A286" s="1">
        <v>36987</v>
      </c>
      <c r="B286" s="6">
        <f>-184127-104006+25653</f>
        <v>-262480</v>
      </c>
      <c r="C286" s="6">
        <f>-41145</f>
        <v>-41145</v>
      </c>
      <c r="D286" s="6">
        <f>25000+9247</f>
        <v>34247</v>
      </c>
      <c r="E286" s="6">
        <v>0</v>
      </c>
      <c r="F286" s="6">
        <v>0</v>
      </c>
      <c r="G286" s="6">
        <v>0</v>
      </c>
      <c r="H286" s="4">
        <v>0</v>
      </c>
      <c r="I286" s="4">
        <v>0</v>
      </c>
      <c r="J286" s="2"/>
    </row>
    <row r="287" spans="1:10" x14ac:dyDescent="0.2">
      <c r="A287" s="1">
        <v>36988</v>
      </c>
      <c r="B287" s="6">
        <f>-71497-108883+5000</f>
        <v>-175380</v>
      </c>
      <c r="C287" s="6">
        <f>-41146</f>
        <v>-41146</v>
      </c>
      <c r="D287" s="6">
        <f>25000</f>
        <v>25000</v>
      </c>
      <c r="E287" s="6">
        <f>-26139</f>
        <v>-26139</v>
      </c>
      <c r="F287" s="6">
        <v>0</v>
      </c>
      <c r="G287" s="6">
        <v>0</v>
      </c>
      <c r="H287" s="4">
        <v>0</v>
      </c>
      <c r="I287" s="4">
        <v>0</v>
      </c>
      <c r="J287" s="2"/>
    </row>
    <row r="288" spans="1:10" x14ac:dyDescent="0.2">
      <c r="A288" s="1">
        <v>36989</v>
      </c>
      <c r="B288" s="6">
        <f>-49487-108883+5000</f>
        <v>-153370</v>
      </c>
      <c r="C288" s="6">
        <f>-41146</f>
        <v>-41146</v>
      </c>
      <c r="D288" s="6">
        <f>25000</f>
        <v>25000</v>
      </c>
      <c r="E288" s="6">
        <f>-2967</f>
        <v>-2967</v>
      </c>
      <c r="F288" s="6">
        <v>0</v>
      </c>
      <c r="G288" s="6">
        <v>0</v>
      </c>
      <c r="H288" s="4">
        <v>0</v>
      </c>
      <c r="I288" s="4">
        <v>0</v>
      </c>
      <c r="J288" s="2"/>
    </row>
    <row r="289" spans="1:10" x14ac:dyDescent="0.2">
      <c r="A289" s="1">
        <v>36990</v>
      </c>
      <c r="B289" s="6">
        <f>-20097-108883+5000</f>
        <v>-123980</v>
      </c>
      <c r="C289" s="6">
        <f>-11146</f>
        <v>-11146</v>
      </c>
      <c r="D289" s="6">
        <f>25000+76600</f>
        <v>101600</v>
      </c>
      <c r="E289" s="6">
        <v>0</v>
      </c>
      <c r="F289" s="6">
        <v>22271</v>
      </c>
      <c r="G289" s="6">
        <v>0</v>
      </c>
      <c r="H289" s="4">
        <v>0</v>
      </c>
      <c r="I289" s="4">
        <v>0</v>
      </c>
      <c r="J289" s="2"/>
    </row>
    <row r="290" spans="1:10" x14ac:dyDescent="0.2">
      <c r="A290" s="1">
        <v>36991</v>
      </c>
      <c r="B290" s="6">
        <f>-22192-88883+6852</f>
        <v>-104223</v>
      </c>
      <c r="C290" s="6">
        <f>0</f>
        <v>0</v>
      </c>
      <c r="D290" s="6">
        <f>25000+54348</f>
        <v>79348</v>
      </c>
      <c r="E290" s="6">
        <v>0</v>
      </c>
      <c r="F290" s="6">
        <v>0</v>
      </c>
      <c r="G290" s="6">
        <v>0</v>
      </c>
      <c r="H290" s="4">
        <v>0</v>
      </c>
      <c r="I290" s="4">
        <v>0</v>
      </c>
      <c r="J290" s="2"/>
    </row>
    <row r="291" spans="1:10" x14ac:dyDescent="0.2">
      <c r="A291" s="1">
        <v>36992</v>
      </c>
      <c r="B291" s="6">
        <f>-98870-89009</f>
        <v>-187879</v>
      </c>
      <c r="C291" s="6">
        <f>-41560</f>
        <v>-41560</v>
      </c>
      <c r="D291" s="6">
        <v>25000</v>
      </c>
      <c r="E291" s="6">
        <v>-21422</v>
      </c>
      <c r="F291" s="6">
        <v>0</v>
      </c>
      <c r="G291" s="6">
        <v>0</v>
      </c>
      <c r="H291" s="4">
        <v>0</v>
      </c>
      <c r="I291" s="4">
        <v>0</v>
      </c>
      <c r="J291" s="2"/>
    </row>
    <row r="292" spans="1:10" x14ac:dyDescent="0.2">
      <c r="A292" s="1">
        <v>36993</v>
      </c>
      <c r="B292" s="6">
        <f>-110182-90148+5000</f>
        <v>-195330</v>
      </c>
      <c r="C292" s="6">
        <f>-34771</f>
        <v>-34771</v>
      </c>
      <c r="D292" s="6">
        <f>25000-3721</f>
        <v>21279</v>
      </c>
      <c r="E292" s="6">
        <v>-4633</v>
      </c>
      <c r="F292" s="6">
        <v>-21022</v>
      </c>
      <c r="G292" s="6">
        <v>0</v>
      </c>
      <c r="H292" s="4">
        <v>0</v>
      </c>
      <c r="I292" s="4">
        <v>0</v>
      </c>
      <c r="J292" s="2"/>
    </row>
    <row r="293" spans="1:10" x14ac:dyDescent="0.2">
      <c r="A293" s="1">
        <v>36994</v>
      </c>
      <c r="B293" s="6">
        <f>-99091-162299</f>
        <v>-261390</v>
      </c>
      <c r="C293" s="6">
        <f>-24988</f>
        <v>-24988</v>
      </c>
      <c r="D293" s="6">
        <f>25000-34699</f>
        <v>-9699</v>
      </c>
      <c r="E293" s="6">
        <v>-19633</v>
      </c>
      <c r="F293" s="6">
        <v>-20944</v>
      </c>
      <c r="G293" s="6">
        <v>0</v>
      </c>
      <c r="H293" s="4">
        <v>0</v>
      </c>
      <c r="I293" s="4">
        <v>0</v>
      </c>
      <c r="J293" s="2"/>
    </row>
    <row r="294" spans="1:10" x14ac:dyDescent="0.2">
      <c r="A294" s="1">
        <v>36995</v>
      </c>
      <c r="B294" s="6">
        <f>-114522-162299</f>
        <v>-276821</v>
      </c>
      <c r="C294" s="6">
        <f>-40000</f>
        <v>-40000</v>
      </c>
      <c r="D294" s="6">
        <f>25000-28149</f>
        <v>-3149</v>
      </c>
      <c r="E294" s="6">
        <v>-19633</v>
      </c>
      <c r="F294" s="6">
        <v>-20944</v>
      </c>
      <c r="G294" s="6">
        <v>0</v>
      </c>
      <c r="H294" s="4">
        <v>0</v>
      </c>
      <c r="I294" s="4">
        <v>0</v>
      </c>
      <c r="J294" s="2"/>
    </row>
    <row r="295" spans="1:10" x14ac:dyDescent="0.2">
      <c r="A295" s="1">
        <v>36996</v>
      </c>
      <c r="B295" s="6">
        <f>104951-162299</f>
        <v>-57348</v>
      </c>
      <c r="C295" s="6">
        <f>-39924</f>
        <v>-39924</v>
      </c>
      <c r="D295" s="6">
        <f>25000</f>
        <v>25000</v>
      </c>
      <c r="E295" s="6">
        <v>0</v>
      </c>
      <c r="F295" s="6">
        <v>0</v>
      </c>
      <c r="G295" s="6">
        <v>0</v>
      </c>
      <c r="H295" s="4">
        <v>0</v>
      </c>
      <c r="I295" s="4">
        <v>0</v>
      </c>
      <c r="J295" s="2"/>
    </row>
    <row r="296" spans="1:10" x14ac:dyDescent="0.2">
      <c r="A296" s="1">
        <v>36997</v>
      </c>
      <c r="B296" s="6">
        <f>34739-162299</f>
        <v>-127560</v>
      </c>
      <c r="C296" s="6">
        <f>-13316</f>
        <v>-13316</v>
      </c>
      <c r="D296" s="6">
        <f>25000</f>
        <v>25000</v>
      </c>
      <c r="E296" s="6">
        <v>0</v>
      </c>
      <c r="F296" s="6">
        <v>0</v>
      </c>
      <c r="G296" s="6">
        <v>0</v>
      </c>
      <c r="H296" s="4">
        <v>0</v>
      </c>
      <c r="I296" s="4">
        <v>0</v>
      </c>
      <c r="J296" s="2"/>
    </row>
    <row r="297" spans="1:10" x14ac:dyDescent="0.2">
      <c r="A297" s="1">
        <v>36998</v>
      </c>
      <c r="B297" s="6">
        <f>-101702-85098</f>
        <v>-186800</v>
      </c>
      <c r="C297" s="6">
        <f>8582</f>
        <v>8582</v>
      </c>
      <c r="D297" s="6">
        <f>200000</f>
        <v>200000</v>
      </c>
      <c r="E297" s="6">
        <v>0</v>
      </c>
      <c r="F297" s="6">
        <v>0</v>
      </c>
      <c r="G297" s="6">
        <v>0</v>
      </c>
      <c r="H297" s="4">
        <v>0</v>
      </c>
      <c r="I297" s="4">
        <v>20000</v>
      </c>
      <c r="J297" s="2"/>
    </row>
    <row r="298" spans="1:10" x14ac:dyDescent="0.2">
      <c r="A298" s="1">
        <v>36999</v>
      </c>
      <c r="B298" s="6">
        <f>-106004-79006+28600</f>
        <v>-156410</v>
      </c>
      <c r="C298" s="6">
        <f>99</f>
        <v>99</v>
      </c>
      <c r="D298" s="6">
        <f>0</f>
        <v>0</v>
      </c>
      <c r="E298" s="6">
        <v>0</v>
      </c>
      <c r="F298" s="6">
        <v>0</v>
      </c>
      <c r="G298" s="6">
        <v>0</v>
      </c>
      <c r="H298" s="4">
        <v>0</v>
      </c>
      <c r="I298" s="4">
        <v>3000</v>
      </c>
      <c r="J298" s="2"/>
    </row>
    <row r="299" spans="1:10" x14ac:dyDescent="0.2">
      <c r="A299" s="1">
        <v>37000</v>
      </c>
      <c r="B299" s="6">
        <f>-87900-107676+15626</f>
        <v>-179950</v>
      </c>
      <c r="C299" s="6">
        <f>-40042</f>
        <v>-40042</v>
      </c>
      <c r="D299" s="6">
        <f>25000</f>
        <v>25000</v>
      </c>
      <c r="E299" s="6">
        <v>25000</v>
      </c>
      <c r="F299" s="6">
        <v>20000</v>
      </c>
      <c r="G299" s="6">
        <v>0</v>
      </c>
      <c r="H299" s="4">
        <v>0</v>
      </c>
      <c r="I299" s="4">
        <v>0</v>
      </c>
      <c r="J299" s="2"/>
    </row>
    <row r="300" spans="1:10" x14ac:dyDescent="0.2">
      <c r="A300" s="1">
        <v>37001</v>
      </c>
      <c r="B300" s="6">
        <f>-167164-88836+6000</f>
        <v>-250000</v>
      </c>
      <c r="C300" s="6">
        <f>-40000</f>
        <v>-40000</v>
      </c>
      <c r="D300" s="6">
        <f>25000</f>
        <v>25000</v>
      </c>
      <c r="E300" s="6">
        <v>25000</v>
      </c>
      <c r="F300" s="6">
        <v>20000</v>
      </c>
      <c r="G300" s="6">
        <v>0</v>
      </c>
      <c r="H300" s="4">
        <v>0</v>
      </c>
      <c r="I300" s="4">
        <v>0</v>
      </c>
      <c r="J300" s="2"/>
    </row>
    <row r="301" spans="1:10" x14ac:dyDescent="0.2">
      <c r="A301" s="1"/>
      <c r="B301" s="6"/>
      <c r="C301" s="6"/>
      <c r="D301" s="6"/>
      <c r="E301" s="6"/>
      <c r="F301" s="6"/>
      <c r="G301" s="6"/>
      <c r="J301" s="2"/>
    </row>
    <row r="302" spans="1:10" x14ac:dyDescent="0.2">
      <c r="A302" s="2" t="s">
        <v>6</v>
      </c>
      <c r="B302" s="5">
        <f>SUM(B4:B300)</f>
        <v>17637384</v>
      </c>
      <c r="C302" s="5">
        <f>SUM(C4:C300)</f>
        <v>-177059</v>
      </c>
      <c r="D302" s="5">
        <f t="shared" ref="D302:I302" si="2">SUM(D4:D300)</f>
        <v>2341008</v>
      </c>
      <c r="E302" s="5">
        <f t="shared" si="2"/>
        <v>-575557</v>
      </c>
      <c r="F302" s="5">
        <f t="shared" si="2"/>
        <v>288688</v>
      </c>
      <c r="G302" s="5">
        <f t="shared" si="2"/>
        <v>388870</v>
      </c>
      <c r="H302" s="5">
        <f t="shared" si="2"/>
        <v>40000</v>
      </c>
      <c r="I302" s="5">
        <f t="shared" si="2"/>
        <v>-101000</v>
      </c>
    </row>
    <row r="303" spans="1:10" x14ac:dyDescent="0.2">
      <c r="B303" t="s">
        <v>16</v>
      </c>
      <c r="C303" s="15"/>
      <c r="D303" s="15"/>
    </row>
    <row r="304" spans="1:10" x14ac:dyDescent="0.2">
      <c r="F304" t="s">
        <v>11</v>
      </c>
      <c r="H304">
        <v>110000</v>
      </c>
    </row>
    <row r="305" spans="1:8" x14ac:dyDescent="0.2">
      <c r="A305" s="2" t="s">
        <v>8</v>
      </c>
      <c r="H305">
        <v>107000</v>
      </c>
    </row>
    <row r="306" spans="1:8" x14ac:dyDescent="0.2">
      <c r="B306" s="3" t="s">
        <v>0</v>
      </c>
      <c r="C306" s="3" t="s">
        <v>1</v>
      </c>
      <c r="D306" s="3" t="s">
        <v>2</v>
      </c>
      <c r="E306" s="3" t="s">
        <v>15</v>
      </c>
      <c r="F306" s="3"/>
    </row>
    <row r="307" spans="1:8" x14ac:dyDescent="0.2">
      <c r="A307" s="1">
        <v>36705</v>
      </c>
      <c r="B307" s="4">
        <v>0</v>
      </c>
      <c r="C307" s="15">
        <f>-19845-100</f>
        <v>-19945</v>
      </c>
      <c r="D307" s="15">
        <v>-9646</v>
      </c>
      <c r="E307" s="15"/>
    </row>
    <row r="308" spans="1:8" x14ac:dyDescent="0.2">
      <c r="A308" s="1">
        <v>36706</v>
      </c>
      <c r="B308" s="4">
        <v>0</v>
      </c>
      <c r="C308" s="15">
        <f>-19845+4500</f>
        <v>-15345</v>
      </c>
      <c r="D308" s="15">
        <v>-9646</v>
      </c>
      <c r="E308" s="15"/>
    </row>
    <row r="309" spans="1:8" x14ac:dyDescent="0.2">
      <c r="A309" s="1">
        <v>36707</v>
      </c>
      <c r="B309" s="4">
        <v>0</v>
      </c>
      <c r="C309" s="15">
        <v>-19845</v>
      </c>
      <c r="D309" s="15">
        <v>-9646</v>
      </c>
      <c r="E309" s="15"/>
    </row>
    <row r="310" spans="1:8" x14ac:dyDescent="0.2">
      <c r="A310" s="1">
        <v>36708</v>
      </c>
      <c r="B310" s="4">
        <v>540</v>
      </c>
      <c r="C310" s="15">
        <f>-19845+1779</f>
        <v>-18066</v>
      </c>
      <c r="D310" s="15">
        <v>-9646</v>
      </c>
      <c r="E310" s="15"/>
      <c r="F310" s="4"/>
    </row>
    <row r="311" spans="1:8" x14ac:dyDescent="0.2">
      <c r="A311" s="1">
        <v>36709</v>
      </c>
      <c r="B311" s="4">
        <v>303</v>
      </c>
      <c r="C311" s="15">
        <f>-19845+447</f>
        <v>-19398</v>
      </c>
      <c r="D311" s="15">
        <v>-9646</v>
      </c>
      <c r="E311" s="15"/>
      <c r="F311" s="4"/>
    </row>
    <row r="312" spans="1:8" x14ac:dyDescent="0.2">
      <c r="A312" s="1">
        <v>36710</v>
      </c>
      <c r="B312" s="4">
        <v>3123</v>
      </c>
      <c r="C312" s="15">
        <f>-19845+338</f>
        <v>-19507</v>
      </c>
      <c r="D312" s="15">
        <v>-9646</v>
      </c>
      <c r="E312" s="15"/>
      <c r="F312" s="4"/>
    </row>
    <row r="313" spans="1:8" x14ac:dyDescent="0.2">
      <c r="A313" s="1">
        <v>36711</v>
      </c>
      <c r="B313" s="4">
        <v>4277</v>
      </c>
      <c r="C313" s="15">
        <f>-19845+361</f>
        <v>-19484</v>
      </c>
      <c r="D313" s="15">
        <v>-9646</v>
      </c>
      <c r="E313" s="15"/>
      <c r="F313" s="4"/>
    </row>
    <row r="314" spans="1:8" x14ac:dyDescent="0.2">
      <c r="A314" s="1">
        <v>36712</v>
      </c>
      <c r="B314" s="4">
        <v>11182</v>
      </c>
      <c r="C314" s="15">
        <f>-19845+512</f>
        <v>-19333</v>
      </c>
      <c r="D314" s="15">
        <v>-9646</v>
      </c>
      <c r="E314" s="15"/>
      <c r="F314" s="4"/>
    </row>
    <row r="315" spans="1:8" x14ac:dyDescent="0.2">
      <c r="A315" s="1">
        <v>36713</v>
      </c>
      <c r="B315" s="4">
        <v>4389</v>
      </c>
      <c r="C315" s="15">
        <f>-19845+248</f>
        <v>-19597</v>
      </c>
      <c r="D315" s="15">
        <v>-9646</v>
      </c>
      <c r="E315" s="15"/>
      <c r="F315" s="4"/>
    </row>
    <row r="316" spans="1:8" x14ac:dyDescent="0.2">
      <c r="A316" s="1">
        <v>36714</v>
      </c>
      <c r="B316" s="4">
        <v>212</v>
      </c>
      <c r="C316" s="15">
        <f>-19845+351</f>
        <v>-19494</v>
      </c>
      <c r="D316" s="15">
        <v>-9646</v>
      </c>
      <c r="E316" s="15"/>
      <c r="F316" s="4"/>
    </row>
    <row r="317" spans="1:8" x14ac:dyDescent="0.2">
      <c r="A317" s="1">
        <v>36715</v>
      </c>
      <c r="B317" s="4">
        <v>0</v>
      </c>
      <c r="C317" s="15">
        <f>-19845+359</f>
        <v>-19486</v>
      </c>
      <c r="D317" s="15">
        <f>-9646-124</f>
        <v>-9770</v>
      </c>
      <c r="E317" s="15"/>
      <c r="F317" s="4"/>
    </row>
    <row r="318" spans="1:8" x14ac:dyDescent="0.2">
      <c r="A318" s="1">
        <v>36716</v>
      </c>
      <c r="B318" s="4">
        <v>107</v>
      </c>
      <c r="C318" s="15">
        <f>-19845-963</f>
        <v>-20808</v>
      </c>
      <c r="D318" s="15">
        <v>-9646</v>
      </c>
      <c r="E318" s="15"/>
      <c r="F318" s="4"/>
    </row>
    <row r="319" spans="1:8" x14ac:dyDescent="0.2">
      <c r="A319" s="1">
        <v>36717</v>
      </c>
      <c r="B319" s="4">
        <v>612</v>
      </c>
      <c r="C319" s="15">
        <f>-19845+7510</f>
        <v>-12335</v>
      </c>
      <c r="D319" s="15">
        <v>-9646</v>
      </c>
      <c r="E319" s="15"/>
      <c r="F319" s="4"/>
    </row>
    <row r="320" spans="1:8" x14ac:dyDescent="0.2">
      <c r="A320" s="1">
        <v>36718</v>
      </c>
      <c r="B320" s="4">
        <v>426</v>
      </c>
      <c r="C320" s="15">
        <f>-19845-555</f>
        <v>-20400</v>
      </c>
      <c r="D320" s="15">
        <v>-9646</v>
      </c>
      <c r="E320" s="15"/>
      <c r="F320" s="4"/>
    </row>
    <row r="321" spans="1:6" x14ac:dyDescent="0.2">
      <c r="A321" s="1">
        <v>36719</v>
      </c>
      <c r="B321" s="4">
        <v>1631</v>
      </c>
      <c r="C321" s="15">
        <v>-19845</v>
      </c>
      <c r="D321" s="15">
        <v>-9646</v>
      </c>
      <c r="E321" s="15"/>
      <c r="F321" s="4"/>
    </row>
    <row r="322" spans="1:6" x14ac:dyDescent="0.2">
      <c r="A322" s="1">
        <v>36720</v>
      </c>
      <c r="B322" s="4">
        <v>1302</v>
      </c>
      <c r="C322" s="15">
        <f>-19845+507</f>
        <v>-19338</v>
      </c>
      <c r="D322" s="15">
        <v>-9646</v>
      </c>
      <c r="E322" s="15"/>
      <c r="F322" s="4"/>
    </row>
    <row r="323" spans="1:6" x14ac:dyDescent="0.2">
      <c r="A323" s="1">
        <v>36721</v>
      </c>
      <c r="B323" s="4">
        <v>0</v>
      </c>
      <c r="C323" s="15">
        <f>-19845-3155</f>
        <v>-23000</v>
      </c>
      <c r="D323" s="15">
        <v>-9646</v>
      </c>
      <c r="E323" s="15"/>
      <c r="F323" s="4"/>
    </row>
    <row r="324" spans="1:6" x14ac:dyDescent="0.2">
      <c r="A324" s="1">
        <v>36722</v>
      </c>
      <c r="B324" s="4">
        <v>159</v>
      </c>
      <c r="C324" s="15">
        <f>-19845-2190</f>
        <v>-22035</v>
      </c>
      <c r="D324" s="15">
        <f>-9646+67</f>
        <v>-9579</v>
      </c>
      <c r="E324" s="15"/>
      <c r="F324" s="4"/>
    </row>
    <row r="325" spans="1:6" x14ac:dyDescent="0.2">
      <c r="A325" s="1">
        <v>36723</v>
      </c>
      <c r="B325" s="4">
        <v>556</v>
      </c>
      <c r="C325" s="15">
        <f>-19845-2129</f>
        <v>-21974</v>
      </c>
      <c r="D325" s="15">
        <v>-9646</v>
      </c>
      <c r="E325" s="15"/>
      <c r="F325" s="4"/>
    </row>
    <row r="326" spans="1:6" x14ac:dyDescent="0.2">
      <c r="A326" s="1">
        <v>36724</v>
      </c>
      <c r="B326" s="4">
        <v>866</v>
      </c>
      <c r="C326" s="15">
        <v>-19845</v>
      </c>
      <c r="D326" s="15">
        <v>-9646</v>
      </c>
      <c r="E326" s="15"/>
      <c r="F326" s="4"/>
    </row>
    <row r="327" spans="1:6" x14ac:dyDescent="0.2">
      <c r="A327" s="1">
        <v>36725</v>
      </c>
      <c r="B327" s="4">
        <v>4660</v>
      </c>
      <c r="C327" s="15">
        <f>-19845+681</f>
        <v>-19164</v>
      </c>
      <c r="D327" s="15">
        <v>-9646</v>
      </c>
      <c r="E327" s="15"/>
      <c r="F327" s="4"/>
    </row>
    <row r="328" spans="1:6" x14ac:dyDescent="0.2">
      <c r="A328" s="1">
        <v>36726</v>
      </c>
      <c r="B328" s="4">
        <v>1112</v>
      </c>
      <c r="C328" s="15">
        <f>-19845+2479</f>
        <v>-17366</v>
      </c>
      <c r="D328" s="15">
        <v>-9646</v>
      </c>
      <c r="E328" s="15"/>
      <c r="F328" s="4"/>
    </row>
    <row r="329" spans="1:6" x14ac:dyDescent="0.2">
      <c r="A329" s="1">
        <v>36727</v>
      </c>
      <c r="B329" s="4">
        <v>4442</v>
      </c>
      <c r="C329" s="15">
        <f>-19845+70</f>
        <v>-19775</v>
      </c>
      <c r="D329" s="15">
        <v>-9646</v>
      </c>
      <c r="E329" s="15"/>
      <c r="F329" s="4"/>
    </row>
    <row r="330" spans="1:6" x14ac:dyDescent="0.2">
      <c r="A330" s="1">
        <v>36728</v>
      </c>
      <c r="B330" s="4">
        <v>1881</v>
      </c>
      <c r="C330" s="15">
        <f>-19845-1908</f>
        <v>-21753</v>
      </c>
      <c r="D330" s="15">
        <v>-9646</v>
      </c>
      <c r="E330" s="15"/>
      <c r="F330" s="4"/>
    </row>
    <row r="331" spans="1:6" x14ac:dyDescent="0.2">
      <c r="A331" s="1">
        <v>36729</v>
      </c>
      <c r="B331" s="4">
        <v>1645</v>
      </c>
      <c r="C331" s="15">
        <f>-19845-3887</f>
        <v>-23732</v>
      </c>
      <c r="D331" s="15">
        <v>-9646</v>
      </c>
      <c r="E331" s="15"/>
      <c r="F331" s="4"/>
    </row>
    <row r="332" spans="1:6" x14ac:dyDescent="0.2">
      <c r="A332" s="1">
        <v>36730</v>
      </c>
      <c r="B332" s="4">
        <v>1765</v>
      </c>
      <c r="C332" s="15">
        <f>-19845-1847</f>
        <v>-21692</v>
      </c>
      <c r="D332" s="15">
        <v>-9646</v>
      </c>
      <c r="E332" s="15"/>
      <c r="F332" s="4"/>
    </row>
    <row r="333" spans="1:6" x14ac:dyDescent="0.2">
      <c r="A333" s="1">
        <v>36731</v>
      </c>
      <c r="B333" s="4">
        <v>1983</v>
      </c>
      <c r="C333" s="15">
        <f>-19845+1983</f>
        <v>-17862</v>
      </c>
      <c r="D333" s="15">
        <v>-9646</v>
      </c>
      <c r="E333" s="15"/>
      <c r="F333" s="4"/>
    </row>
    <row r="334" spans="1:6" x14ac:dyDescent="0.2">
      <c r="A334" s="1">
        <v>36732</v>
      </c>
      <c r="B334" s="4">
        <v>329</v>
      </c>
      <c r="C334" s="15">
        <f>-19845+1641</f>
        <v>-18204</v>
      </c>
      <c r="D334" s="15">
        <v>-9646</v>
      </c>
      <c r="E334" s="15"/>
      <c r="F334" s="4"/>
    </row>
    <row r="335" spans="1:6" x14ac:dyDescent="0.2">
      <c r="A335" s="1">
        <v>36733</v>
      </c>
      <c r="B335" s="4">
        <v>378</v>
      </c>
      <c r="C335" s="15">
        <f>-19845+3294</f>
        <v>-16551</v>
      </c>
      <c r="D335" s="15">
        <v>-9646</v>
      </c>
      <c r="E335" s="15"/>
      <c r="F335" s="4"/>
    </row>
    <row r="336" spans="1:6" x14ac:dyDescent="0.2">
      <c r="A336" s="1">
        <v>36734</v>
      </c>
      <c r="B336" s="4">
        <v>0</v>
      </c>
      <c r="C336" s="15">
        <f>-19845+739</f>
        <v>-19106</v>
      </c>
      <c r="D336" s="15">
        <f>-9646+333</f>
        <v>-9313</v>
      </c>
      <c r="E336" s="15"/>
      <c r="F336" s="4"/>
    </row>
    <row r="337" spans="1:6" x14ac:dyDescent="0.2">
      <c r="A337" s="1">
        <v>36735</v>
      </c>
      <c r="B337" s="4">
        <v>0</v>
      </c>
      <c r="C337" s="15">
        <f>-19845+1710</f>
        <v>-18135</v>
      </c>
      <c r="D337" s="15">
        <v>-9646</v>
      </c>
      <c r="E337" s="15"/>
      <c r="F337" s="4"/>
    </row>
    <row r="338" spans="1:6" x14ac:dyDescent="0.2">
      <c r="A338" s="1">
        <v>36736</v>
      </c>
      <c r="B338" s="4">
        <v>0</v>
      </c>
      <c r="C338" s="15">
        <f>-19845+361</f>
        <v>-19484</v>
      </c>
      <c r="D338" s="15">
        <v>-9646</v>
      </c>
      <c r="E338" s="15"/>
      <c r="F338" s="4"/>
    </row>
    <row r="339" spans="1:6" x14ac:dyDescent="0.2">
      <c r="A339" s="1">
        <v>36737</v>
      </c>
      <c r="B339" s="4">
        <v>0</v>
      </c>
      <c r="C339" s="15">
        <v>-19845</v>
      </c>
      <c r="D339" s="15">
        <v>-9646</v>
      </c>
      <c r="E339" s="15"/>
      <c r="F339" s="4"/>
    </row>
    <row r="340" spans="1:6" x14ac:dyDescent="0.2">
      <c r="A340" s="1">
        <v>36738</v>
      </c>
      <c r="B340" s="4">
        <v>0</v>
      </c>
      <c r="C340" s="15">
        <v>-19845</v>
      </c>
      <c r="D340" s="15">
        <v>-9646</v>
      </c>
      <c r="E340" s="15"/>
      <c r="F340" s="4"/>
    </row>
    <row r="341" spans="1:6" x14ac:dyDescent="0.2">
      <c r="A341" s="1">
        <v>36739</v>
      </c>
      <c r="B341" s="4">
        <v>1602</v>
      </c>
      <c r="C341" s="15">
        <f>-20000-83</f>
        <v>-20083</v>
      </c>
      <c r="D341" s="15">
        <f>-13504+1602</f>
        <v>-11902</v>
      </c>
      <c r="E341" s="15"/>
      <c r="F341" s="4"/>
    </row>
    <row r="342" spans="1:6" x14ac:dyDescent="0.2">
      <c r="A342" s="1">
        <v>36740</v>
      </c>
      <c r="B342" s="4">
        <v>2751</v>
      </c>
      <c r="C342" s="15">
        <f>-20000+91</f>
        <v>-19909</v>
      </c>
      <c r="D342" s="15">
        <f>-13504+2751</f>
        <v>-10753</v>
      </c>
      <c r="E342" s="15"/>
      <c r="F342" s="4"/>
    </row>
    <row r="343" spans="1:6" x14ac:dyDescent="0.2">
      <c r="A343" s="1">
        <v>36741</v>
      </c>
      <c r="B343" s="4">
        <v>4634</v>
      </c>
      <c r="C343" s="15">
        <f>-20000+89</f>
        <v>-19911</v>
      </c>
      <c r="D343" s="15">
        <f>-13504+4634</f>
        <v>-8870</v>
      </c>
      <c r="E343" s="15"/>
      <c r="F343" s="4"/>
    </row>
    <row r="344" spans="1:6" x14ac:dyDescent="0.2">
      <c r="A344" s="1">
        <v>36742</v>
      </c>
      <c r="B344" s="4">
        <v>933</v>
      </c>
      <c r="C344" s="15">
        <f>-20000-1103</f>
        <v>-21103</v>
      </c>
      <c r="D344" s="15">
        <f>-13504+933</f>
        <v>-12571</v>
      </c>
      <c r="E344" s="15"/>
      <c r="F344" s="4"/>
    </row>
    <row r="345" spans="1:6" x14ac:dyDescent="0.2">
      <c r="A345" s="1">
        <v>36743</v>
      </c>
      <c r="B345" s="4">
        <v>63</v>
      </c>
      <c r="C345" s="15">
        <f>-20000-3391</f>
        <v>-23391</v>
      </c>
      <c r="D345" s="15">
        <f>-13504+63</f>
        <v>-13441</v>
      </c>
      <c r="E345" s="15"/>
      <c r="F345" s="4"/>
    </row>
    <row r="346" spans="1:6" x14ac:dyDescent="0.2">
      <c r="A346" s="1">
        <v>36744</v>
      </c>
      <c r="B346" s="4">
        <v>0</v>
      </c>
      <c r="C346" s="15">
        <f>-20000-3429</f>
        <v>-23429</v>
      </c>
      <c r="D346" s="15">
        <v>-13504</v>
      </c>
      <c r="E346" s="15"/>
      <c r="F346" s="4"/>
    </row>
    <row r="347" spans="1:6" x14ac:dyDescent="0.2">
      <c r="A347" s="1">
        <v>36745</v>
      </c>
      <c r="B347" s="4">
        <v>3128</v>
      </c>
      <c r="C347" s="15">
        <f>-20000+17</f>
        <v>-19983</v>
      </c>
      <c r="D347" s="15">
        <f>-13504+3128</f>
        <v>-10376</v>
      </c>
      <c r="E347" s="15"/>
      <c r="F347" s="4"/>
    </row>
    <row r="348" spans="1:6" x14ac:dyDescent="0.2">
      <c r="A348" s="1">
        <v>36746</v>
      </c>
      <c r="B348" s="4">
        <v>3853</v>
      </c>
      <c r="C348" s="15">
        <f>-20000+18</f>
        <v>-19982</v>
      </c>
      <c r="D348" s="15">
        <f>-13504+3853</f>
        <v>-9651</v>
      </c>
      <c r="E348" s="15"/>
      <c r="F348" s="4"/>
    </row>
    <row r="349" spans="1:6" x14ac:dyDescent="0.2">
      <c r="A349" s="1">
        <v>36747</v>
      </c>
      <c r="B349" s="4">
        <v>4417</v>
      </c>
      <c r="C349" s="15">
        <f>-20000+75</f>
        <v>-19925</v>
      </c>
      <c r="D349" s="15">
        <f>-13504+4417</f>
        <v>-9087</v>
      </c>
      <c r="E349" s="15"/>
      <c r="F349" s="4"/>
    </row>
    <row r="350" spans="1:6" x14ac:dyDescent="0.2">
      <c r="A350" s="1">
        <v>36748</v>
      </c>
      <c r="B350" s="4">
        <v>3582</v>
      </c>
      <c r="C350" s="15">
        <f>-20000+209</f>
        <v>-19791</v>
      </c>
      <c r="D350" s="15">
        <f>-13504+3582</f>
        <v>-9922</v>
      </c>
      <c r="E350" s="15"/>
      <c r="F350" s="4"/>
    </row>
    <row r="351" spans="1:6" x14ac:dyDescent="0.2">
      <c r="A351" s="1">
        <v>36749</v>
      </c>
      <c r="B351" s="4">
        <v>1232</v>
      </c>
      <c r="C351" s="15">
        <f>-20000+74</f>
        <v>-19926</v>
      </c>
      <c r="D351" s="15">
        <f>-13504+517</f>
        <v>-12987</v>
      </c>
      <c r="E351" s="15"/>
      <c r="F351" s="4"/>
    </row>
    <row r="352" spans="1:6" x14ac:dyDescent="0.2">
      <c r="A352" s="1">
        <v>36750</v>
      </c>
      <c r="B352" s="4">
        <v>517</v>
      </c>
      <c r="C352" s="15">
        <f>-20000-1973</f>
        <v>-21973</v>
      </c>
      <c r="D352" s="15">
        <v>-13504</v>
      </c>
      <c r="E352" s="15"/>
      <c r="F352" s="4"/>
    </row>
    <row r="353" spans="1:6" x14ac:dyDescent="0.2">
      <c r="A353" s="1">
        <v>36751</v>
      </c>
      <c r="B353" s="4">
        <v>0</v>
      </c>
      <c r="C353" s="15">
        <f>-20000-68</f>
        <v>-20068</v>
      </c>
      <c r="D353" s="15">
        <v>-13504</v>
      </c>
      <c r="E353" s="15"/>
      <c r="F353" s="4"/>
    </row>
    <row r="354" spans="1:6" x14ac:dyDescent="0.2">
      <c r="A354" s="1">
        <v>36752</v>
      </c>
      <c r="B354" s="4">
        <v>8037</v>
      </c>
      <c r="C354" s="15">
        <f>-20000+144</f>
        <v>-19856</v>
      </c>
      <c r="D354" s="15">
        <f>-13504+8037</f>
        <v>-5467</v>
      </c>
      <c r="E354" s="15"/>
      <c r="F354" s="4"/>
    </row>
    <row r="355" spans="1:6" x14ac:dyDescent="0.2">
      <c r="A355" s="1">
        <v>36753</v>
      </c>
      <c r="B355" s="4">
        <v>-224</v>
      </c>
      <c r="C355" s="15">
        <f>-20000+1819</f>
        <v>-18181</v>
      </c>
      <c r="D355" s="15">
        <f>-13504-224</f>
        <v>-13728</v>
      </c>
      <c r="E355" s="15"/>
      <c r="F355" s="4"/>
    </row>
    <row r="356" spans="1:6" x14ac:dyDescent="0.2">
      <c r="A356" s="1">
        <v>36754</v>
      </c>
      <c r="B356" s="4">
        <v>0</v>
      </c>
      <c r="C356" s="15">
        <f>-20000-3221</f>
        <v>-23221</v>
      </c>
      <c r="D356" s="15">
        <v>-13504</v>
      </c>
      <c r="E356" s="15"/>
      <c r="F356" s="4"/>
    </row>
    <row r="357" spans="1:6" x14ac:dyDescent="0.2">
      <c r="A357" s="1">
        <v>36755</v>
      </c>
      <c r="B357" s="4">
        <v>1033</v>
      </c>
      <c r="C357" s="15">
        <f>-20000-4631</f>
        <v>-24631</v>
      </c>
      <c r="D357" s="15">
        <v>-13504</v>
      </c>
      <c r="E357" s="15"/>
      <c r="F357" s="4"/>
    </row>
    <row r="358" spans="1:6" x14ac:dyDescent="0.2">
      <c r="A358" s="1">
        <v>36756</v>
      </c>
      <c r="B358" s="4">
        <v>494</v>
      </c>
      <c r="C358" s="15">
        <f>-20000-154</f>
        <v>-20154</v>
      </c>
      <c r="D358" s="15">
        <f>-13504-1033</f>
        <v>-14537</v>
      </c>
      <c r="E358" s="15"/>
      <c r="F358" s="4"/>
    </row>
    <row r="359" spans="1:6" x14ac:dyDescent="0.2">
      <c r="A359" s="1">
        <v>36757</v>
      </c>
      <c r="B359" s="4">
        <v>1467</v>
      </c>
      <c r="C359" s="15">
        <f>-20000-26</f>
        <v>-20026</v>
      </c>
      <c r="D359" s="15">
        <f>-13504-494</f>
        <v>-13998</v>
      </c>
      <c r="E359" s="15"/>
      <c r="F359" s="4"/>
    </row>
    <row r="360" spans="1:6" x14ac:dyDescent="0.2">
      <c r="A360" s="1">
        <v>36758</v>
      </c>
      <c r="B360" s="4">
        <v>1583</v>
      </c>
      <c r="C360" s="15">
        <f>-20000-32</f>
        <v>-20032</v>
      </c>
      <c r="D360" s="15">
        <f>-13504-1583</f>
        <v>-15087</v>
      </c>
      <c r="E360" s="15"/>
      <c r="F360" s="4"/>
    </row>
    <row r="361" spans="1:6" x14ac:dyDescent="0.2">
      <c r="A361" s="1">
        <v>36759</v>
      </c>
      <c r="B361" s="4">
        <v>0</v>
      </c>
      <c r="C361" s="15">
        <f>-20000+78</f>
        <v>-19922</v>
      </c>
      <c r="D361" s="15">
        <v>-13504</v>
      </c>
      <c r="E361" s="15"/>
      <c r="F361" s="4"/>
    </row>
    <row r="362" spans="1:6" x14ac:dyDescent="0.2">
      <c r="A362" s="1">
        <v>36760</v>
      </c>
      <c r="B362" s="4">
        <v>0</v>
      </c>
      <c r="C362" s="15">
        <f>-20000-408</f>
        <v>-20408</v>
      </c>
      <c r="D362" s="15">
        <v>-13504</v>
      </c>
      <c r="E362" s="15"/>
      <c r="F362" s="4"/>
    </row>
    <row r="363" spans="1:6" x14ac:dyDescent="0.2">
      <c r="A363" s="1">
        <v>36761</v>
      </c>
      <c r="B363" s="4">
        <v>0</v>
      </c>
      <c r="C363" s="15">
        <f>-20000+95</f>
        <v>-19905</v>
      </c>
      <c r="D363" s="15">
        <v>-13504</v>
      </c>
      <c r="E363" s="15"/>
      <c r="F363" s="4"/>
    </row>
    <row r="364" spans="1:6" x14ac:dyDescent="0.2">
      <c r="A364" s="1">
        <v>36762</v>
      </c>
      <c r="B364" s="4">
        <v>0</v>
      </c>
      <c r="C364" s="15">
        <f>-20000-42</f>
        <v>-20042</v>
      </c>
      <c r="D364" s="15">
        <v>-13504</v>
      </c>
      <c r="E364" s="15"/>
      <c r="F364" s="4"/>
    </row>
    <row r="365" spans="1:6" x14ac:dyDescent="0.2">
      <c r="A365" s="1">
        <v>36763</v>
      </c>
      <c r="B365" s="4">
        <v>0</v>
      </c>
      <c r="C365" s="15">
        <f>-20000+5</f>
        <v>-19995</v>
      </c>
      <c r="D365" s="15">
        <v>-13504</v>
      </c>
      <c r="E365" s="15"/>
      <c r="F365" s="4"/>
    </row>
    <row r="366" spans="1:6" x14ac:dyDescent="0.2">
      <c r="A366" s="1">
        <v>36764</v>
      </c>
      <c r="B366" s="4">
        <v>0</v>
      </c>
      <c r="C366" s="15">
        <f>-20000-1562</f>
        <v>-21562</v>
      </c>
      <c r="D366" s="15">
        <v>-13504</v>
      </c>
      <c r="E366" s="15"/>
      <c r="F366" s="4"/>
    </row>
    <row r="367" spans="1:6" x14ac:dyDescent="0.2">
      <c r="A367" s="1">
        <v>36765</v>
      </c>
      <c r="B367" s="4">
        <v>0</v>
      </c>
      <c r="C367" s="15">
        <f>-20000-1363</f>
        <v>-21363</v>
      </c>
      <c r="D367" s="15">
        <v>-13504</v>
      </c>
      <c r="E367" s="15"/>
      <c r="F367" s="4"/>
    </row>
    <row r="368" spans="1:6" x14ac:dyDescent="0.2">
      <c r="A368" s="1">
        <v>36766</v>
      </c>
      <c r="B368" s="4">
        <v>0</v>
      </c>
      <c r="C368" s="15">
        <v>-20000</v>
      </c>
      <c r="D368" s="15">
        <v>-13504</v>
      </c>
      <c r="E368" s="15"/>
      <c r="F368" s="4"/>
    </row>
    <row r="369" spans="1:6" x14ac:dyDescent="0.2">
      <c r="A369" s="1">
        <v>36767</v>
      </c>
      <c r="B369" s="4">
        <v>0</v>
      </c>
      <c r="C369" s="15">
        <v>-20000</v>
      </c>
      <c r="D369" s="15">
        <v>-13504</v>
      </c>
      <c r="E369" s="15"/>
      <c r="F369" s="4"/>
    </row>
    <row r="370" spans="1:6" x14ac:dyDescent="0.2">
      <c r="A370" s="1">
        <v>36768</v>
      </c>
      <c r="B370" s="4">
        <v>0</v>
      </c>
      <c r="C370" s="15">
        <v>-20000</v>
      </c>
      <c r="D370" s="15">
        <v>-13504</v>
      </c>
      <c r="E370" s="15"/>
      <c r="F370" s="4"/>
    </row>
    <row r="371" spans="1:6" x14ac:dyDescent="0.2">
      <c r="A371" s="1">
        <v>36769</v>
      </c>
      <c r="B371" s="4">
        <v>0</v>
      </c>
      <c r="C371" s="15">
        <v>-20000</v>
      </c>
      <c r="D371" s="15">
        <v>-13504</v>
      </c>
      <c r="E371" s="15"/>
      <c r="F371" s="4"/>
    </row>
    <row r="372" spans="1:6" x14ac:dyDescent="0.2">
      <c r="A372" s="1">
        <v>36770</v>
      </c>
      <c r="B372" s="4">
        <f>-7000+3682</f>
        <v>-3318</v>
      </c>
      <c r="C372" s="15">
        <f>-20000+4727</f>
        <v>-15273</v>
      </c>
      <c r="D372" s="15">
        <v>-14000</v>
      </c>
      <c r="E372" s="15"/>
      <c r="F372" s="4"/>
    </row>
    <row r="373" spans="1:6" x14ac:dyDescent="0.2">
      <c r="A373" s="1">
        <v>36771</v>
      </c>
      <c r="B373" s="4">
        <v>-9402</v>
      </c>
      <c r="C373" s="15">
        <f>-20000-4855</f>
        <v>-24855</v>
      </c>
      <c r="D373" s="15">
        <v>-14000</v>
      </c>
      <c r="E373" s="15"/>
      <c r="F373" s="4"/>
    </row>
    <row r="374" spans="1:6" x14ac:dyDescent="0.2">
      <c r="A374" s="1">
        <v>36772</v>
      </c>
      <c r="B374" s="4">
        <v>-8590</v>
      </c>
      <c r="C374" s="15">
        <f>-20000-6478</f>
        <v>-26478</v>
      </c>
      <c r="D374" s="15">
        <v>-14000</v>
      </c>
      <c r="E374" s="15"/>
      <c r="F374" s="4"/>
    </row>
    <row r="375" spans="1:6" x14ac:dyDescent="0.2">
      <c r="A375" s="1">
        <v>36773</v>
      </c>
      <c r="B375" s="4">
        <f>-7000+1212</f>
        <v>-5788</v>
      </c>
      <c r="C375" s="15">
        <f>-20000+63</f>
        <v>-19937</v>
      </c>
      <c r="D375" s="15">
        <v>-14000</v>
      </c>
      <c r="E375" s="15"/>
      <c r="F375" s="4"/>
    </row>
    <row r="376" spans="1:6" x14ac:dyDescent="0.2">
      <c r="A376" s="1">
        <v>36774</v>
      </c>
      <c r="B376" s="4">
        <f>-7000+2192</f>
        <v>-4808</v>
      </c>
      <c r="C376" s="15">
        <f>-20000+3967</f>
        <v>-16033</v>
      </c>
      <c r="D376" s="15">
        <v>-14000</v>
      </c>
      <c r="E376" s="15"/>
      <c r="F376" s="4"/>
    </row>
    <row r="377" spans="1:6" x14ac:dyDescent="0.2">
      <c r="A377" s="1">
        <v>36775</v>
      </c>
      <c r="B377" s="4">
        <v>-7614</v>
      </c>
      <c r="C377" s="15">
        <f>-20000+1386</f>
        <v>-18614</v>
      </c>
      <c r="D377" s="15">
        <v>-14000</v>
      </c>
      <c r="E377" s="15"/>
      <c r="F377" s="4"/>
    </row>
    <row r="378" spans="1:6" x14ac:dyDescent="0.2">
      <c r="A378" s="1">
        <v>36776</v>
      </c>
      <c r="B378" s="4">
        <v>-7093</v>
      </c>
      <c r="C378" s="15">
        <f>-20000-930</f>
        <v>-20930</v>
      </c>
      <c r="D378" s="15">
        <v>-14000</v>
      </c>
      <c r="E378" s="15"/>
      <c r="F378" s="4"/>
    </row>
    <row r="379" spans="1:6" x14ac:dyDescent="0.2">
      <c r="A379" s="1">
        <v>36777</v>
      </c>
      <c r="B379" s="4">
        <f>-7000+212</f>
        <v>-6788</v>
      </c>
      <c r="C379" s="15">
        <f>-20000-2804</f>
        <v>-22804</v>
      </c>
      <c r="D379" s="15">
        <v>-14000</v>
      </c>
      <c r="E379" s="15"/>
      <c r="F379" s="4"/>
    </row>
    <row r="380" spans="1:6" x14ac:dyDescent="0.2">
      <c r="A380" s="1">
        <v>36778</v>
      </c>
      <c r="B380" s="4">
        <v>-7572</v>
      </c>
      <c r="C380" s="15">
        <f>-20000-6023</f>
        <v>-26023</v>
      </c>
      <c r="D380" s="15">
        <v>-14000</v>
      </c>
      <c r="E380" s="15"/>
      <c r="F380" s="4"/>
    </row>
    <row r="381" spans="1:6" x14ac:dyDescent="0.2">
      <c r="A381" s="1">
        <v>36779</v>
      </c>
      <c r="B381" s="4">
        <f>-7000+183</f>
        <v>-6817</v>
      </c>
      <c r="C381" s="15">
        <f>-20000-7026</f>
        <v>-27026</v>
      </c>
      <c r="D381" s="15">
        <v>-14000</v>
      </c>
      <c r="E381" s="15"/>
      <c r="F381" s="4"/>
    </row>
    <row r="382" spans="1:6" x14ac:dyDescent="0.2">
      <c r="A382" s="1">
        <v>36780</v>
      </c>
      <c r="B382" s="4">
        <v>-7380</v>
      </c>
      <c r="C382" s="15">
        <f>-20000-209</f>
        <v>-20209</v>
      </c>
      <c r="D382" s="15">
        <v>-14000</v>
      </c>
      <c r="E382" s="15"/>
      <c r="F382" s="4"/>
    </row>
    <row r="383" spans="1:6" x14ac:dyDescent="0.2">
      <c r="A383" s="1">
        <v>36781</v>
      </c>
      <c r="B383" s="4">
        <f>-7000+1118</f>
        <v>-5882</v>
      </c>
      <c r="C383" s="15">
        <f>-20000+54</f>
        <v>-19946</v>
      </c>
      <c r="D383" s="15">
        <v>-14000</v>
      </c>
      <c r="E383" s="15"/>
      <c r="F383" s="4"/>
    </row>
    <row r="384" spans="1:6" x14ac:dyDescent="0.2">
      <c r="A384" s="1">
        <v>36782</v>
      </c>
      <c r="B384" s="4">
        <v>-7639</v>
      </c>
      <c r="C384" s="15">
        <f>-20000-471</f>
        <v>-20471</v>
      </c>
      <c r="D384" s="15">
        <v>-14000</v>
      </c>
      <c r="E384" s="15"/>
      <c r="F384" s="4"/>
    </row>
    <row r="385" spans="1:6" x14ac:dyDescent="0.2">
      <c r="A385" s="1">
        <v>36783</v>
      </c>
      <c r="B385" s="4">
        <f>-7000+559</f>
        <v>-6441</v>
      </c>
      <c r="C385" s="15">
        <f>-20000-525</f>
        <v>-20525</v>
      </c>
      <c r="D385" s="15">
        <v>-14000</v>
      </c>
      <c r="E385" s="15"/>
      <c r="F385" s="4"/>
    </row>
    <row r="386" spans="1:6" x14ac:dyDescent="0.2">
      <c r="A386" s="1">
        <v>36784</v>
      </c>
      <c r="B386" s="4">
        <f>-7000+213</f>
        <v>-6787</v>
      </c>
      <c r="C386" s="15">
        <f>-20000+3722</f>
        <v>-16278</v>
      </c>
      <c r="D386" s="15">
        <v>-14000</v>
      </c>
      <c r="E386" s="15"/>
      <c r="F386" s="4"/>
    </row>
    <row r="387" spans="1:6" x14ac:dyDescent="0.2">
      <c r="A387" s="1">
        <v>36785</v>
      </c>
      <c r="B387" s="4">
        <f>-7000+95</f>
        <v>-6905</v>
      </c>
      <c r="C387" s="15">
        <f>-20000-1257</f>
        <v>-21257</v>
      </c>
      <c r="D387" s="15">
        <v>-14000</v>
      </c>
      <c r="E387" s="15"/>
      <c r="F387" s="4"/>
    </row>
    <row r="388" spans="1:6" x14ac:dyDescent="0.2">
      <c r="A388" s="1">
        <v>36786</v>
      </c>
      <c r="B388" s="4">
        <f>-7000+1379</f>
        <v>-5621</v>
      </c>
      <c r="C388" s="15">
        <f>-20000-3737</f>
        <v>-23737</v>
      </c>
      <c r="D388" s="15">
        <v>-14000</v>
      </c>
      <c r="E388" s="15"/>
      <c r="F388" s="4"/>
    </row>
    <row r="389" spans="1:6" x14ac:dyDescent="0.2">
      <c r="A389" s="1">
        <v>36787</v>
      </c>
      <c r="B389" s="4">
        <f>-7000+84</f>
        <v>-6916</v>
      </c>
      <c r="C389" s="15">
        <f>-20000-2297</f>
        <v>-22297</v>
      </c>
      <c r="D389" s="15">
        <v>-14000</v>
      </c>
      <c r="E389" s="15"/>
      <c r="F389" s="4"/>
    </row>
    <row r="390" spans="1:6" x14ac:dyDescent="0.2">
      <c r="A390" s="1">
        <v>36788</v>
      </c>
      <c r="B390" s="4">
        <f>-7000+187</f>
        <v>-6813</v>
      </c>
      <c r="C390" s="15">
        <f>-20000-3370</f>
        <v>-23370</v>
      </c>
      <c r="D390" s="15">
        <v>-14000</v>
      </c>
      <c r="E390" s="15"/>
      <c r="F390" s="4"/>
    </row>
    <row r="391" spans="1:6" x14ac:dyDescent="0.2">
      <c r="A391" s="1">
        <v>36789</v>
      </c>
      <c r="B391" s="4">
        <f>-7000+4467</f>
        <v>-2533</v>
      </c>
      <c r="C391" s="15">
        <f>-20000+5743</f>
        <v>-14257</v>
      </c>
      <c r="D391" s="15">
        <v>-14000</v>
      </c>
      <c r="E391" s="15"/>
      <c r="F391" s="4"/>
    </row>
    <row r="392" spans="1:6" x14ac:dyDescent="0.2">
      <c r="A392" s="1">
        <v>36790</v>
      </c>
      <c r="B392" s="4">
        <v>-9868</v>
      </c>
      <c r="C392" s="15">
        <f>-20000-10960</f>
        <v>-30960</v>
      </c>
      <c r="D392" s="15">
        <v>-14000</v>
      </c>
      <c r="E392" s="15"/>
      <c r="F392" s="4"/>
    </row>
    <row r="393" spans="1:6" x14ac:dyDescent="0.2">
      <c r="A393" s="1">
        <v>36791</v>
      </c>
      <c r="B393" s="4">
        <f>-7000+294</f>
        <v>-6706</v>
      </c>
      <c r="C393" s="15">
        <f>-20000-6380</f>
        <v>-26380</v>
      </c>
      <c r="D393" s="15">
        <v>-14000</v>
      </c>
      <c r="E393" s="15"/>
      <c r="F393" s="4"/>
    </row>
    <row r="394" spans="1:6" x14ac:dyDescent="0.2">
      <c r="A394" s="1">
        <v>36792</v>
      </c>
      <c r="B394" s="4">
        <v>-7822</v>
      </c>
      <c r="C394" s="15">
        <f>-20000-5776</f>
        <v>-25776</v>
      </c>
      <c r="D394" s="15">
        <v>-14000</v>
      </c>
      <c r="E394" s="15"/>
      <c r="F394" s="4"/>
    </row>
    <row r="395" spans="1:6" x14ac:dyDescent="0.2">
      <c r="A395" s="1">
        <v>36793</v>
      </c>
      <c r="B395" s="4">
        <f>-7000+771</f>
        <v>-6229</v>
      </c>
      <c r="C395" s="15">
        <f>-20000+8866</f>
        <v>-11134</v>
      </c>
      <c r="D395" s="15">
        <v>-14000</v>
      </c>
      <c r="E395" s="15"/>
      <c r="F395" s="4"/>
    </row>
    <row r="396" spans="1:6" x14ac:dyDescent="0.2">
      <c r="A396" s="1">
        <v>36794</v>
      </c>
      <c r="B396" s="4">
        <f>-7000+13375</f>
        <v>6375</v>
      </c>
      <c r="C396" s="15">
        <f>-20000+15329</f>
        <v>-4671</v>
      </c>
      <c r="D396" s="15">
        <v>-14000</v>
      </c>
      <c r="E396" s="15"/>
      <c r="F396" s="4"/>
    </row>
    <row r="397" spans="1:6" x14ac:dyDescent="0.2">
      <c r="A397" s="1">
        <v>36795</v>
      </c>
      <c r="B397" s="4">
        <v>-7000</v>
      </c>
      <c r="C397" s="15">
        <f>-20000-2470</f>
        <v>-22470</v>
      </c>
      <c r="D397" s="15">
        <v>-14000</v>
      </c>
      <c r="E397" s="15"/>
      <c r="F397" s="4"/>
    </row>
    <row r="398" spans="1:6" x14ac:dyDescent="0.2">
      <c r="A398" s="1">
        <v>36796</v>
      </c>
      <c r="B398" s="4">
        <v>-7000</v>
      </c>
      <c r="C398" s="15">
        <f>-20000</f>
        <v>-20000</v>
      </c>
      <c r="D398" s="15">
        <v>-14000</v>
      </c>
      <c r="E398" s="15"/>
      <c r="F398" s="4"/>
    </row>
    <row r="399" spans="1:6" x14ac:dyDescent="0.2">
      <c r="A399" s="1">
        <v>36797</v>
      </c>
      <c r="B399" s="4">
        <v>-7000</v>
      </c>
      <c r="C399" s="15">
        <f>-20000</f>
        <v>-20000</v>
      </c>
      <c r="D399" s="15">
        <v>-14000</v>
      </c>
      <c r="E399" s="15"/>
      <c r="F399" s="4"/>
    </row>
    <row r="400" spans="1:6" x14ac:dyDescent="0.2">
      <c r="A400" s="1">
        <v>36798</v>
      </c>
      <c r="B400" s="4">
        <v>-7000</v>
      </c>
      <c r="C400" s="15">
        <f>-20000</f>
        <v>-20000</v>
      </c>
      <c r="D400" s="15">
        <v>-14000</v>
      </c>
      <c r="E400" s="15"/>
      <c r="F400" s="4"/>
    </row>
    <row r="401" spans="1:6" x14ac:dyDescent="0.2">
      <c r="A401" s="1">
        <v>36799</v>
      </c>
      <c r="B401" s="4">
        <v>-7000</v>
      </c>
      <c r="C401" s="15">
        <f>-20000</f>
        <v>-20000</v>
      </c>
      <c r="D401" s="15">
        <v>-14000</v>
      </c>
      <c r="E401" s="15"/>
      <c r="F401" s="4"/>
    </row>
    <row r="402" spans="1:6" x14ac:dyDescent="0.2">
      <c r="A402" s="1">
        <v>36800</v>
      </c>
      <c r="B402" s="4">
        <v>-20056</v>
      </c>
      <c r="C402" s="15">
        <f>-19802+503</f>
        <v>-19299</v>
      </c>
      <c r="D402" s="15">
        <v>0</v>
      </c>
      <c r="E402" s="15"/>
      <c r="F402" s="4"/>
    </row>
    <row r="403" spans="1:6" x14ac:dyDescent="0.2">
      <c r="A403" s="1">
        <v>36801</v>
      </c>
      <c r="B403" s="4">
        <v>-15832</v>
      </c>
      <c r="C403" s="15">
        <f>-19802+274</f>
        <v>-19528</v>
      </c>
      <c r="D403" s="15">
        <v>0</v>
      </c>
      <c r="E403" s="15"/>
      <c r="F403" s="4"/>
    </row>
    <row r="404" spans="1:6" x14ac:dyDescent="0.2">
      <c r="A404" s="1">
        <v>36802</v>
      </c>
      <c r="B404" s="4">
        <f>-40000+2700</f>
        <v>-37300</v>
      </c>
      <c r="C404" s="15">
        <f>-19570+455</f>
        <v>-19115</v>
      </c>
      <c r="D404" s="15">
        <v>0</v>
      </c>
      <c r="E404" s="15"/>
      <c r="F404" s="4"/>
    </row>
    <row r="405" spans="1:6" x14ac:dyDescent="0.2">
      <c r="A405" s="1">
        <v>36803</v>
      </c>
      <c r="B405" s="4">
        <v>-44437</v>
      </c>
      <c r="C405" s="15">
        <f>-19570+10322</f>
        <v>-9248</v>
      </c>
      <c r="D405" s="15">
        <v>0</v>
      </c>
      <c r="E405" s="15"/>
      <c r="F405" s="4"/>
    </row>
    <row r="406" spans="1:6" x14ac:dyDescent="0.2">
      <c r="A406" s="1">
        <v>36804</v>
      </c>
      <c r="B406" s="4">
        <v>-38000</v>
      </c>
      <c r="C406" s="15">
        <v>-34864</v>
      </c>
      <c r="D406" s="15">
        <v>-1529</v>
      </c>
      <c r="E406" s="15"/>
      <c r="F406" s="4"/>
    </row>
    <row r="407" spans="1:6" x14ac:dyDescent="0.2">
      <c r="A407" s="1">
        <v>36805</v>
      </c>
      <c r="B407" s="4">
        <v>-24111</v>
      </c>
      <c r="C407" s="15">
        <f>-19570+5977</f>
        <v>-13593</v>
      </c>
      <c r="D407" s="15">
        <v>0</v>
      </c>
      <c r="E407" s="15"/>
      <c r="F407" s="4"/>
    </row>
    <row r="408" spans="1:6" x14ac:dyDescent="0.2">
      <c r="A408" s="1">
        <v>36806</v>
      </c>
      <c r="B408" s="4">
        <v>-29468</v>
      </c>
      <c r="C408" s="15">
        <v>-20450</v>
      </c>
      <c r="D408" s="15">
        <v>0</v>
      </c>
      <c r="E408" s="15"/>
      <c r="F408" s="4"/>
    </row>
    <row r="409" spans="1:6" x14ac:dyDescent="0.2">
      <c r="A409" s="1">
        <v>36807</v>
      </c>
      <c r="B409" s="4">
        <v>-21559</v>
      </c>
      <c r="C409" s="15">
        <f>-19570+1000</f>
        <v>-18570</v>
      </c>
      <c r="D409" s="15">
        <v>0</v>
      </c>
      <c r="E409" s="15"/>
      <c r="F409" s="4"/>
    </row>
    <row r="410" spans="1:6" x14ac:dyDescent="0.2">
      <c r="A410" s="1">
        <v>36808</v>
      </c>
      <c r="B410" s="4">
        <v>-20135</v>
      </c>
      <c r="C410" s="15">
        <v>-37177</v>
      </c>
      <c r="D410" s="15">
        <v>0</v>
      </c>
      <c r="E410" s="15"/>
      <c r="F410" s="4"/>
    </row>
    <row r="411" spans="1:6" x14ac:dyDescent="0.2">
      <c r="A411" s="1">
        <v>36809</v>
      </c>
      <c r="B411" s="4">
        <f>-19999-7355</f>
        <v>-27354</v>
      </c>
      <c r="C411" s="15">
        <f>-19570+6562</f>
        <v>-13008</v>
      </c>
      <c r="D411" s="15">
        <v>0</v>
      </c>
      <c r="E411" s="15"/>
      <c r="F411" s="4"/>
    </row>
    <row r="412" spans="1:6" x14ac:dyDescent="0.2">
      <c r="A412" s="1">
        <v>36810</v>
      </c>
      <c r="B412" s="4">
        <f>-19999+1954</f>
        <v>-18045</v>
      </c>
      <c r="C412" s="15">
        <f>-19571+970</f>
        <v>-18601</v>
      </c>
      <c r="D412" s="15">
        <v>0</v>
      </c>
      <c r="E412" s="15"/>
      <c r="F412" s="4"/>
    </row>
    <row r="413" spans="1:6" x14ac:dyDescent="0.2">
      <c r="A413" s="1">
        <v>36811</v>
      </c>
      <c r="B413" s="4">
        <v>-23999</v>
      </c>
      <c r="C413" s="15">
        <f>-24554</f>
        <v>-24554</v>
      </c>
      <c r="D413" s="15">
        <v>-1486</v>
      </c>
      <c r="E413" s="15"/>
      <c r="F413" s="4"/>
    </row>
    <row r="414" spans="1:6" x14ac:dyDescent="0.2">
      <c r="A414" s="1">
        <v>36812</v>
      </c>
      <c r="B414" s="4">
        <v>-19999</v>
      </c>
      <c r="C414" s="15">
        <v>-33286</v>
      </c>
      <c r="D414" s="15">
        <v>0</v>
      </c>
      <c r="E414" s="15"/>
      <c r="F414" s="4"/>
    </row>
    <row r="415" spans="1:6" x14ac:dyDescent="0.2">
      <c r="A415" s="1">
        <v>36813</v>
      </c>
      <c r="B415" s="4">
        <v>-21631</v>
      </c>
      <c r="C415" s="15">
        <v>-30402</v>
      </c>
      <c r="D415" s="15">
        <v>0</v>
      </c>
      <c r="E415" s="15"/>
      <c r="F415" s="4"/>
    </row>
    <row r="416" spans="1:6" x14ac:dyDescent="0.2">
      <c r="A416" s="1">
        <v>36814</v>
      </c>
      <c r="B416" s="4">
        <f>-19999+5270</f>
        <v>-14729</v>
      </c>
      <c r="C416" s="15">
        <f>-19570+4232</f>
        <v>-15338</v>
      </c>
      <c r="D416" s="15">
        <v>0</v>
      </c>
      <c r="E416" s="15"/>
      <c r="F416" s="4"/>
    </row>
    <row r="417" spans="1:6" x14ac:dyDescent="0.2">
      <c r="A417" s="1">
        <v>36815</v>
      </c>
      <c r="B417" s="4">
        <f>-19999+6819</f>
        <v>-13180</v>
      </c>
      <c r="C417" s="15">
        <f>-19570+15329</f>
        <v>-4241</v>
      </c>
      <c r="D417" s="15">
        <v>0</v>
      </c>
      <c r="E417" s="15"/>
      <c r="F417" s="4"/>
    </row>
    <row r="418" spans="1:6" x14ac:dyDescent="0.2">
      <c r="A418" s="1">
        <v>36816</v>
      </c>
      <c r="B418" s="4">
        <f>-19999+6008</f>
        <v>-13991</v>
      </c>
      <c r="C418" s="15">
        <f>-19570+6359</f>
        <v>-13211</v>
      </c>
      <c r="D418" s="15">
        <v>0</v>
      </c>
      <c r="E418" s="15"/>
      <c r="F418" s="4"/>
    </row>
    <row r="419" spans="1:6" x14ac:dyDescent="0.2">
      <c r="A419" s="1">
        <v>36817</v>
      </c>
      <c r="B419" s="4">
        <v>-20751</v>
      </c>
      <c r="C419" s="15">
        <f>-19570+1247</f>
        <v>-18323</v>
      </c>
      <c r="D419" s="15">
        <v>0</v>
      </c>
      <c r="E419" s="15"/>
      <c r="F419" s="4"/>
    </row>
    <row r="420" spans="1:6" x14ac:dyDescent="0.2">
      <c r="A420" s="1">
        <v>36818</v>
      </c>
      <c r="B420" s="4">
        <v>-20158</v>
      </c>
      <c r="C420" s="15">
        <v>-23785</v>
      </c>
      <c r="D420" s="15">
        <v>0</v>
      </c>
      <c r="E420" s="15"/>
      <c r="F420" s="4"/>
    </row>
    <row r="421" spans="1:6" x14ac:dyDescent="0.2">
      <c r="A421" s="1">
        <v>36819</v>
      </c>
      <c r="B421" s="4">
        <f>-19999+612</f>
        <v>-19387</v>
      </c>
      <c r="C421" s="15">
        <v>-35264</v>
      </c>
      <c r="D421" s="15">
        <v>0</v>
      </c>
      <c r="E421" s="15"/>
      <c r="F421" s="4"/>
    </row>
    <row r="422" spans="1:6" x14ac:dyDescent="0.2">
      <c r="A422" s="1">
        <v>36820</v>
      </c>
      <c r="B422" s="4">
        <v>482</v>
      </c>
      <c r="C422" s="15">
        <v>-29919</v>
      </c>
      <c r="D422" s="15">
        <v>0</v>
      </c>
      <c r="E422" s="15"/>
      <c r="F422" s="4"/>
    </row>
    <row r="423" spans="1:6" x14ac:dyDescent="0.2">
      <c r="A423" s="1">
        <v>36821</v>
      </c>
      <c r="B423" s="4">
        <v>-1606</v>
      </c>
      <c r="C423" s="15">
        <f>-19766-7575</f>
        <v>-27341</v>
      </c>
      <c r="D423" s="15">
        <v>0</v>
      </c>
      <c r="E423" s="15"/>
      <c r="F423" s="4"/>
    </row>
    <row r="424" spans="1:6" x14ac:dyDescent="0.2">
      <c r="A424" s="1">
        <v>36822</v>
      </c>
      <c r="B424" s="4">
        <v>-783</v>
      </c>
      <c r="C424" s="15">
        <f>-19766-6937</f>
        <v>-26703</v>
      </c>
      <c r="D424" s="15">
        <v>0</v>
      </c>
      <c r="E424" s="15"/>
      <c r="F424" s="4"/>
    </row>
    <row r="425" spans="1:6" x14ac:dyDescent="0.2">
      <c r="A425" s="1">
        <v>36823</v>
      </c>
      <c r="B425" s="4">
        <v>0</v>
      </c>
      <c r="C425" s="15">
        <f>-19766-9850</f>
        <v>-29616</v>
      </c>
      <c r="D425" s="15">
        <v>0</v>
      </c>
      <c r="E425" s="15"/>
      <c r="F425" s="4"/>
    </row>
    <row r="426" spans="1:6" x14ac:dyDescent="0.2">
      <c r="A426" s="1">
        <v>36824</v>
      </c>
      <c r="B426" s="4">
        <v>-9999</v>
      </c>
      <c r="C426" s="15">
        <f>-19766-13082</f>
        <v>-32848</v>
      </c>
      <c r="D426" s="15">
        <v>0</v>
      </c>
      <c r="E426" s="15"/>
      <c r="F426" s="4"/>
    </row>
    <row r="427" spans="1:6" x14ac:dyDescent="0.2">
      <c r="A427" s="1">
        <v>36825</v>
      </c>
      <c r="B427" s="4">
        <v>-9999</v>
      </c>
      <c r="C427" s="15">
        <v>-19766</v>
      </c>
      <c r="D427" s="15">
        <v>0</v>
      </c>
      <c r="E427" s="15"/>
      <c r="F427" s="4"/>
    </row>
    <row r="428" spans="1:6" x14ac:dyDescent="0.2">
      <c r="A428" s="1">
        <v>36826</v>
      </c>
      <c r="B428" s="4">
        <v>-19999</v>
      </c>
      <c r="C428" s="15">
        <f>-19766+79</f>
        <v>-19687</v>
      </c>
      <c r="D428" s="15">
        <v>0</v>
      </c>
      <c r="E428" s="15"/>
      <c r="F428" s="4"/>
    </row>
    <row r="429" spans="1:6" x14ac:dyDescent="0.2">
      <c r="A429" s="1">
        <v>36827</v>
      </c>
      <c r="B429" s="4">
        <v>-19999</v>
      </c>
      <c r="C429" s="15">
        <f>-19766+11518</f>
        <v>-8248</v>
      </c>
      <c r="D429" s="15">
        <v>0</v>
      </c>
      <c r="E429" s="15"/>
      <c r="F429" s="4"/>
    </row>
    <row r="430" spans="1:6" x14ac:dyDescent="0.2">
      <c r="A430" s="1">
        <v>36828</v>
      </c>
      <c r="B430" s="4">
        <v>-19999</v>
      </c>
      <c r="C430" s="15">
        <f>-19766+10000</f>
        <v>-9766</v>
      </c>
      <c r="D430" s="15">
        <v>0</v>
      </c>
      <c r="E430" s="15"/>
      <c r="F430" s="4"/>
    </row>
    <row r="431" spans="1:6" x14ac:dyDescent="0.2">
      <c r="A431" s="1">
        <v>36829</v>
      </c>
      <c r="B431" s="4">
        <v>-19999</v>
      </c>
      <c r="C431" s="15">
        <v>-19766</v>
      </c>
      <c r="D431" s="15">
        <v>0</v>
      </c>
      <c r="E431" s="15"/>
      <c r="F431" s="4"/>
    </row>
    <row r="432" spans="1:6" x14ac:dyDescent="0.2">
      <c r="A432" s="1">
        <v>36830</v>
      </c>
      <c r="B432" s="4">
        <v>-19999</v>
      </c>
      <c r="C432" s="15">
        <v>-19766</v>
      </c>
      <c r="D432" s="15">
        <v>0</v>
      </c>
      <c r="E432" s="15"/>
      <c r="F432" s="4"/>
    </row>
    <row r="433" spans="1:6" x14ac:dyDescent="0.2">
      <c r="A433" s="1">
        <v>36831</v>
      </c>
      <c r="B433" s="4">
        <v>-23578</v>
      </c>
      <c r="C433" s="15">
        <v>-19790</v>
      </c>
      <c r="D433" s="15">
        <v>6000</v>
      </c>
      <c r="E433" s="15">
        <f>-20000+1967</f>
        <v>-18033</v>
      </c>
      <c r="F433" s="4"/>
    </row>
    <row r="434" spans="1:6" x14ac:dyDescent="0.2">
      <c r="A434" s="1">
        <v>36832</v>
      </c>
      <c r="B434" s="4">
        <f>-13000+2979</f>
        <v>-10021</v>
      </c>
      <c r="C434" s="15">
        <v>-19802</v>
      </c>
      <c r="D434" s="15">
        <v>6000</v>
      </c>
      <c r="E434" s="15">
        <f>-20000-163</f>
        <v>-20163</v>
      </c>
      <c r="F434" s="4"/>
    </row>
    <row r="435" spans="1:6" x14ac:dyDescent="0.2">
      <c r="A435" s="1">
        <v>36833</v>
      </c>
      <c r="B435" s="4">
        <f>-13000+5568</f>
        <v>-7432</v>
      </c>
      <c r="C435" s="15">
        <v>-54</v>
      </c>
      <c r="D435" s="15">
        <v>6000</v>
      </c>
      <c r="E435" s="15">
        <f>-20000-218</f>
        <v>-20218</v>
      </c>
      <c r="F435" s="4"/>
    </row>
    <row r="436" spans="1:6" x14ac:dyDescent="0.2">
      <c r="A436" s="1">
        <v>36834</v>
      </c>
      <c r="B436" s="4">
        <f>-13000+15035</f>
        <v>2035</v>
      </c>
      <c r="C436" s="15">
        <v>222</v>
      </c>
      <c r="D436" s="15">
        <v>6000</v>
      </c>
      <c r="E436" s="15">
        <f>-20000-510</f>
        <v>-20510</v>
      </c>
      <c r="F436" s="4"/>
    </row>
    <row r="437" spans="1:6" x14ac:dyDescent="0.2">
      <c r="A437" s="1">
        <v>36835</v>
      </c>
      <c r="B437" s="4">
        <f>-13000+481</f>
        <v>-12519</v>
      </c>
      <c r="C437" s="15">
        <v>483</v>
      </c>
      <c r="D437" s="15">
        <v>6000</v>
      </c>
      <c r="E437" s="15">
        <f>-20000-797</f>
        <v>-20797</v>
      </c>
      <c r="F437" s="4"/>
    </row>
    <row r="438" spans="1:6" x14ac:dyDescent="0.2">
      <c r="A438" s="1">
        <v>36836</v>
      </c>
      <c r="B438" s="4">
        <f>-13000+7210</f>
        <v>-5790</v>
      </c>
      <c r="C438" s="15">
        <v>9172</v>
      </c>
      <c r="D438" s="15">
        <v>6000</v>
      </c>
      <c r="E438" s="15">
        <f>-20000+65</f>
        <v>-19935</v>
      </c>
      <c r="F438" s="4"/>
    </row>
    <row r="439" spans="1:6" x14ac:dyDescent="0.2">
      <c r="A439" s="1">
        <v>36837</v>
      </c>
      <c r="B439" s="4">
        <f>-13000+5472</f>
        <v>-7528</v>
      </c>
      <c r="C439" s="15">
        <v>7164</v>
      </c>
      <c r="D439" s="15">
        <v>6000</v>
      </c>
      <c r="E439" s="15">
        <f>-10000-2489</f>
        <v>-12489</v>
      </c>
      <c r="F439" s="4"/>
    </row>
    <row r="440" spans="1:6" x14ac:dyDescent="0.2">
      <c r="A440" s="1">
        <v>36838</v>
      </c>
      <c r="B440" s="4">
        <f>-13000+8477</f>
        <v>-4523</v>
      </c>
      <c r="C440" s="15">
        <v>7407</v>
      </c>
      <c r="D440" s="15">
        <v>6000</v>
      </c>
      <c r="E440" s="15">
        <f>-10000+2762</f>
        <v>-7238</v>
      </c>
      <c r="F440" s="4"/>
    </row>
    <row r="441" spans="1:6" x14ac:dyDescent="0.2">
      <c r="A441" s="1">
        <v>36839</v>
      </c>
      <c r="B441" s="4">
        <f>-13000+36580</f>
        <v>23580</v>
      </c>
      <c r="C441" s="15">
        <v>11562</v>
      </c>
      <c r="D441" s="15">
        <v>6000</v>
      </c>
      <c r="E441" s="15">
        <f>-10000-257</f>
        <v>-10257</v>
      </c>
      <c r="F441" s="4"/>
    </row>
    <row r="442" spans="1:6" x14ac:dyDescent="0.2">
      <c r="A442" s="1">
        <v>36840</v>
      </c>
      <c r="B442" s="4">
        <f>-13000+13847</f>
        <v>847</v>
      </c>
      <c r="C442" s="15">
        <v>31570</v>
      </c>
      <c r="D442" s="15">
        <v>6000</v>
      </c>
      <c r="E442" s="15">
        <v>-10000</v>
      </c>
      <c r="F442" s="4"/>
    </row>
    <row r="443" spans="1:6" x14ac:dyDescent="0.2">
      <c r="A443" s="1">
        <v>36841</v>
      </c>
      <c r="B443" s="4">
        <v>-29191</v>
      </c>
      <c r="C443" s="15">
        <f>-3705+20237</f>
        <v>16532</v>
      </c>
      <c r="D443" s="15">
        <v>6000</v>
      </c>
      <c r="E443" s="15">
        <v>0</v>
      </c>
      <c r="F443" s="4"/>
    </row>
    <row r="444" spans="1:6" x14ac:dyDescent="0.2">
      <c r="A444" s="1">
        <v>36842</v>
      </c>
      <c r="B444" s="4">
        <v>-28181</v>
      </c>
      <c r="C444" s="15">
        <f>-4666+20237</f>
        <v>15571</v>
      </c>
      <c r="D444" s="15">
        <v>6000</v>
      </c>
      <c r="E444" s="15">
        <v>0</v>
      </c>
      <c r="F444" s="4"/>
    </row>
    <row r="445" spans="1:6" x14ac:dyDescent="0.2">
      <c r="A445" s="1">
        <v>36843</v>
      </c>
      <c r="B445" s="4">
        <f>-13000+31580</f>
        <v>18580</v>
      </c>
      <c r="C445" s="15">
        <f>20000+4838</f>
        <v>24838</v>
      </c>
      <c r="D445" s="15">
        <v>6000</v>
      </c>
      <c r="E445" s="15">
        <v>0</v>
      </c>
      <c r="F445" s="4"/>
    </row>
    <row r="446" spans="1:6" x14ac:dyDescent="0.2">
      <c r="A446" s="1">
        <v>36844</v>
      </c>
      <c r="B446" s="4">
        <f>-13000+30535</f>
        <v>17535</v>
      </c>
      <c r="C446" s="15">
        <f>25000+14552</f>
        <v>39552</v>
      </c>
      <c r="D446" s="15">
        <v>6000</v>
      </c>
      <c r="E446" s="15">
        <f>-15000+804</f>
        <v>-14196</v>
      </c>
      <c r="F446" s="4"/>
    </row>
    <row r="447" spans="1:6" x14ac:dyDescent="0.2">
      <c r="A447" s="1">
        <v>36845</v>
      </c>
      <c r="B447" s="4">
        <v>-22469</v>
      </c>
      <c r="C447" s="15">
        <f>25000+831</f>
        <v>25831</v>
      </c>
      <c r="D447" s="15">
        <v>6000</v>
      </c>
      <c r="E447" s="15">
        <v>20000</v>
      </c>
      <c r="F447" s="4"/>
    </row>
    <row r="448" spans="1:6" x14ac:dyDescent="0.2">
      <c r="A448" s="1">
        <v>36846</v>
      </c>
      <c r="B448" s="4">
        <v>-28797</v>
      </c>
      <c r="C448" s="15">
        <f>25000-1305+296</f>
        <v>23991</v>
      </c>
      <c r="D448" s="15">
        <v>6000</v>
      </c>
      <c r="E448" s="15">
        <f>20000-1565</f>
        <v>18435</v>
      </c>
      <c r="F448" s="4"/>
    </row>
    <row r="449" spans="1:6" x14ac:dyDescent="0.2">
      <c r="A449" s="1">
        <v>36847</v>
      </c>
      <c r="B449" s="4">
        <v>-15468</v>
      </c>
      <c r="C449" s="15">
        <f>25000+4540</f>
        <v>29540</v>
      </c>
      <c r="D449" s="15">
        <v>6000</v>
      </c>
      <c r="E449" s="15">
        <f>20000+333</f>
        <v>20333</v>
      </c>
      <c r="F449" s="4"/>
    </row>
    <row r="450" spans="1:6" x14ac:dyDescent="0.2">
      <c r="A450" s="1">
        <v>36848</v>
      </c>
      <c r="B450" s="4">
        <v>-13000</v>
      </c>
      <c r="C450" s="15">
        <f>35000+5297</f>
        <v>40297</v>
      </c>
      <c r="D450" s="15">
        <f>14166+6000</f>
        <v>20166</v>
      </c>
      <c r="E450" s="15">
        <f>20000-152</f>
        <v>19848</v>
      </c>
      <c r="F450" s="4"/>
    </row>
    <row r="451" spans="1:6" x14ac:dyDescent="0.2">
      <c r="A451" s="1">
        <v>36849</v>
      </c>
      <c r="B451" s="4">
        <v>-13151</v>
      </c>
      <c r="C451" s="15">
        <f>35000+13166</f>
        <v>48166</v>
      </c>
      <c r="D451" s="15">
        <v>6000</v>
      </c>
      <c r="E451" s="15">
        <f>20000+885</f>
        <v>20885</v>
      </c>
      <c r="F451" s="4"/>
    </row>
    <row r="452" spans="1:6" x14ac:dyDescent="0.2">
      <c r="A452" s="1">
        <v>36850</v>
      </c>
      <c r="B452" s="4">
        <v>-14658</v>
      </c>
      <c r="C452" s="15">
        <f>86059+5200</f>
        <v>91259</v>
      </c>
      <c r="D452" s="15">
        <v>6000</v>
      </c>
      <c r="E452" s="15">
        <v>20000</v>
      </c>
      <c r="F452" s="4"/>
    </row>
    <row r="453" spans="1:6" x14ac:dyDescent="0.2">
      <c r="A453" s="1">
        <v>36851</v>
      </c>
      <c r="B453" s="4">
        <v>-18295</v>
      </c>
      <c r="C453" s="15">
        <f>69547+3342</f>
        <v>72889</v>
      </c>
      <c r="D453" s="15">
        <v>6000</v>
      </c>
      <c r="E453" s="15">
        <f>20000+702</f>
        <v>20702</v>
      </c>
      <c r="F453" s="4"/>
    </row>
    <row r="454" spans="1:6" x14ac:dyDescent="0.2">
      <c r="A454" s="1">
        <v>36852</v>
      </c>
      <c r="B454" s="4">
        <v>-36979</v>
      </c>
      <c r="C454" s="15">
        <f>45000+949</f>
        <v>45949</v>
      </c>
      <c r="D454" s="15">
        <v>6000</v>
      </c>
      <c r="E454" s="15">
        <v>-2130</v>
      </c>
      <c r="F454" s="4"/>
    </row>
    <row r="455" spans="1:6" x14ac:dyDescent="0.2">
      <c r="A455" s="1">
        <v>36853</v>
      </c>
      <c r="B455" s="4">
        <v>-13000</v>
      </c>
      <c r="C455" s="15">
        <f>20000-125+237</f>
        <v>20112</v>
      </c>
      <c r="D455" s="15">
        <f>6000+1242</f>
        <v>7242</v>
      </c>
      <c r="E455" s="15">
        <f>20000-1885</f>
        <v>18115</v>
      </c>
      <c r="F455" s="4"/>
    </row>
    <row r="456" spans="1:6" x14ac:dyDescent="0.2">
      <c r="A456" s="1">
        <v>36854</v>
      </c>
      <c r="B456" s="4">
        <v>-13135</v>
      </c>
      <c r="C456" s="15">
        <f>20000-17067+237</f>
        <v>3170</v>
      </c>
      <c r="D456" s="15">
        <v>6000</v>
      </c>
      <c r="E456" s="15">
        <f>15000-2175</f>
        <v>12825</v>
      </c>
      <c r="F456" s="4"/>
    </row>
    <row r="457" spans="1:6" x14ac:dyDescent="0.2">
      <c r="A457" s="1">
        <v>36855</v>
      </c>
      <c r="B457" s="4">
        <v>-14668</v>
      </c>
      <c r="C457" s="15">
        <f>20000-15231+237</f>
        <v>5006</v>
      </c>
      <c r="D457" s="15">
        <v>6000</v>
      </c>
      <c r="E457" s="15">
        <v>-1467</v>
      </c>
      <c r="F457" s="4"/>
    </row>
    <row r="458" spans="1:6" x14ac:dyDescent="0.2">
      <c r="A458" s="1">
        <v>36856</v>
      </c>
      <c r="B458" s="4">
        <v>-16015</v>
      </c>
      <c r="C458" s="15">
        <f>20000-221+237</f>
        <v>20016</v>
      </c>
      <c r="D458" s="15">
        <v>6000</v>
      </c>
      <c r="E458" s="15">
        <v>527</v>
      </c>
      <c r="F458" s="4"/>
    </row>
    <row r="459" spans="1:6" x14ac:dyDescent="0.2">
      <c r="A459" s="1">
        <v>36857</v>
      </c>
      <c r="B459" s="4">
        <f>-13000+6414</f>
        <v>-6586</v>
      </c>
      <c r="C459" s="15">
        <f>20000+8586</f>
        <v>28586</v>
      </c>
      <c r="D459" s="15">
        <v>6000</v>
      </c>
      <c r="E459" s="15">
        <v>-590</v>
      </c>
      <c r="F459" s="4"/>
    </row>
    <row r="460" spans="1:6" x14ac:dyDescent="0.2">
      <c r="A460" s="1">
        <v>36858</v>
      </c>
      <c r="B460" s="4">
        <v>-48000</v>
      </c>
      <c r="C460" s="15">
        <v>11707</v>
      </c>
      <c r="D460" s="15">
        <v>6000</v>
      </c>
      <c r="E460" s="15">
        <v>-127</v>
      </c>
      <c r="F460" s="4"/>
    </row>
    <row r="461" spans="1:6" x14ac:dyDescent="0.2">
      <c r="A461" s="1">
        <v>36859</v>
      </c>
      <c r="B461" s="4">
        <v>-48300</v>
      </c>
      <c r="C461" s="15">
        <v>40000</v>
      </c>
      <c r="D461" s="15">
        <v>6000</v>
      </c>
      <c r="E461" s="15">
        <v>0</v>
      </c>
      <c r="F461" s="4"/>
    </row>
    <row r="462" spans="1:6" x14ac:dyDescent="0.2">
      <c r="A462" s="1">
        <v>36860</v>
      </c>
      <c r="B462" s="4">
        <v>-43000</v>
      </c>
      <c r="C462" s="15">
        <v>40000</v>
      </c>
      <c r="D462" s="15">
        <v>6000</v>
      </c>
      <c r="E462" s="15">
        <v>0</v>
      </c>
      <c r="F462" s="4"/>
    </row>
    <row r="463" spans="1:6" x14ac:dyDescent="0.2">
      <c r="A463" s="1">
        <v>36861</v>
      </c>
      <c r="B463" s="4">
        <f>9000-3142</f>
        <v>5858</v>
      </c>
      <c r="C463" s="15">
        <f>45711+178</f>
        <v>45889</v>
      </c>
      <c r="D463" s="15">
        <v>8000</v>
      </c>
      <c r="E463" s="15">
        <v>-1000</v>
      </c>
      <c r="F463" s="4"/>
    </row>
    <row r="464" spans="1:6" x14ac:dyDescent="0.2">
      <c r="A464" s="1">
        <v>36862</v>
      </c>
      <c r="B464" s="4">
        <f>9000-3142</f>
        <v>5858</v>
      </c>
      <c r="C464" s="15">
        <f>40474+703</f>
        <v>41177</v>
      </c>
      <c r="D464" s="15">
        <f>8000+4921</f>
        <v>12921</v>
      </c>
      <c r="E464" s="15">
        <v>-1000</v>
      </c>
      <c r="F464" s="4"/>
    </row>
    <row r="465" spans="1:6" x14ac:dyDescent="0.2">
      <c r="A465" s="1">
        <v>36863</v>
      </c>
      <c r="B465" s="4">
        <v>9000</v>
      </c>
      <c r="C465" s="15">
        <f>40474+3138</f>
        <v>43612</v>
      </c>
      <c r="D465" s="15">
        <f>8000+3803</f>
        <v>11803</v>
      </c>
      <c r="E465" s="15">
        <v>-1000</v>
      </c>
      <c r="F465" s="4"/>
    </row>
    <row r="466" spans="1:6" x14ac:dyDescent="0.2">
      <c r="A466" s="1">
        <v>36864</v>
      </c>
      <c r="B466" s="4">
        <f>9000-2485</f>
        <v>6515</v>
      </c>
      <c r="C466" s="15">
        <f>75888-4265</f>
        <v>71623</v>
      </c>
      <c r="D466" s="15">
        <v>8000</v>
      </c>
      <c r="E466" s="15">
        <v>-1000</v>
      </c>
      <c r="F466" s="4"/>
    </row>
    <row r="467" spans="1:6" x14ac:dyDescent="0.2">
      <c r="A467" s="1">
        <v>36865</v>
      </c>
      <c r="B467" s="4">
        <v>9000</v>
      </c>
      <c r="C467" s="15">
        <f>106243+10437</f>
        <v>116680</v>
      </c>
      <c r="D467" s="15">
        <f>8000+1832</f>
        <v>9832</v>
      </c>
      <c r="E467" s="15">
        <v>-1000</v>
      </c>
      <c r="F467" s="4"/>
    </row>
    <row r="468" spans="1:6" x14ac:dyDescent="0.2">
      <c r="A468" s="1">
        <v>36866</v>
      </c>
      <c r="B468" s="4">
        <v>9000</v>
      </c>
      <c r="C468" s="15">
        <f>86756+10647</f>
        <v>97403</v>
      </c>
      <c r="D468" s="15">
        <f>8000+1394</f>
        <v>9394</v>
      </c>
      <c r="E468" s="15">
        <v>-1000</v>
      </c>
      <c r="F468" s="4"/>
    </row>
    <row r="469" spans="1:6" x14ac:dyDescent="0.2">
      <c r="A469" s="1">
        <v>36867</v>
      </c>
      <c r="B469" s="4">
        <f>9000-2380</f>
        <v>6620</v>
      </c>
      <c r="C469" s="15">
        <f>84514-2238</f>
        <v>82276</v>
      </c>
      <c r="D469" s="15">
        <v>8000</v>
      </c>
      <c r="E469" s="15">
        <v>-10119</v>
      </c>
      <c r="F469" s="4"/>
    </row>
    <row r="470" spans="1:6" x14ac:dyDescent="0.2">
      <c r="A470" s="1">
        <v>36868</v>
      </c>
      <c r="B470" s="4">
        <f>9000+15000</f>
        <v>24000</v>
      </c>
      <c r="C470" s="15">
        <f>71295+7231</f>
        <v>78526</v>
      </c>
      <c r="D470" s="15">
        <f>8000+8963</f>
        <v>16963</v>
      </c>
      <c r="E470" s="15">
        <v>-1000</v>
      </c>
      <c r="F470" s="4"/>
    </row>
    <row r="471" spans="1:6" x14ac:dyDescent="0.2">
      <c r="A471" s="1">
        <v>36869</v>
      </c>
      <c r="B471" s="4">
        <f>9000+3795</f>
        <v>12795</v>
      </c>
      <c r="C471" s="15">
        <f>55838+7265</f>
        <v>63103</v>
      </c>
      <c r="D471" s="15">
        <v>8000</v>
      </c>
      <c r="E471" s="15">
        <v>-1000</v>
      </c>
      <c r="F471" s="4"/>
    </row>
    <row r="472" spans="1:6" x14ac:dyDescent="0.2">
      <c r="A472" s="1">
        <v>36870</v>
      </c>
      <c r="B472" s="4">
        <f>9000+15000</f>
        <v>24000</v>
      </c>
      <c r="C472" s="15">
        <f>25296+5775</f>
        <v>31071</v>
      </c>
      <c r="D472" s="15">
        <f>8000+14064</f>
        <v>22064</v>
      </c>
      <c r="E472" s="15">
        <v>-1000</v>
      </c>
      <c r="F472" s="4"/>
    </row>
    <row r="473" spans="1:6" x14ac:dyDescent="0.2">
      <c r="A473" s="1">
        <v>36871</v>
      </c>
      <c r="B473" s="4">
        <f>9000-1981</f>
        <v>7019</v>
      </c>
      <c r="C473" s="15">
        <f>107362+10509</f>
        <v>117871</v>
      </c>
      <c r="D473" s="15">
        <v>8000</v>
      </c>
      <c r="E473" s="15">
        <v>-1000</v>
      </c>
      <c r="F473" s="4"/>
    </row>
    <row r="474" spans="1:6" x14ac:dyDescent="0.2">
      <c r="A474" s="1">
        <v>36872</v>
      </c>
      <c r="B474" s="4">
        <f>9000-28637</f>
        <v>-19637</v>
      </c>
      <c r="C474" s="15">
        <f>107362+9531</f>
        <v>116893</v>
      </c>
      <c r="D474" s="15">
        <v>8000</v>
      </c>
      <c r="E474" s="15">
        <v>-1000</v>
      </c>
      <c r="F474" s="4"/>
    </row>
    <row r="475" spans="1:6" x14ac:dyDescent="0.2">
      <c r="A475" s="1">
        <v>36873</v>
      </c>
      <c r="B475" s="4">
        <f>9000-22966</f>
        <v>-13966</v>
      </c>
      <c r="C475" s="15">
        <f>76448+4778</f>
        <v>81226</v>
      </c>
      <c r="D475" s="15">
        <v>8000</v>
      </c>
      <c r="E475" s="15">
        <v>0</v>
      </c>
      <c r="F475" s="4"/>
    </row>
    <row r="476" spans="1:6" x14ac:dyDescent="0.2">
      <c r="A476" s="1">
        <v>36874</v>
      </c>
      <c r="B476" s="4">
        <f>9000-20430</f>
        <v>-11430</v>
      </c>
      <c r="C476" s="15">
        <f>63856-2287</f>
        <v>61569</v>
      </c>
      <c r="D476" s="15">
        <v>8000</v>
      </c>
      <c r="E476" s="15">
        <v>0</v>
      </c>
      <c r="F476" s="4"/>
    </row>
    <row r="477" spans="1:6" x14ac:dyDescent="0.2">
      <c r="A477" s="1">
        <v>36875</v>
      </c>
      <c r="B477" s="4">
        <f>9000-2995</f>
        <v>6005</v>
      </c>
      <c r="C477" s="15">
        <f>35414-10875</f>
        <v>24539</v>
      </c>
      <c r="D477" s="15">
        <f>8000</f>
        <v>8000</v>
      </c>
      <c r="E477" s="15">
        <v>0</v>
      </c>
      <c r="F477" s="4"/>
    </row>
    <row r="478" spans="1:6" x14ac:dyDescent="0.2">
      <c r="A478" s="1">
        <v>36876</v>
      </c>
      <c r="B478" s="4">
        <f>9000-25926</f>
        <v>-16926</v>
      </c>
      <c r="C478" s="15">
        <f>66143-12262</f>
        <v>53881</v>
      </c>
      <c r="D478" s="15">
        <f>8000</f>
        <v>8000</v>
      </c>
      <c r="E478" s="15">
        <v>0</v>
      </c>
      <c r="F478" s="4"/>
    </row>
    <row r="479" spans="1:6" x14ac:dyDescent="0.2">
      <c r="A479" s="1">
        <v>36877</v>
      </c>
      <c r="B479" s="4">
        <f>9000-10017</f>
        <v>-1017</v>
      </c>
      <c r="C479" s="15">
        <f>107362+11675</f>
        <v>119037</v>
      </c>
      <c r="D479" s="15">
        <f>8000</f>
        <v>8000</v>
      </c>
      <c r="E479" s="15">
        <v>0</v>
      </c>
      <c r="F479" s="4"/>
    </row>
    <row r="480" spans="1:6" x14ac:dyDescent="0.2">
      <c r="A480" s="1">
        <v>36878</v>
      </c>
      <c r="B480" s="4">
        <f>9000-12487</f>
        <v>-3487</v>
      </c>
      <c r="C480" s="15">
        <f>86752+10537</f>
        <v>97289</v>
      </c>
      <c r="D480" s="15">
        <f>8000</f>
        <v>8000</v>
      </c>
      <c r="E480" s="15">
        <v>0</v>
      </c>
      <c r="F480" s="4"/>
    </row>
    <row r="481" spans="1:6" x14ac:dyDescent="0.2">
      <c r="A481" s="1">
        <v>36879</v>
      </c>
      <c r="B481" s="4">
        <f>9000-13583</f>
        <v>-4583</v>
      </c>
      <c r="C481" s="15">
        <f>71295+3085</f>
        <v>74380</v>
      </c>
      <c r="D481" s="15">
        <f>8000</f>
        <v>8000</v>
      </c>
      <c r="E481" s="15">
        <v>0</v>
      </c>
      <c r="F481" s="4"/>
    </row>
    <row r="482" spans="1:6" x14ac:dyDescent="0.2">
      <c r="A482" s="1">
        <v>36880</v>
      </c>
      <c r="B482" s="4">
        <f>9000+15000</f>
        <v>24000</v>
      </c>
      <c r="C482" s="15">
        <f>30355+6204</f>
        <v>36559</v>
      </c>
      <c r="D482" s="15">
        <f>8000-12500</f>
        <v>-4500</v>
      </c>
      <c r="E482" s="15">
        <v>0</v>
      </c>
      <c r="F482" s="4"/>
    </row>
    <row r="483" spans="1:6" x14ac:dyDescent="0.2">
      <c r="A483" s="1">
        <v>36881</v>
      </c>
      <c r="B483" s="4">
        <f>9000+12206</f>
        <v>21206</v>
      </c>
      <c r="C483" s="15">
        <f>91906+13508</f>
        <v>105414</v>
      </c>
      <c r="D483" s="15">
        <f>8000+532</f>
        <v>8532</v>
      </c>
      <c r="E483" s="15">
        <v>0</v>
      </c>
      <c r="F483" s="4"/>
    </row>
    <row r="484" spans="1:6" x14ac:dyDescent="0.2">
      <c r="A484" s="1">
        <v>36882</v>
      </c>
      <c r="B484" s="4">
        <v>9000</v>
      </c>
      <c r="C484" s="15">
        <f>45999+11445</f>
        <v>57444</v>
      </c>
      <c r="D484" s="15">
        <v>8000</v>
      </c>
      <c r="E484" s="15">
        <v>0</v>
      </c>
      <c r="F484" s="4"/>
    </row>
    <row r="485" spans="1:6" x14ac:dyDescent="0.2">
      <c r="A485" s="1">
        <v>36883</v>
      </c>
      <c r="B485" s="4">
        <v>9000</v>
      </c>
      <c r="C485" s="15">
        <v>7040</v>
      </c>
      <c r="D485" s="15">
        <v>8000</v>
      </c>
      <c r="E485" s="15">
        <v>0</v>
      </c>
      <c r="F485" s="4"/>
    </row>
    <row r="486" spans="1:6" x14ac:dyDescent="0.2">
      <c r="A486" s="1">
        <v>36884</v>
      </c>
      <c r="B486" s="4">
        <v>9000</v>
      </c>
      <c r="C486" s="15">
        <f>35695+11884</f>
        <v>47579</v>
      </c>
      <c r="D486" s="15">
        <v>8000</v>
      </c>
      <c r="E486" s="15">
        <v>0</v>
      </c>
      <c r="F486" s="4"/>
    </row>
    <row r="487" spans="1:6" x14ac:dyDescent="0.2">
      <c r="A487" s="1">
        <v>36885</v>
      </c>
      <c r="B487" s="4">
        <v>9000</v>
      </c>
      <c r="C487" s="15">
        <f>52783+7217</f>
        <v>60000</v>
      </c>
      <c r="D487" s="15">
        <v>8000</v>
      </c>
      <c r="E487" s="15">
        <v>0</v>
      </c>
      <c r="F487" s="4"/>
    </row>
    <row r="488" spans="1:6" x14ac:dyDescent="0.2">
      <c r="A488" s="1">
        <v>36886</v>
      </c>
      <c r="B488" s="4">
        <v>9000</v>
      </c>
      <c r="C488" s="15">
        <f>12000+4713</f>
        <v>16713</v>
      </c>
      <c r="D488" s="15">
        <v>8000</v>
      </c>
      <c r="E488" s="15">
        <v>0</v>
      </c>
      <c r="F488" s="4"/>
    </row>
    <row r="489" spans="1:6" x14ac:dyDescent="0.2">
      <c r="A489" s="1">
        <v>36887</v>
      </c>
      <c r="B489" s="4">
        <v>9000</v>
      </c>
      <c r="C489" s="15">
        <v>30000</v>
      </c>
      <c r="D489" s="15">
        <v>8000</v>
      </c>
      <c r="E489" s="15">
        <v>0</v>
      </c>
      <c r="F489" s="4"/>
    </row>
    <row r="490" spans="1:6" x14ac:dyDescent="0.2">
      <c r="A490" s="1">
        <v>36888</v>
      </c>
      <c r="B490" s="4">
        <v>9000</v>
      </c>
      <c r="C490" s="15">
        <v>30000</v>
      </c>
      <c r="D490" s="15">
        <v>8000</v>
      </c>
      <c r="E490" s="15">
        <v>0</v>
      </c>
      <c r="F490" s="4"/>
    </row>
    <row r="491" spans="1:6" x14ac:dyDescent="0.2">
      <c r="A491" s="1">
        <v>36889</v>
      </c>
      <c r="B491" s="4">
        <v>9000</v>
      </c>
      <c r="C491" s="15">
        <v>10000</v>
      </c>
      <c r="D491" s="15">
        <v>8000</v>
      </c>
      <c r="E491" s="15">
        <v>0</v>
      </c>
      <c r="F491" s="4"/>
    </row>
    <row r="492" spans="1:6" x14ac:dyDescent="0.2">
      <c r="A492" s="1">
        <v>36890</v>
      </c>
      <c r="B492" s="4">
        <v>9000</v>
      </c>
      <c r="C492" s="15">
        <v>0</v>
      </c>
      <c r="D492" s="15">
        <v>8000</v>
      </c>
      <c r="E492" s="15">
        <v>0</v>
      </c>
      <c r="F492" s="4"/>
    </row>
    <row r="493" spans="1:6" x14ac:dyDescent="0.2">
      <c r="A493" s="1">
        <v>36891</v>
      </c>
      <c r="B493" s="4">
        <v>9000</v>
      </c>
      <c r="C493" s="15">
        <v>0</v>
      </c>
      <c r="D493" s="15">
        <v>8000</v>
      </c>
      <c r="E493" s="15">
        <v>0</v>
      </c>
      <c r="F493" s="4"/>
    </row>
    <row r="494" spans="1:6" x14ac:dyDescent="0.2">
      <c r="A494" s="1">
        <v>36892</v>
      </c>
      <c r="B494" s="4">
        <f>9000-8483</f>
        <v>517</v>
      </c>
      <c r="C494" s="15">
        <f>35600+1850</f>
        <v>37450</v>
      </c>
      <c r="D494" s="15">
        <v>8000</v>
      </c>
      <c r="E494" s="15">
        <v>0</v>
      </c>
      <c r="F494" s="4"/>
    </row>
    <row r="495" spans="1:6" x14ac:dyDescent="0.2">
      <c r="A495" s="1">
        <v>36893</v>
      </c>
      <c r="B495" s="4">
        <f>9000+15000</f>
        <v>24000</v>
      </c>
      <c r="C495" s="15">
        <f>10120+9852</f>
        <v>19972</v>
      </c>
      <c r="D495" s="15">
        <f>8000+14176</f>
        <v>22176</v>
      </c>
      <c r="E495" s="15">
        <v>0</v>
      </c>
      <c r="F495" s="4"/>
    </row>
    <row r="496" spans="1:6" x14ac:dyDescent="0.2">
      <c r="A496" s="1">
        <v>36894</v>
      </c>
      <c r="B496" s="4">
        <f>9000+6066</f>
        <v>15066</v>
      </c>
      <c r="C496" s="15">
        <f>40470+7160</f>
        <v>47630</v>
      </c>
      <c r="D496" s="15">
        <v>8000</v>
      </c>
      <c r="E496" s="15">
        <v>0</v>
      </c>
      <c r="F496" s="4"/>
    </row>
    <row r="497" spans="1:6" x14ac:dyDescent="0.2">
      <c r="A497" s="1">
        <v>36895</v>
      </c>
      <c r="B497" s="4">
        <f>9000+10503</f>
        <v>19503</v>
      </c>
      <c r="C497" s="15">
        <f>20237+5151</f>
        <v>25388</v>
      </c>
      <c r="D497" s="15">
        <v>8000</v>
      </c>
      <c r="E497" s="15">
        <v>0</v>
      </c>
      <c r="F497" s="4"/>
    </row>
    <row r="498" spans="1:6" x14ac:dyDescent="0.2">
      <c r="A498" s="1">
        <v>36896</v>
      </c>
      <c r="B498" s="4">
        <f>9000-12356</f>
        <v>-3356</v>
      </c>
      <c r="C498" s="15">
        <f>33391+25</f>
        <v>33416</v>
      </c>
      <c r="D498" s="15">
        <v>8000</v>
      </c>
      <c r="E498" s="15">
        <v>-20000</v>
      </c>
      <c r="F498" s="4"/>
    </row>
    <row r="499" spans="1:6" x14ac:dyDescent="0.2">
      <c r="A499" s="1">
        <v>36897</v>
      </c>
      <c r="B499" s="4">
        <f>9000-20522</f>
        <v>-11522</v>
      </c>
      <c r="C499" s="15">
        <f>25669+866</f>
        <v>26535</v>
      </c>
      <c r="D499" s="15">
        <v>8000</v>
      </c>
      <c r="E499" s="15">
        <v>0</v>
      </c>
      <c r="F499" s="4"/>
    </row>
    <row r="500" spans="1:6" x14ac:dyDescent="0.2">
      <c r="A500" s="1">
        <v>36898</v>
      </c>
      <c r="B500" s="4">
        <f>9000+1409</f>
        <v>10409</v>
      </c>
      <c r="C500" s="15">
        <f>25669+2093</f>
        <v>27762</v>
      </c>
      <c r="D500" s="15">
        <v>8000</v>
      </c>
      <c r="E500" s="15">
        <v>0</v>
      </c>
      <c r="F500" s="4"/>
    </row>
    <row r="501" spans="1:6" x14ac:dyDescent="0.2">
      <c r="A501" s="1">
        <v>36899</v>
      </c>
      <c r="B501" s="4">
        <f>9000+15000</f>
        <v>24000</v>
      </c>
      <c r="C501" s="15">
        <f>35788+2788</f>
        <v>38576</v>
      </c>
      <c r="D501" s="15">
        <f>8000+5824</f>
        <v>13824</v>
      </c>
      <c r="E501" s="15">
        <v>0</v>
      </c>
      <c r="F501" s="4"/>
    </row>
    <row r="502" spans="1:6" x14ac:dyDescent="0.2">
      <c r="A502" s="1">
        <v>36900</v>
      </c>
      <c r="B502" s="4">
        <f>9000+15000</f>
        <v>24000</v>
      </c>
      <c r="C502" s="15">
        <f>35788-1194</f>
        <v>34594</v>
      </c>
      <c r="D502" s="15">
        <f>8000+8999</f>
        <v>16999</v>
      </c>
      <c r="E502" s="15">
        <v>0</v>
      </c>
      <c r="F502" s="4"/>
    </row>
    <row r="503" spans="1:6" x14ac:dyDescent="0.2">
      <c r="A503" s="1">
        <v>36901</v>
      </c>
      <c r="B503" s="4">
        <f>9000+15000</f>
        <v>24000</v>
      </c>
      <c r="C503" s="15">
        <f>10118-6749</f>
        <v>3369</v>
      </c>
      <c r="D503" s="15">
        <f>8000+640</f>
        <v>8640</v>
      </c>
      <c r="E503" s="15">
        <v>-10000</v>
      </c>
      <c r="F503" s="4"/>
    </row>
    <row r="504" spans="1:6" x14ac:dyDescent="0.2">
      <c r="A504" s="1">
        <v>36902</v>
      </c>
      <c r="B504" s="4">
        <f>9000+13781</f>
        <v>22781</v>
      </c>
      <c r="C504" s="15">
        <f>4047-14424</f>
        <v>-10377</v>
      </c>
      <c r="D504" s="15">
        <v>8000</v>
      </c>
      <c r="E504" s="15">
        <v>0</v>
      </c>
      <c r="F504" s="4"/>
    </row>
    <row r="505" spans="1:6" x14ac:dyDescent="0.2">
      <c r="A505" s="1">
        <v>36903</v>
      </c>
      <c r="B505" s="4">
        <f>9000+15000</f>
        <v>24000</v>
      </c>
      <c r="C505" s="15">
        <v>162</v>
      </c>
      <c r="D505" s="15">
        <f>8000+3183</f>
        <v>11183</v>
      </c>
      <c r="E505" s="15">
        <v>-20000</v>
      </c>
      <c r="F505" s="4"/>
    </row>
    <row r="506" spans="1:6" x14ac:dyDescent="0.2">
      <c r="A506" s="1">
        <v>36904</v>
      </c>
      <c r="B506" s="4">
        <f>9000+9189</f>
        <v>18189</v>
      </c>
      <c r="C506" s="15">
        <v>-1174</v>
      </c>
      <c r="D506" s="15">
        <v>8000</v>
      </c>
      <c r="E506" s="15">
        <v>-40000</v>
      </c>
      <c r="F506" s="4"/>
    </row>
    <row r="507" spans="1:6" x14ac:dyDescent="0.2">
      <c r="A507" s="1">
        <v>36905</v>
      </c>
      <c r="B507" s="4">
        <f>9000+7513</f>
        <v>16513</v>
      </c>
      <c r="C507" s="15">
        <f>10118-14912</f>
        <v>-4794</v>
      </c>
      <c r="D507" s="15">
        <v>8000</v>
      </c>
      <c r="E507" s="15">
        <v>-40000</v>
      </c>
      <c r="F507" s="4"/>
    </row>
    <row r="508" spans="1:6" x14ac:dyDescent="0.2">
      <c r="A508" s="1">
        <v>36906</v>
      </c>
      <c r="B508" s="4">
        <f>9000-10429</f>
        <v>-1429</v>
      </c>
      <c r="C508" s="15">
        <f>30355-1314</f>
        <v>29041</v>
      </c>
      <c r="D508" s="15">
        <v>8000</v>
      </c>
      <c r="E508" s="15">
        <v>-40000</v>
      </c>
      <c r="F508" s="4"/>
    </row>
    <row r="509" spans="1:6" x14ac:dyDescent="0.2">
      <c r="A509" s="1">
        <v>36907</v>
      </c>
      <c r="B509" s="4">
        <f>9000+6111</f>
        <v>15111</v>
      </c>
      <c r="C509" s="15">
        <f>30355-1999</f>
        <v>28356</v>
      </c>
      <c r="D509" s="15">
        <v>8000</v>
      </c>
      <c r="E509" s="15">
        <v>-40000</v>
      </c>
      <c r="F509" s="4"/>
    </row>
    <row r="510" spans="1:6" x14ac:dyDescent="0.2">
      <c r="A510" s="1">
        <v>36908</v>
      </c>
      <c r="B510" s="4">
        <f>9000+5590</f>
        <v>14590</v>
      </c>
      <c r="C510" s="15">
        <f>15178+541</f>
        <v>15719</v>
      </c>
      <c r="D510" s="15">
        <v>8000</v>
      </c>
      <c r="E510" s="15">
        <v>20000</v>
      </c>
      <c r="F510" s="4"/>
    </row>
    <row r="511" spans="1:6" x14ac:dyDescent="0.2">
      <c r="A511" s="1">
        <v>36909</v>
      </c>
      <c r="B511" s="4">
        <f>9000-1590</f>
        <v>7410</v>
      </c>
      <c r="C511" s="15">
        <f>15178-3206</f>
        <v>11972</v>
      </c>
      <c r="D511" s="15">
        <v>8000</v>
      </c>
      <c r="E511" s="15">
        <v>20000</v>
      </c>
      <c r="F511" s="4"/>
    </row>
    <row r="512" spans="1:6" x14ac:dyDescent="0.2">
      <c r="A512" s="1">
        <v>36910</v>
      </c>
      <c r="B512" s="4">
        <f>9000+15000</f>
        <v>24000</v>
      </c>
      <c r="C512" s="15">
        <f>15178+839</f>
        <v>16017</v>
      </c>
      <c r="D512" s="15">
        <f>8000+13029</f>
        <v>21029</v>
      </c>
      <c r="E512" s="15">
        <v>20000</v>
      </c>
      <c r="F512" s="4"/>
    </row>
    <row r="513" spans="1:6" x14ac:dyDescent="0.2">
      <c r="A513" s="1">
        <v>36911</v>
      </c>
      <c r="B513" s="4">
        <f>9000+11050</f>
        <v>20050</v>
      </c>
      <c r="C513" s="15">
        <f>30636+5969</f>
        <v>36605</v>
      </c>
      <c r="D513" s="15">
        <v>8000</v>
      </c>
      <c r="E513" s="15">
        <v>20000</v>
      </c>
      <c r="F513" s="4"/>
    </row>
    <row r="514" spans="1:6" x14ac:dyDescent="0.2">
      <c r="A514" s="1">
        <v>36912</v>
      </c>
      <c r="B514" s="4">
        <f>9000+15000</f>
        <v>24000</v>
      </c>
      <c r="C514" s="15">
        <f>15175+8135</f>
        <v>23310</v>
      </c>
      <c r="D514" s="15">
        <f>8000+12587</f>
        <v>20587</v>
      </c>
      <c r="E514" s="15">
        <v>20000</v>
      </c>
      <c r="F514" s="4"/>
    </row>
    <row r="515" spans="1:6" x14ac:dyDescent="0.2">
      <c r="A515" s="1">
        <v>36913</v>
      </c>
      <c r="B515" s="4">
        <f>9000+5676</f>
        <v>14676</v>
      </c>
      <c r="C515" s="15">
        <f>15178+1607</f>
        <v>16785</v>
      </c>
      <c r="D515" s="15">
        <v>8000</v>
      </c>
      <c r="E515" s="15">
        <v>20000</v>
      </c>
      <c r="F515" s="4"/>
    </row>
    <row r="516" spans="1:6" x14ac:dyDescent="0.2">
      <c r="A516" s="1">
        <v>36914</v>
      </c>
      <c r="B516" s="4">
        <f>9000-3140</f>
        <v>5860</v>
      </c>
      <c r="C516" s="15">
        <f>25296-5172</f>
        <v>20124</v>
      </c>
      <c r="D516" s="15">
        <v>8000</v>
      </c>
      <c r="E516" s="15">
        <v>20000</v>
      </c>
      <c r="F516" s="4"/>
    </row>
    <row r="517" spans="1:6" x14ac:dyDescent="0.2">
      <c r="A517" s="1">
        <v>36915</v>
      </c>
      <c r="B517" s="4">
        <f>9000+10926</f>
        <v>19926</v>
      </c>
      <c r="C517" s="15">
        <f>35417-258</f>
        <v>35159</v>
      </c>
      <c r="D517" s="15">
        <v>8000</v>
      </c>
      <c r="E517" s="15">
        <v>20000</v>
      </c>
      <c r="F517" s="4"/>
    </row>
    <row r="518" spans="1:6" x14ac:dyDescent="0.2">
      <c r="A518" s="1">
        <v>36916</v>
      </c>
      <c r="B518" s="4">
        <f>9000+15000</f>
        <v>24000</v>
      </c>
      <c r="C518" s="15">
        <f>15178+337</f>
        <v>15515</v>
      </c>
      <c r="D518" s="15">
        <f>8000+2366</f>
        <v>10366</v>
      </c>
      <c r="E518" s="15">
        <v>20000</v>
      </c>
      <c r="F518" s="4"/>
    </row>
    <row r="519" spans="1:6" x14ac:dyDescent="0.2">
      <c r="A519" s="1">
        <v>36917</v>
      </c>
      <c r="B519" s="4">
        <f>9000+15000</f>
        <v>24000</v>
      </c>
      <c r="C519" s="15">
        <f>15178-2700</f>
        <v>12478</v>
      </c>
      <c r="D519" s="15">
        <f>8000+3709</f>
        <v>11709</v>
      </c>
      <c r="E519" s="15">
        <v>20000</v>
      </c>
      <c r="F519" s="4"/>
    </row>
    <row r="520" spans="1:6" x14ac:dyDescent="0.2">
      <c r="A520" s="1">
        <v>36918</v>
      </c>
      <c r="B520" s="4">
        <f>9000+14887</f>
        <v>23887</v>
      </c>
      <c r="C520" s="15">
        <f>44521-4398</f>
        <v>40123</v>
      </c>
      <c r="D520" s="15">
        <v>8000</v>
      </c>
      <c r="E520" s="15">
        <v>10000</v>
      </c>
      <c r="F520" s="4"/>
    </row>
    <row r="521" spans="1:6" x14ac:dyDescent="0.2">
      <c r="A521" s="1">
        <v>36919</v>
      </c>
      <c r="B521" s="4">
        <f>9000</f>
        <v>9000</v>
      </c>
      <c r="C521" s="15">
        <f>44521-61</f>
        <v>44460</v>
      </c>
      <c r="D521" s="15">
        <f>8000-4308</f>
        <v>3692</v>
      </c>
      <c r="E521" s="15">
        <v>0</v>
      </c>
      <c r="F521" s="4"/>
    </row>
    <row r="522" spans="1:6" x14ac:dyDescent="0.2">
      <c r="A522" s="1">
        <v>36920</v>
      </c>
      <c r="B522" s="4">
        <f>9000+7581</f>
        <v>16581</v>
      </c>
      <c r="C522" s="15">
        <f>11130-2117</f>
        <v>9013</v>
      </c>
      <c r="D522" s="15">
        <v>8000</v>
      </c>
      <c r="E522" s="15">
        <v>0</v>
      </c>
      <c r="F522" s="4"/>
    </row>
    <row r="523" spans="1:6" x14ac:dyDescent="0.2">
      <c r="A523" s="1">
        <v>36921</v>
      </c>
      <c r="B523" s="4">
        <f>9000</f>
        <v>9000</v>
      </c>
      <c r="C523" s="15">
        <f>15178-654</f>
        <v>14524</v>
      </c>
      <c r="D523" s="15">
        <f>8000-4285</f>
        <v>3715</v>
      </c>
      <c r="E523" s="15">
        <v>0</v>
      </c>
      <c r="F523" s="4"/>
    </row>
    <row r="524" spans="1:6" x14ac:dyDescent="0.2">
      <c r="A524" s="1">
        <v>36922</v>
      </c>
      <c r="B524" s="4">
        <f>9000+2482</f>
        <v>11482</v>
      </c>
      <c r="C524" s="15">
        <f>30355-3309</f>
        <v>27046</v>
      </c>
      <c r="D524" s="15">
        <v>8000</v>
      </c>
      <c r="E524" s="15">
        <v>0</v>
      </c>
      <c r="F524" s="4"/>
    </row>
    <row r="525" spans="1:6" x14ac:dyDescent="0.2">
      <c r="A525" s="1">
        <v>36923</v>
      </c>
      <c r="B525" s="4">
        <f>5000+15000</f>
        <v>20000</v>
      </c>
      <c r="C525" s="15">
        <f>55838+4598</f>
        <v>60436</v>
      </c>
      <c r="D525" s="15">
        <f>10000+8478</f>
        <v>18478</v>
      </c>
      <c r="E525" s="15">
        <v>0</v>
      </c>
      <c r="F525" s="4"/>
    </row>
    <row r="526" spans="1:6" x14ac:dyDescent="0.2">
      <c r="A526" s="1">
        <v>36924</v>
      </c>
      <c r="B526" s="4">
        <f>5000</f>
        <v>5000</v>
      </c>
      <c r="C526" s="15">
        <f>107362+6752</f>
        <v>114114</v>
      </c>
      <c r="D526" s="15">
        <f>10000-3201</f>
        <v>6799</v>
      </c>
      <c r="E526" s="15">
        <v>0</v>
      </c>
      <c r="F526" s="4"/>
    </row>
    <row r="527" spans="1:6" x14ac:dyDescent="0.2">
      <c r="A527" s="1">
        <v>36925</v>
      </c>
      <c r="B527" s="4">
        <f>5000</f>
        <v>5000</v>
      </c>
      <c r="C527" s="15">
        <f>56024-9812</f>
        <v>46212</v>
      </c>
      <c r="D527" s="15">
        <f>10000</f>
        <v>10000</v>
      </c>
      <c r="E527" s="15">
        <v>0</v>
      </c>
      <c r="F527" s="4"/>
    </row>
    <row r="528" spans="1:6" x14ac:dyDescent="0.2">
      <c r="A528" s="1">
        <v>36926</v>
      </c>
      <c r="B528" s="4">
        <f>5000</f>
        <v>5000</v>
      </c>
      <c r="C528" s="15">
        <f>56024-19720</f>
        <v>36304</v>
      </c>
      <c r="D528" s="15">
        <f>10000-4298</f>
        <v>5702</v>
      </c>
      <c r="E528" s="15">
        <v>0</v>
      </c>
      <c r="F528" s="4"/>
    </row>
    <row r="529" spans="1:6" x14ac:dyDescent="0.2">
      <c r="A529" s="1">
        <v>36927</v>
      </c>
      <c r="B529" s="4">
        <f>5000</f>
        <v>5000</v>
      </c>
      <c r="C529" s="15">
        <f>35788-2550</f>
        <v>33238</v>
      </c>
      <c r="D529" s="15">
        <f>10000-5600</f>
        <v>4400</v>
      </c>
      <c r="E529" s="15">
        <v>0</v>
      </c>
      <c r="F529" s="4"/>
    </row>
    <row r="530" spans="1:6" x14ac:dyDescent="0.2">
      <c r="A530" s="1">
        <v>36928</v>
      </c>
      <c r="B530" s="4">
        <f>5000+6342</f>
        <v>11342</v>
      </c>
      <c r="C530" s="15">
        <f>40474-4536</f>
        <v>35938</v>
      </c>
      <c r="D530" s="15">
        <f>10000</f>
        <v>10000</v>
      </c>
      <c r="E530" s="15">
        <v>0</v>
      </c>
      <c r="F530" s="4"/>
    </row>
    <row r="531" spans="1:6" x14ac:dyDescent="0.2">
      <c r="A531" s="1">
        <v>36929</v>
      </c>
      <c r="B531" s="4">
        <f>5000+14777</f>
        <v>19777</v>
      </c>
      <c r="C531" s="15">
        <f>15178+2411</f>
        <v>17589</v>
      </c>
      <c r="D531" s="15">
        <f>10000</f>
        <v>10000</v>
      </c>
      <c r="E531" s="15">
        <v>0</v>
      </c>
      <c r="F531" s="4"/>
    </row>
    <row r="532" spans="1:6" x14ac:dyDescent="0.2">
      <c r="A532" s="1">
        <v>36930</v>
      </c>
      <c r="B532" s="4">
        <f>5000</f>
        <v>5000</v>
      </c>
      <c r="C532" s="15">
        <v>-13462</v>
      </c>
      <c r="D532" s="15">
        <f>10000-3957</f>
        <v>6043</v>
      </c>
      <c r="E532" s="15">
        <v>0</v>
      </c>
      <c r="F532" s="4"/>
    </row>
    <row r="533" spans="1:6" x14ac:dyDescent="0.2">
      <c r="A533" s="1">
        <v>36931</v>
      </c>
      <c r="B533" s="4">
        <f>5000+15000</f>
        <v>20000</v>
      </c>
      <c r="C533" s="15">
        <f>33391-3289</f>
        <v>30102</v>
      </c>
      <c r="D533" s="15">
        <f>10000+9337</f>
        <v>19337</v>
      </c>
      <c r="E533" s="15">
        <v>0</v>
      </c>
      <c r="F533" s="4"/>
    </row>
    <row r="534" spans="1:6" x14ac:dyDescent="0.2">
      <c r="A534" s="1">
        <v>36932</v>
      </c>
      <c r="B534" s="4">
        <f>5000+15000</f>
        <v>20000</v>
      </c>
      <c r="C534" s="15">
        <f>55838+5505</f>
        <v>61343</v>
      </c>
      <c r="D534" s="15">
        <f>10000+874</f>
        <v>10874</v>
      </c>
      <c r="E534" s="15">
        <v>0</v>
      </c>
      <c r="F534" s="4"/>
    </row>
    <row r="535" spans="1:6" x14ac:dyDescent="0.2">
      <c r="A535" s="1">
        <v>36933</v>
      </c>
      <c r="B535" s="4">
        <f>5000+15000</f>
        <v>20000</v>
      </c>
      <c r="C535" s="15">
        <f>30542+5806</f>
        <v>36348</v>
      </c>
      <c r="D535" s="15">
        <f>10000+5912</f>
        <v>15912</v>
      </c>
      <c r="E535" s="15">
        <v>0</v>
      </c>
      <c r="F535" s="4"/>
    </row>
    <row r="536" spans="1:6" x14ac:dyDescent="0.2">
      <c r="A536" s="1">
        <v>36934</v>
      </c>
      <c r="B536" s="4">
        <f>5000</f>
        <v>5000</v>
      </c>
      <c r="C536" s="15">
        <f>20305-12362</f>
        <v>7943</v>
      </c>
      <c r="D536" s="15">
        <f>10000</f>
        <v>10000</v>
      </c>
      <c r="E536" s="15">
        <v>0</v>
      </c>
      <c r="F536" s="4"/>
    </row>
    <row r="537" spans="1:6" x14ac:dyDescent="0.2">
      <c r="A537" s="1">
        <v>36935</v>
      </c>
      <c r="B537" s="4">
        <v>5000</v>
      </c>
      <c r="C537" s="15">
        <v>-310</v>
      </c>
      <c r="D537" s="15">
        <f>10000-1696</f>
        <v>8304</v>
      </c>
      <c r="E537" s="15">
        <v>0</v>
      </c>
      <c r="F537" s="4"/>
    </row>
    <row r="538" spans="1:6" x14ac:dyDescent="0.2">
      <c r="A538" s="1">
        <v>36936</v>
      </c>
      <c r="B538" s="4">
        <f>5000+4404</f>
        <v>9404</v>
      </c>
      <c r="C538" s="15">
        <f>35414+4172</f>
        <v>39586</v>
      </c>
      <c r="D538" s="15">
        <f>10000</f>
        <v>10000</v>
      </c>
      <c r="E538" s="15">
        <v>0</v>
      </c>
      <c r="F538" s="4"/>
    </row>
    <row r="539" spans="1:6" x14ac:dyDescent="0.2">
      <c r="A539" s="1">
        <v>36937</v>
      </c>
      <c r="B539" s="4">
        <f>5000+76</f>
        <v>5076</v>
      </c>
      <c r="C539" s="15">
        <f>35414+216</f>
        <v>35630</v>
      </c>
      <c r="D539" s="15">
        <f>10000</f>
        <v>10000</v>
      </c>
      <c r="E539" s="15">
        <v>0</v>
      </c>
      <c r="F539" s="4"/>
    </row>
    <row r="540" spans="1:6" x14ac:dyDescent="0.2">
      <c r="A540" s="1">
        <v>36938</v>
      </c>
      <c r="B540" s="4">
        <f>5000+15000</f>
        <v>20000</v>
      </c>
      <c r="C540" s="15">
        <f>55838+5032</f>
        <v>60870</v>
      </c>
      <c r="D540" s="15">
        <f>10000+7555</f>
        <v>17555</v>
      </c>
      <c r="E540" s="15">
        <v>0</v>
      </c>
      <c r="F540" s="4"/>
    </row>
    <row r="541" spans="1:6" x14ac:dyDescent="0.2">
      <c r="A541" s="1">
        <v>36939</v>
      </c>
      <c r="B541" s="4">
        <f>5000</f>
        <v>5000</v>
      </c>
      <c r="C541" s="15">
        <f>107362+9728</f>
        <v>117090</v>
      </c>
      <c r="D541" s="15">
        <f>10000-1123</f>
        <v>8877</v>
      </c>
      <c r="E541" s="15">
        <v>0</v>
      </c>
      <c r="F541" s="4"/>
    </row>
    <row r="542" spans="1:6" x14ac:dyDescent="0.2">
      <c r="A542" s="1">
        <v>36940</v>
      </c>
      <c r="B542" s="4">
        <f>5000+11770</f>
        <v>16770</v>
      </c>
      <c r="C542" s="15">
        <f>46093+4072</f>
        <v>50165</v>
      </c>
      <c r="D542" s="15">
        <f>10000</f>
        <v>10000</v>
      </c>
      <c r="E542" s="15">
        <v>0</v>
      </c>
      <c r="F542" s="4"/>
    </row>
    <row r="543" spans="1:6" x14ac:dyDescent="0.2">
      <c r="A543" s="1">
        <v>36941</v>
      </c>
      <c r="B543" s="4">
        <f>5000</f>
        <v>5000</v>
      </c>
      <c r="C543" s="15">
        <f>46093-2416</f>
        <v>43677</v>
      </c>
      <c r="D543" s="15">
        <f>10000-22009</f>
        <v>-12009</v>
      </c>
      <c r="E543" s="15">
        <v>0</v>
      </c>
      <c r="F543" s="4"/>
    </row>
    <row r="544" spans="1:6" x14ac:dyDescent="0.2">
      <c r="A544" s="1">
        <v>36942</v>
      </c>
      <c r="B544" s="4">
        <f>5000+3859</f>
        <v>8859</v>
      </c>
      <c r="C544" s="15">
        <f>56211+185</f>
        <v>56396</v>
      </c>
      <c r="D544" s="15">
        <f>10000</f>
        <v>10000</v>
      </c>
      <c r="E544" s="15">
        <v>0</v>
      </c>
      <c r="F544" s="4"/>
    </row>
    <row r="545" spans="1:6" x14ac:dyDescent="0.2">
      <c r="A545" s="1">
        <v>36943</v>
      </c>
      <c r="B545" s="4">
        <v>5000</v>
      </c>
      <c r="C545" s="15">
        <f>56211-10124</f>
        <v>46087</v>
      </c>
      <c r="D545" s="15">
        <f>10000-4911</f>
        <v>5089</v>
      </c>
      <c r="E545" s="15">
        <v>0</v>
      </c>
      <c r="F545" s="4"/>
    </row>
    <row r="546" spans="1:6" x14ac:dyDescent="0.2">
      <c r="A546" s="1">
        <v>36944</v>
      </c>
      <c r="B546" s="4">
        <f>5000+15000</f>
        <v>20000</v>
      </c>
      <c r="C546" s="15">
        <f>45533+260</f>
        <v>45793</v>
      </c>
      <c r="D546" s="15">
        <f>10000+43</f>
        <v>10043</v>
      </c>
      <c r="E546" s="15">
        <v>0</v>
      </c>
      <c r="F546" s="4"/>
    </row>
    <row r="547" spans="1:6" x14ac:dyDescent="0.2">
      <c r="A547" s="1">
        <v>36945</v>
      </c>
      <c r="B547" s="4">
        <f>5000+11249</f>
        <v>16249</v>
      </c>
      <c r="C547" s="15">
        <f>15178+654</f>
        <v>15832</v>
      </c>
      <c r="D547" s="15">
        <v>10000</v>
      </c>
      <c r="E547" s="15">
        <v>0</v>
      </c>
      <c r="F547" s="4"/>
    </row>
    <row r="548" spans="1:6" x14ac:dyDescent="0.2">
      <c r="A548" s="1">
        <v>36946</v>
      </c>
      <c r="B548" s="4">
        <f>5000+9699</f>
        <v>14699</v>
      </c>
      <c r="C548" s="15">
        <f>520</f>
        <v>520</v>
      </c>
      <c r="D548" s="15">
        <v>10000</v>
      </c>
      <c r="E548" s="15">
        <v>0</v>
      </c>
      <c r="F548" s="4"/>
    </row>
    <row r="549" spans="1:6" x14ac:dyDescent="0.2">
      <c r="A549" s="1">
        <v>36947</v>
      </c>
      <c r="B549" s="4">
        <f>5000+5379</f>
        <v>10379</v>
      </c>
      <c r="C549" s="15">
        <f>45533+3453</f>
        <v>48986</v>
      </c>
      <c r="D549" s="15">
        <v>10000</v>
      </c>
      <c r="E549" s="15">
        <v>0</v>
      </c>
      <c r="F549" s="4"/>
    </row>
    <row r="550" spans="1:6" x14ac:dyDescent="0.2">
      <c r="A550" s="1">
        <v>36948</v>
      </c>
      <c r="B550" s="4">
        <f>5000+3555</f>
        <v>8555</v>
      </c>
      <c r="C550" s="15">
        <f>30355-2015</f>
        <v>28340</v>
      </c>
      <c r="D550" s="15">
        <v>10000</v>
      </c>
      <c r="E550" s="15">
        <v>0</v>
      </c>
      <c r="F550" s="4"/>
    </row>
    <row r="551" spans="1:6" x14ac:dyDescent="0.2">
      <c r="A551" s="1">
        <v>36949</v>
      </c>
      <c r="B551" s="4">
        <f>5000+15000</f>
        <v>20000</v>
      </c>
      <c r="C551" s="15">
        <f>50965+3342</f>
        <v>54307</v>
      </c>
      <c r="D551" s="15">
        <f>10000+491</f>
        <v>10491</v>
      </c>
      <c r="E551" s="15">
        <v>0</v>
      </c>
      <c r="F551" s="4"/>
    </row>
    <row r="552" spans="1:6" x14ac:dyDescent="0.2">
      <c r="A552" s="1">
        <v>36950</v>
      </c>
      <c r="B552" s="4">
        <f>5000+5573</f>
        <v>10573</v>
      </c>
      <c r="C552" s="15">
        <f>40474+3258</f>
        <v>43732</v>
      </c>
      <c r="D552" s="15">
        <v>10000</v>
      </c>
      <c r="E552" s="15">
        <v>0</v>
      </c>
      <c r="F552" s="4"/>
    </row>
    <row r="553" spans="1:6" x14ac:dyDescent="0.2">
      <c r="A553" s="1">
        <v>36951</v>
      </c>
      <c r="B553" s="4">
        <f>5000</f>
        <v>5000</v>
      </c>
      <c r="C553" s="15">
        <f>55000-13490</f>
        <v>41510</v>
      </c>
      <c r="D553" s="15">
        <f>10000-6827</f>
        <v>3173</v>
      </c>
      <c r="E553" s="15">
        <v>0</v>
      </c>
      <c r="F553" s="4"/>
    </row>
    <row r="554" spans="1:6" x14ac:dyDescent="0.2">
      <c r="A554" s="1">
        <v>36952</v>
      </c>
      <c r="B554" s="4">
        <f>5000+978</f>
        <v>5978</v>
      </c>
      <c r="C554" s="15">
        <f>40000-10329</f>
        <v>29671</v>
      </c>
      <c r="D554" s="15">
        <v>10000</v>
      </c>
      <c r="E554" s="15">
        <v>0</v>
      </c>
      <c r="F554" s="4"/>
    </row>
    <row r="555" spans="1:6" x14ac:dyDescent="0.2">
      <c r="A555" s="1">
        <v>36953</v>
      </c>
      <c r="B555" s="4">
        <f>5000+776</f>
        <v>5776</v>
      </c>
      <c r="C555" s="15">
        <f>30000-15652</f>
        <v>14348</v>
      </c>
      <c r="D555" s="15">
        <v>10000</v>
      </c>
      <c r="E555" s="15">
        <v>0</v>
      </c>
      <c r="F555" s="4"/>
    </row>
    <row r="556" spans="1:6" x14ac:dyDescent="0.2">
      <c r="A556" s="1">
        <v>36954</v>
      </c>
      <c r="B556" s="4">
        <f>5000+15000</f>
        <v>20000</v>
      </c>
      <c r="C556" s="15">
        <f>40000+3401</f>
        <v>43401</v>
      </c>
      <c r="D556" s="15">
        <f>10000+14385</f>
        <v>24385</v>
      </c>
      <c r="E556" s="15">
        <v>0</v>
      </c>
      <c r="F556" s="4"/>
    </row>
    <row r="557" spans="1:6" x14ac:dyDescent="0.2">
      <c r="A557" s="1">
        <v>36955</v>
      </c>
      <c r="B557" s="4">
        <f>5000</f>
        <v>5000</v>
      </c>
      <c r="C557" s="15">
        <f>90000+5212</f>
        <v>95212</v>
      </c>
      <c r="D557" s="15">
        <f>10000-5034</f>
        <v>4966</v>
      </c>
      <c r="E557" s="15">
        <v>0</v>
      </c>
      <c r="F557" s="4"/>
    </row>
    <row r="558" spans="1:6" x14ac:dyDescent="0.2">
      <c r="A558" s="1">
        <v>36956</v>
      </c>
      <c r="B558" s="4">
        <v>5000</v>
      </c>
      <c r="C558" s="15">
        <f>80000+57</f>
        <v>80057</v>
      </c>
      <c r="D558" s="15">
        <f>10000-10994</f>
        <v>-994</v>
      </c>
      <c r="E558" s="15">
        <v>0</v>
      </c>
      <c r="F558" s="4"/>
    </row>
    <row r="559" spans="1:6" x14ac:dyDescent="0.2">
      <c r="A559" s="1">
        <v>36957</v>
      </c>
      <c r="B559" s="4">
        <f>5000-7119</f>
        <v>-2119</v>
      </c>
      <c r="C559" s="15">
        <f>60000-4918</f>
        <v>55082</v>
      </c>
      <c r="D559" s="15">
        <f>10000-13500</f>
        <v>-3500</v>
      </c>
      <c r="E559" s="15">
        <v>0</v>
      </c>
      <c r="F559" s="4"/>
    </row>
    <row r="560" spans="1:6" x14ac:dyDescent="0.2">
      <c r="A560" s="1">
        <v>36958</v>
      </c>
      <c r="B560" s="4">
        <f>5000+1940</f>
        <v>6940</v>
      </c>
      <c r="C560" s="15">
        <f>60000+388</f>
        <v>60388</v>
      </c>
      <c r="D560" s="15">
        <v>10000</v>
      </c>
      <c r="E560" s="15">
        <v>0</v>
      </c>
      <c r="F560" s="4"/>
    </row>
    <row r="561" spans="1:7" x14ac:dyDescent="0.2">
      <c r="A561" s="1">
        <v>36959</v>
      </c>
      <c r="B561" s="4">
        <v>5000</v>
      </c>
      <c r="C561" s="15">
        <f>50000-1680</f>
        <v>48320</v>
      </c>
      <c r="D561" s="15">
        <f>10000-4415</f>
        <v>5585</v>
      </c>
      <c r="E561" s="15">
        <v>0</v>
      </c>
      <c r="F561" s="4"/>
    </row>
    <row r="562" spans="1:7" x14ac:dyDescent="0.2">
      <c r="A562" s="1">
        <v>36960</v>
      </c>
      <c r="B562" s="4">
        <f>5000+62</f>
        <v>5062</v>
      </c>
      <c r="C562" s="15">
        <f>10000-7088</f>
        <v>2912</v>
      </c>
      <c r="D562" s="15">
        <v>10000</v>
      </c>
      <c r="E562" s="15">
        <v>0</v>
      </c>
      <c r="F562" s="4"/>
    </row>
    <row r="563" spans="1:7" x14ac:dyDescent="0.2">
      <c r="A563" s="1">
        <v>36961</v>
      </c>
      <c r="B563" s="4">
        <f>5000+11003</f>
        <v>16003</v>
      </c>
      <c r="C563" s="15">
        <f>10000-219</f>
        <v>9781</v>
      </c>
      <c r="D563" s="15">
        <v>10000</v>
      </c>
      <c r="E563" s="15">
        <v>0</v>
      </c>
      <c r="F563" s="4"/>
    </row>
    <row r="564" spans="1:7" x14ac:dyDescent="0.2">
      <c r="A564" s="1">
        <v>36962</v>
      </c>
      <c r="B564" s="4">
        <f>5000+8606</f>
        <v>13606</v>
      </c>
      <c r="C564" s="15">
        <f>10000+1333</f>
        <v>11333</v>
      </c>
      <c r="D564" s="15">
        <v>10000</v>
      </c>
      <c r="E564" s="15">
        <v>0</v>
      </c>
      <c r="F564" s="4"/>
      <c r="G564" s="25"/>
    </row>
    <row r="565" spans="1:7" x14ac:dyDescent="0.2">
      <c r="A565" s="1">
        <v>36963</v>
      </c>
      <c r="B565" s="4">
        <v>5000</v>
      </c>
      <c r="C565" s="15">
        <f>40000+57</f>
        <v>40057</v>
      </c>
      <c r="D565" s="15">
        <f>10000-11200</f>
        <v>-1200</v>
      </c>
      <c r="E565" s="15">
        <v>0</v>
      </c>
      <c r="F565" s="4"/>
      <c r="G565" s="25"/>
    </row>
    <row r="566" spans="1:7" x14ac:dyDescent="0.2">
      <c r="A566" s="1">
        <v>36964</v>
      </c>
      <c r="B566" s="4">
        <f>5000-14576</f>
        <v>-9576</v>
      </c>
      <c r="C566" s="15">
        <f>6000-4682</f>
        <v>1318</v>
      </c>
      <c r="D566" s="15">
        <v>10000</v>
      </c>
      <c r="E566" s="15">
        <v>0</v>
      </c>
      <c r="F566" s="4"/>
    </row>
    <row r="567" spans="1:7" x14ac:dyDescent="0.2">
      <c r="A567" s="1">
        <v>36965</v>
      </c>
      <c r="B567" s="4">
        <f>5000+14974</f>
        <v>19974</v>
      </c>
      <c r="C567" s="15">
        <f>20000+3849</f>
        <v>23849</v>
      </c>
      <c r="D567" s="15">
        <v>10000</v>
      </c>
      <c r="E567" s="15">
        <v>0</v>
      </c>
      <c r="F567" s="4"/>
    </row>
    <row r="568" spans="1:7" x14ac:dyDescent="0.2">
      <c r="A568" s="1">
        <v>36966</v>
      </c>
      <c r="B568" s="4">
        <f>5000-2608</f>
        <v>2392</v>
      </c>
      <c r="C568" s="15">
        <f>45000+794</f>
        <v>45794</v>
      </c>
      <c r="D568" s="15">
        <v>10000</v>
      </c>
      <c r="E568" s="15">
        <v>0</v>
      </c>
      <c r="F568" s="4"/>
    </row>
    <row r="569" spans="1:7" x14ac:dyDescent="0.2">
      <c r="A569" s="1">
        <v>36967</v>
      </c>
      <c r="B569" s="4">
        <f>5000-9446</f>
        <v>-4446</v>
      </c>
      <c r="C569" s="15">
        <f>40000-3032</f>
        <v>36968</v>
      </c>
      <c r="D569" s="15">
        <v>10000</v>
      </c>
      <c r="E569" s="15">
        <v>0</v>
      </c>
      <c r="F569" s="4"/>
    </row>
    <row r="570" spans="1:7" x14ac:dyDescent="0.2">
      <c r="A570" s="1">
        <v>36968</v>
      </c>
      <c r="B570" s="4">
        <f>5000+7330</f>
        <v>12330</v>
      </c>
      <c r="C570" s="15">
        <f>20000-8920</f>
        <v>11080</v>
      </c>
      <c r="D570" s="15">
        <v>10000</v>
      </c>
      <c r="E570" s="15">
        <v>0</v>
      </c>
      <c r="F570" s="4"/>
    </row>
    <row r="571" spans="1:7" x14ac:dyDescent="0.2">
      <c r="A571" s="1">
        <v>36969</v>
      </c>
      <c r="B571" s="4">
        <f>5000+6100</f>
        <v>11100</v>
      </c>
      <c r="C571" s="15">
        <f>5402</f>
        <v>5402</v>
      </c>
      <c r="D571" s="15">
        <v>10000</v>
      </c>
      <c r="E571" s="15">
        <v>0</v>
      </c>
      <c r="F571" s="4"/>
    </row>
    <row r="572" spans="1:7" x14ac:dyDescent="0.2">
      <c r="A572" s="1">
        <v>36970</v>
      </c>
      <c r="B572" s="4">
        <f>5000+4238</f>
        <v>9238</v>
      </c>
      <c r="C572" s="15">
        <f>-6226</f>
        <v>-6226</v>
      </c>
      <c r="D572" s="15">
        <v>10000</v>
      </c>
      <c r="E572" s="15">
        <v>0</v>
      </c>
      <c r="F572" s="4"/>
    </row>
    <row r="573" spans="1:7" x14ac:dyDescent="0.2">
      <c r="A573" s="1">
        <v>36971</v>
      </c>
      <c r="B573" s="4">
        <f>5000+1446</f>
        <v>6446</v>
      </c>
      <c r="C573" s="15">
        <f>-2397</f>
        <v>-2397</v>
      </c>
      <c r="D573" s="15">
        <v>10000</v>
      </c>
      <c r="E573" s="15">
        <v>0</v>
      </c>
      <c r="F573" s="4"/>
    </row>
    <row r="574" spans="1:7" x14ac:dyDescent="0.2">
      <c r="A574" s="1">
        <v>36972</v>
      </c>
      <c r="B574" s="4">
        <f>5000-9778</f>
        <v>-4778</v>
      </c>
      <c r="C574" s="15">
        <v>135</v>
      </c>
      <c r="D574" s="15">
        <v>10000</v>
      </c>
      <c r="E574" s="15">
        <v>0</v>
      </c>
      <c r="F574" s="4"/>
    </row>
    <row r="575" spans="1:7" x14ac:dyDescent="0.2">
      <c r="A575" s="1">
        <v>36973</v>
      </c>
      <c r="B575" s="4">
        <f>5000-10531</f>
        <v>-5531</v>
      </c>
      <c r="C575" s="15">
        <v>159</v>
      </c>
      <c r="D575" s="15">
        <v>10000</v>
      </c>
      <c r="E575" s="15">
        <v>0</v>
      </c>
      <c r="F575" s="4"/>
    </row>
    <row r="576" spans="1:7" x14ac:dyDescent="0.2">
      <c r="A576" s="1">
        <v>36974</v>
      </c>
      <c r="B576" s="4">
        <f>5000+3459</f>
        <v>8459</v>
      </c>
      <c r="C576" s="15">
        <f>39000+322</f>
        <v>39322</v>
      </c>
      <c r="D576" s="15">
        <v>10000</v>
      </c>
      <c r="E576" s="15">
        <v>0</v>
      </c>
      <c r="F576" s="4"/>
    </row>
    <row r="577" spans="1:6" x14ac:dyDescent="0.2">
      <c r="A577" s="1">
        <v>36975</v>
      </c>
      <c r="B577" s="4">
        <f>5000+3700</f>
        <v>8700</v>
      </c>
      <c r="C577" s="15">
        <f>45000+12459</f>
        <v>57459</v>
      </c>
      <c r="D577" s="15">
        <f>10000+16250</f>
        <v>26250</v>
      </c>
      <c r="E577" s="15">
        <v>0</v>
      </c>
      <c r="F577" s="4"/>
    </row>
    <row r="578" spans="1:6" x14ac:dyDescent="0.2">
      <c r="A578" s="1">
        <v>36976</v>
      </c>
      <c r="B578" s="4">
        <f>5000-35000</f>
        <v>-30000</v>
      </c>
      <c r="C578" s="15">
        <f>97000-14384</f>
        <v>82616</v>
      </c>
      <c r="D578" s="15">
        <f>10000-7617</f>
        <v>2383</v>
      </c>
      <c r="E578" s="15">
        <v>0</v>
      </c>
      <c r="F578" s="4"/>
    </row>
    <row r="579" spans="1:6" x14ac:dyDescent="0.2">
      <c r="A579" s="1">
        <v>36977</v>
      </c>
      <c r="B579" s="4">
        <f>5000-2172</f>
        <v>2828</v>
      </c>
      <c r="C579" s="15">
        <f>24000+17</f>
        <v>24017</v>
      </c>
      <c r="D579" s="15">
        <f>10000</f>
        <v>10000</v>
      </c>
      <c r="E579" s="15">
        <v>0</v>
      </c>
      <c r="F579" s="4"/>
    </row>
    <row r="580" spans="1:6" x14ac:dyDescent="0.2">
      <c r="A580" s="1">
        <v>36978</v>
      </c>
      <c r="B580" s="4">
        <f>5000-1314</f>
        <v>3686</v>
      </c>
      <c r="C580" s="15">
        <f>12000-19125</f>
        <v>-7125</v>
      </c>
      <c r="D580" s="15">
        <f>10000</f>
        <v>10000</v>
      </c>
      <c r="E580" s="15">
        <v>0</v>
      </c>
      <c r="F580" s="4"/>
    </row>
    <row r="581" spans="1:6" x14ac:dyDescent="0.2">
      <c r="A581" s="1">
        <v>36979</v>
      </c>
      <c r="B581" s="4">
        <f>5000-4126</f>
        <v>874</v>
      </c>
      <c r="C581" s="15">
        <f>-519</f>
        <v>-519</v>
      </c>
      <c r="D581" s="15">
        <f>10000</f>
        <v>10000</v>
      </c>
      <c r="E581" s="15">
        <v>0</v>
      </c>
      <c r="F581" s="4"/>
    </row>
    <row r="582" spans="1:6" x14ac:dyDescent="0.2">
      <c r="A582" s="1">
        <v>36980</v>
      </c>
      <c r="B582" s="4">
        <f>5000</f>
        <v>5000</v>
      </c>
      <c r="C582" s="15">
        <f>-12509</f>
        <v>-12509</v>
      </c>
      <c r="D582" s="15">
        <v>10000</v>
      </c>
      <c r="E582" s="15">
        <v>0</v>
      </c>
      <c r="F582" s="4"/>
    </row>
    <row r="583" spans="1:6" x14ac:dyDescent="0.2">
      <c r="A583" s="1">
        <v>36981</v>
      </c>
      <c r="B583" s="4">
        <f>5000</f>
        <v>5000</v>
      </c>
      <c r="C583" s="15">
        <f>-13112</f>
        <v>-13112</v>
      </c>
      <c r="D583" s="15">
        <v>10000</v>
      </c>
      <c r="E583" s="15">
        <v>0</v>
      </c>
      <c r="F583" s="4"/>
    </row>
    <row r="584" spans="1:6" x14ac:dyDescent="0.2">
      <c r="A584" s="1">
        <v>36982</v>
      </c>
      <c r="B584" s="4">
        <f>10000+2797</f>
        <v>12797</v>
      </c>
      <c r="C584" s="15">
        <f>-19000+497</f>
        <v>-18503</v>
      </c>
      <c r="D584" s="15">
        <f>5000+10750</f>
        <v>15750</v>
      </c>
      <c r="E584" s="15">
        <v>0</v>
      </c>
      <c r="F584" s="4"/>
    </row>
    <row r="585" spans="1:6" x14ac:dyDescent="0.2">
      <c r="A585" s="1">
        <v>36983</v>
      </c>
      <c r="B585" s="4">
        <f>10000+4527</f>
        <v>14527</v>
      </c>
      <c r="C585" s="15">
        <f>-20000</f>
        <v>-20000</v>
      </c>
      <c r="D585" s="15">
        <f>5000+10750</f>
        <v>15750</v>
      </c>
      <c r="E585" s="15">
        <v>0</v>
      </c>
      <c r="F585" s="4"/>
    </row>
    <row r="586" spans="1:6" x14ac:dyDescent="0.2">
      <c r="A586" s="1">
        <v>36984</v>
      </c>
      <c r="B586" s="4">
        <f>10000+1694</f>
        <v>11694</v>
      </c>
      <c r="C586" s="15">
        <f>-20000</f>
        <v>-20000</v>
      </c>
      <c r="D586" s="15">
        <f>25000</f>
        <v>25000</v>
      </c>
      <c r="E586" s="15">
        <v>0</v>
      </c>
      <c r="F586" s="4"/>
    </row>
    <row r="587" spans="1:6" x14ac:dyDescent="0.2">
      <c r="A587" s="1">
        <v>36985</v>
      </c>
      <c r="B587" s="4">
        <f>10000+15306</f>
        <v>25306</v>
      </c>
      <c r="C587" s="15">
        <f>-19000-15797</f>
        <v>-34797</v>
      </c>
      <c r="D587" s="15">
        <f>5000</f>
        <v>5000</v>
      </c>
      <c r="E587" s="15">
        <v>0</v>
      </c>
      <c r="F587" s="4"/>
    </row>
    <row r="588" spans="1:6" x14ac:dyDescent="0.2">
      <c r="A588" s="1">
        <v>36986</v>
      </c>
      <c r="B588" s="4">
        <f>10000</f>
        <v>10000</v>
      </c>
      <c r="C588" s="15">
        <f>-19000-19966</f>
        <v>-38966</v>
      </c>
      <c r="D588" s="15">
        <f>5000+1206</f>
        <v>6206</v>
      </c>
      <c r="E588" s="15">
        <v>0</v>
      </c>
      <c r="F588" s="4"/>
    </row>
    <row r="589" spans="1:6" x14ac:dyDescent="0.2">
      <c r="A589" s="1">
        <v>36987</v>
      </c>
      <c r="B589" s="4">
        <f>10000</f>
        <v>10000</v>
      </c>
      <c r="C589" s="15">
        <f>-19000-17819</f>
        <v>-36819</v>
      </c>
      <c r="D589" s="15">
        <f>5000</f>
        <v>5000</v>
      </c>
      <c r="E589" s="15">
        <v>0</v>
      </c>
      <c r="F589" s="4"/>
    </row>
    <row r="590" spans="1:6" x14ac:dyDescent="0.2">
      <c r="A590" s="1">
        <v>36988</v>
      </c>
      <c r="B590" s="4">
        <v>0</v>
      </c>
      <c r="C590" s="15">
        <f>-19000-19783</f>
        <v>-38783</v>
      </c>
      <c r="D590" s="15">
        <f>5000-6295</f>
        <v>-1295</v>
      </c>
      <c r="E590" s="15">
        <f>-15633</f>
        <v>-15633</v>
      </c>
      <c r="F590" s="4"/>
    </row>
    <row r="591" spans="1:6" x14ac:dyDescent="0.2">
      <c r="A591" s="1">
        <v>36989</v>
      </c>
      <c r="B591" s="4">
        <v>0</v>
      </c>
      <c r="C591" s="15">
        <f>-20000-20000</f>
        <v>-40000</v>
      </c>
      <c r="D591" s="15">
        <f>5000+684</f>
        <v>5684</v>
      </c>
      <c r="E591" s="15">
        <f>-15633</f>
        <v>-15633</v>
      </c>
      <c r="F591" s="4"/>
    </row>
    <row r="592" spans="1:6" x14ac:dyDescent="0.2">
      <c r="A592" s="1">
        <v>36990</v>
      </c>
      <c r="B592" s="4">
        <v>0</v>
      </c>
      <c r="C592" s="15">
        <f>-20000-40</f>
        <v>-20040</v>
      </c>
      <c r="D592" s="15">
        <f>5000+8766</f>
        <v>13766</v>
      </c>
      <c r="E592" s="15">
        <f>-15633</f>
        <v>-15633</v>
      </c>
      <c r="F592" s="4"/>
    </row>
    <row r="593" spans="1:6" x14ac:dyDescent="0.2">
      <c r="A593" s="1">
        <v>36991</v>
      </c>
      <c r="B593" s="4">
        <v>3573</v>
      </c>
      <c r="C593" s="15">
        <f>-20000+5320</f>
        <v>-14680</v>
      </c>
      <c r="D593" s="15">
        <f>5000+10750</f>
        <v>15750</v>
      </c>
      <c r="E593" s="15">
        <v>-15633</v>
      </c>
      <c r="F593" s="4"/>
    </row>
    <row r="594" spans="1:6" x14ac:dyDescent="0.2">
      <c r="A594" s="1">
        <v>36992</v>
      </c>
      <c r="B594" s="4">
        <f>10000-1021</f>
        <v>8979</v>
      </c>
      <c r="C594" s="15">
        <f>-20000-19863</f>
        <v>-39863</v>
      </c>
      <c r="D594" s="15">
        <f>5000-10250</f>
        <v>-5250</v>
      </c>
      <c r="E594" s="15">
        <v>0</v>
      </c>
      <c r="F594" s="4"/>
    </row>
    <row r="595" spans="1:6" x14ac:dyDescent="0.2">
      <c r="A595" s="1">
        <v>36993</v>
      </c>
      <c r="B595" s="4">
        <f>10000</f>
        <v>10000</v>
      </c>
      <c r="C595" s="15">
        <f>-20000-2977</f>
        <v>-22977</v>
      </c>
      <c r="D595" s="15">
        <f>5000</f>
        <v>5000</v>
      </c>
      <c r="E595" s="15">
        <v>0</v>
      </c>
      <c r="F595" s="4"/>
    </row>
    <row r="596" spans="1:6" x14ac:dyDescent="0.2">
      <c r="A596" s="1">
        <v>36994</v>
      </c>
      <c r="B596" s="4">
        <f>10000</f>
        <v>10000</v>
      </c>
      <c r="C596" s="15">
        <f>-20000-19944</f>
        <v>-39944</v>
      </c>
      <c r="D596" s="15">
        <f>5000-8015</f>
        <v>-3015</v>
      </c>
      <c r="E596" s="15">
        <v>0</v>
      </c>
      <c r="F596" s="4"/>
    </row>
    <row r="597" spans="1:6" x14ac:dyDescent="0.2">
      <c r="A597" s="1">
        <v>36995</v>
      </c>
      <c r="B597" s="4">
        <f>10000-3859</f>
        <v>6141</v>
      </c>
      <c r="C597" s="15">
        <f>-20000-19936</f>
        <v>-39936</v>
      </c>
      <c r="D597" s="15">
        <f>5000-10250</f>
        <v>-5250</v>
      </c>
      <c r="E597" s="15">
        <v>0</v>
      </c>
      <c r="F597" s="4"/>
    </row>
    <row r="598" spans="1:6" x14ac:dyDescent="0.2">
      <c r="A598" s="1">
        <v>36996</v>
      </c>
      <c r="B598" s="4">
        <f>10000</f>
        <v>10000</v>
      </c>
      <c r="C598" s="15">
        <f>-20000-14091</f>
        <v>-34091</v>
      </c>
      <c r="D598" s="15">
        <f>5000</f>
        <v>5000</v>
      </c>
      <c r="E598" s="15">
        <v>0</v>
      </c>
      <c r="F598" s="4"/>
    </row>
    <row r="599" spans="1:6" x14ac:dyDescent="0.2">
      <c r="A599" s="1">
        <v>36997</v>
      </c>
      <c r="B599" s="4">
        <f>10000</f>
        <v>10000</v>
      </c>
      <c r="C599" s="15">
        <f>-20000+7788</f>
        <v>-12212</v>
      </c>
      <c r="D599" s="15">
        <f>5000</f>
        <v>5000</v>
      </c>
      <c r="E599" s="15">
        <v>14000</v>
      </c>
      <c r="F599" s="4"/>
    </row>
    <row r="600" spans="1:6" x14ac:dyDescent="0.2">
      <c r="A600" s="1">
        <v>36998</v>
      </c>
      <c r="B600" s="4">
        <f>40000</f>
        <v>40000</v>
      </c>
      <c r="C600" s="15">
        <f>-20000-7091</f>
        <v>-27091</v>
      </c>
      <c r="D600" s="15">
        <f>5000</f>
        <v>5000</v>
      </c>
      <c r="E600" s="15">
        <v>16000</v>
      </c>
      <c r="F600" s="4"/>
    </row>
    <row r="601" spans="1:6" x14ac:dyDescent="0.2">
      <c r="A601" s="1">
        <v>36999</v>
      </c>
      <c r="B601" s="4">
        <f>10000</f>
        <v>10000</v>
      </c>
      <c r="C601" s="15">
        <f>-20000-20000+10</f>
        <v>-39990</v>
      </c>
      <c r="D601" s="15">
        <f>5000</f>
        <v>5000</v>
      </c>
      <c r="E601" s="15">
        <v>15000</v>
      </c>
      <c r="F601" s="4"/>
    </row>
    <row r="602" spans="1:6" x14ac:dyDescent="0.2">
      <c r="A602" s="1">
        <v>37000</v>
      </c>
      <c r="B602" s="4">
        <f>0</f>
        <v>0</v>
      </c>
      <c r="C602" s="15">
        <f>-20000-20000</f>
        <v>-40000</v>
      </c>
      <c r="D602" s="15">
        <f>5000</f>
        <v>5000</v>
      </c>
      <c r="E602" s="15">
        <v>-15633</v>
      </c>
      <c r="F602" s="4"/>
    </row>
    <row r="603" spans="1:6" x14ac:dyDescent="0.2">
      <c r="A603" s="1">
        <v>37001</v>
      </c>
      <c r="B603" s="4">
        <f>0</f>
        <v>0</v>
      </c>
      <c r="C603" s="15">
        <f>-20000-20000</f>
        <v>-40000</v>
      </c>
      <c r="D603" s="15">
        <f>5000</f>
        <v>5000</v>
      </c>
      <c r="E603" s="15">
        <v>-15633</v>
      </c>
      <c r="F603" s="4"/>
    </row>
    <row r="604" spans="1:6" x14ac:dyDescent="0.2">
      <c r="A604" s="1"/>
      <c r="B604" s="7"/>
      <c r="C604" s="6"/>
      <c r="D604" s="6"/>
      <c r="E604" s="15"/>
      <c r="F604" s="4"/>
    </row>
    <row r="605" spans="1:6" x14ac:dyDescent="0.2">
      <c r="A605" s="2" t="s">
        <v>6</v>
      </c>
      <c r="B605" s="5">
        <f>SUM(B307:B603)</f>
        <v>192012</v>
      </c>
      <c r="C605" s="5">
        <f>SUM(C307:C603)</f>
        <v>1929553</v>
      </c>
      <c r="D605" s="5">
        <f>SUM(D307:D603)</f>
        <v>306232</v>
      </c>
      <c r="E605" s="5">
        <f>SUM(E307:E604)</f>
        <v>-76397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tabSelected="1" workbookViewId="0">
      <pane xSplit="1" ySplit="5" topLeftCell="B290" activePane="bottomRight" state="frozen"/>
      <selection pane="topRight" activeCell="B1" sqref="B1"/>
      <selection pane="bottomLeft" activeCell="A6" sqref="A6"/>
      <selection pane="bottomRight" activeCell="A301" sqref="A301"/>
    </sheetView>
  </sheetViews>
  <sheetFormatPr defaultColWidth="9.140625" defaultRowHeight="12.75" x14ac:dyDescent="0.2"/>
  <cols>
    <col min="1" max="1" width="24.85546875" customWidth="1"/>
    <col min="2" max="7" width="13.5703125" customWidth="1"/>
    <col min="8" max="8" width="12.5703125" customWidth="1"/>
    <col min="9" max="9" width="12.85546875" customWidth="1"/>
  </cols>
  <sheetData>
    <row r="1" spans="1:9" x14ac:dyDescent="0.2">
      <c r="A1" s="28" t="s">
        <v>7</v>
      </c>
      <c r="B1" s="28"/>
      <c r="C1" s="28"/>
      <c r="D1" s="28"/>
      <c r="E1" s="28"/>
      <c r="F1" s="28"/>
      <c r="G1" s="28"/>
      <c r="H1" s="10"/>
      <c r="I1" s="10"/>
    </row>
    <row r="2" spans="1:9" x14ac:dyDescent="0.2">
      <c r="A2" s="10"/>
      <c r="B2" s="9" t="s">
        <v>0</v>
      </c>
      <c r="C2" s="9" t="s">
        <v>1</v>
      </c>
      <c r="D2" s="23" t="s">
        <v>2</v>
      </c>
      <c r="E2" s="9" t="s">
        <v>3</v>
      </c>
      <c r="F2" s="9" t="s">
        <v>4</v>
      </c>
      <c r="G2" s="23" t="s">
        <v>5</v>
      </c>
      <c r="H2" s="23" t="s">
        <v>14</v>
      </c>
      <c r="I2" s="23" t="s">
        <v>13</v>
      </c>
    </row>
    <row r="3" spans="1:9" x14ac:dyDescent="0.2">
      <c r="A3" s="12" t="s">
        <v>9</v>
      </c>
      <c r="B3" s="13">
        <f>25200000+7500000</f>
        <v>32700000</v>
      </c>
      <c r="C3" s="24">
        <v>3750000</v>
      </c>
      <c r="D3" s="24">
        <v>12400000</v>
      </c>
      <c r="E3" s="24">
        <v>900000</v>
      </c>
      <c r="F3" s="24">
        <v>1700000</v>
      </c>
      <c r="G3" s="24">
        <v>2634482</v>
      </c>
      <c r="H3" s="24">
        <v>1000000</v>
      </c>
      <c r="I3" s="24">
        <v>1000000</v>
      </c>
    </row>
    <row r="4" spans="1:9" ht="25.5" x14ac:dyDescent="0.2">
      <c r="A4" s="14" t="s">
        <v>10</v>
      </c>
      <c r="B4" s="24">
        <f>3060394+(SUM(B283:B302))</f>
        <v>6727069</v>
      </c>
      <c r="C4" s="24">
        <f>650000+(SUM(C283:C302))</f>
        <v>1249793</v>
      </c>
      <c r="D4" s="24">
        <f>1867465+(SUM(D283:D302))</f>
        <v>783768</v>
      </c>
      <c r="E4" s="24">
        <f>218763+SUM(E283:E302)</f>
        <v>292453</v>
      </c>
      <c r="F4" s="24">
        <f>820497+SUM(F283:F302)</f>
        <v>808955</v>
      </c>
      <c r="G4" s="24">
        <f>0+SUM(G283:G302)</f>
        <v>0</v>
      </c>
      <c r="H4" s="24">
        <f>0+SUM(H283:H302)</f>
        <v>0</v>
      </c>
      <c r="I4" s="24">
        <f>83000+SUM(I283:I302)</f>
        <v>0</v>
      </c>
    </row>
    <row r="5" spans="1:9" x14ac:dyDescent="0.2">
      <c r="A5" s="12"/>
      <c r="B5" s="9"/>
      <c r="C5" s="13"/>
      <c r="D5" s="13"/>
      <c r="E5" s="22"/>
      <c r="F5" s="9"/>
      <c r="G5" s="9"/>
      <c r="H5" s="9"/>
      <c r="I5" s="9"/>
    </row>
    <row r="6" spans="1:9" x14ac:dyDescent="0.2">
      <c r="A6" s="11">
        <v>36705</v>
      </c>
      <c r="B6" s="4">
        <f>+Sheet1!B4*Sheet1!$C$1</f>
        <v>140000</v>
      </c>
      <c r="C6" s="4">
        <f>+Sheet1!C4*Sheet1!$C$1</f>
        <v>42900</v>
      </c>
      <c r="D6" s="4">
        <f>+Sheet1!D4*Sheet1!$C$1</f>
        <v>72245</v>
      </c>
      <c r="E6" s="4">
        <f>+Sheet1!E4*Sheet1!$C$1</f>
        <v>0</v>
      </c>
      <c r="F6" s="4">
        <f>+Sheet1!F4*Sheet1!$C$1</f>
        <v>0</v>
      </c>
      <c r="G6" s="4">
        <f>+Sheet1!G4*Sheet1!$C$1</f>
        <v>13000</v>
      </c>
    </row>
    <row r="7" spans="1:9" x14ac:dyDescent="0.2">
      <c r="A7" s="11">
        <v>36706</v>
      </c>
      <c r="B7" s="4">
        <f>+Sheet1!B5*Sheet1!$C$1</f>
        <v>155000</v>
      </c>
      <c r="C7" s="4">
        <f>+Sheet1!C5*Sheet1!$C$1</f>
        <v>30000</v>
      </c>
      <c r="D7" s="4">
        <f>+Sheet1!D5*Sheet1!$C$1</f>
        <v>72245</v>
      </c>
      <c r="E7" s="4">
        <f>+Sheet1!E5*Sheet1!$C$1</f>
        <v>0</v>
      </c>
      <c r="F7" s="4">
        <f>+Sheet1!F5*Sheet1!$C$1</f>
        <v>0</v>
      </c>
      <c r="G7" s="4">
        <f>+Sheet1!G5*Sheet1!$C$1</f>
        <v>13000</v>
      </c>
    </row>
    <row r="8" spans="1:9" x14ac:dyDescent="0.2">
      <c r="A8" s="11">
        <v>36707</v>
      </c>
      <c r="B8" s="4">
        <f>+Sheet1!B6*Sheet1!$C$1</f>
        <v>140020</v>
      </c>
      <c r="C8" s="4">
        <f>+Sheet1!C6*Sheet1!$C$1</f>
        <v>20000</v>
      </c>
      <c r="D8" s="4">
        <f>+Sheet1!D6*Sheet1!$C$1</f>
        <v>72245</v>
      </c>
      <c r="E8" s="4">
        <f>+Sheet1!E6*Sheet1!$C$1</f>
        <v>0</v>
      </c>
      <c r="F8" s="4">
        <f>+Sheet1!F6*Sheet1!$C$1</f>
        <v>0</v>
      </c>
      <c r="G8" s="4">
        <f>+Sheet1!G6*Sheet1!$C$1</f>
        <v>13000</v>
      </c>
    </row>
    <row r="9" spans="1:9" x14ac:dyDescent="0.2">
      <c r="A9" s="11">
        <v>36708</v>
      </c>
      <c r="B9" s="4">
        <f>+Sheet1!B7*Sheet1!$C$1</f>
        <v>-84824</v>
      </c>
      <c r="C9" s="4">
        <f>+Sheet1!C7*Sheet1!$C$1</f>
        <v>39604</v>
      </c>
      <c r="D9" s="4">
        <f>+Sheet1!D7*Sheet1!$C$1</f>
        <v>107400</v>
      </c>
      <c r="E9" s="4">
        <f>+Sheet1!E7*Sheet1!$C$1</f>
        <v>32454</v>
      </c>
      <c r="F9" s="4">
        <f>+Sheet1!F7*Sheet1!$C$1</f>
        <v>20000</v>
      </c>
      <c r="G9" s="4">
        <f>+Sheet1!G7*Sheet1!$C$1</f>
        <v>31555</v>
      </c>
    </row>
    <row r="10" spans="1:9" x14ac:dyDescent="0.2">
      <c r="A10" s="11">
        <v>36709</v>
      </c>
      <c r="B10" s="4">
        <f>+Sheet1!B8*Sheet1!$C$1</f>
        <v>-90687</v>
      </c>
      <c r="C10" s="4">
        <f>+Sheet1!C8*Sheet1!$C$1</f>
        <v>39604</v>
      </c>
      <c r="D10" s="4">
        <f>+Sheet1!D8*Sheet1!$C$1</f>
        <v>107000</v>
      </c>
      <c r="E10" s="4">
        <f>+Sheet1!E8*Sheet1!$C$1</f>
        <v>34000</v>
      </c>
      <c r="F10" s="4">
        <f>+Sheet1!F8*Sheet1!$C$1</f>
        <v>20000</v>
      </c>
      <c r="G10" s="4">
        <f>+Sheet1!G8*Sheet1!$C$1</f>
        <v>31555</v>
      </c>
    </row>
    <row r="11" spans="1:9" x14ac:dyDescent="0.2">
      <c r="A11" s="11">
        <v>36710</v>
      </c>
      <c r="B11" s="4">
        <f>+Sheet1!B9*Sheet1!$C$1</f>
        <v>-85000</v>
      </c>
      <c r="C11" s="4">
        <f>+Sheet1!C9*Sheet1!$C$1</f>
        <v>39604</v>
      </c>
      <c r="D11" s="4">
        <f>+Sheet1!D9*Sheet1!$C$1</f>
        <v>104066</v>
      </c>
      <c r="E11" s="4">
        <f>+Sheet1!E9*Sheet1!$C$1</f>
        <v>34000</v>
      </c>
      <c r="F11" s="4">
        <f>+Sheet1!F9*Sheet1!$C$1</f>
        <v>20000</v>
      </c>
      <c r="G11" s="4">
        <f>+Sheet1!G9*Sheet1!$C$1</f>
        <v>31555</v>
      </c>
    </row>
    <row r="12" spans="1:9" x14ac:dyDescent="0.2">
      <c r="A12" s="11">
        <v>36711</v>
      </c>
      <c r="B12" s="4">
        <f>+Sheet1!B10*Sheet1!$C$1</f>
        <v>-83953</v>
      </c>
      <c r="C12" s="4">
        <f>+Sheet1!C10*Sheet1!$C$1</f>
        <v>39604</v>
      </c>
      <c r="D12" s="4">
        <f>+Sheet1!D10*Sheet1!$C$1</f>
        <v>100961</v>
      </c>
      <c r="E12" s="4">
        <f>+Sheet1!E10*Sheet1!$C$1</f>
        <v>34000</v>
      </c>
      <c r="F12" s="4">
        <f>+Sheet1!F10*Sheet1!$C$1</f>
        <v>20000</v>
      </c>
      <c r="G12" s="4">
        <f>+Sheet1!G10*Sheet1!$C$1</f>
        <v>31555</v>
      </c>
    </row>
    <row r="13" spans="1:9" x14ac:dyDescent="0.2">
      <c r="A13" s="11">
        <v>36712</v>
      </c>
      <c r="B13" s="4">
        <f>+Sheet1!B11*Sheet1!$C$1</f>
        <v>-83887</v>
      </c>
      <c r="C13" s="4">
        <f>+Sheet1!C11*Sheet1!$C$1</f>
        <v>39604</v>
      </c>
      <c r="D13" s="4">
        <f>+Sheet1!D11*Sheet1!$C$1</f>
        <v>74400</v>
      </c>
      <c r="E13" s="4">
        <f>+Sheet1!E11*Sheet1!$C$1</f>
        <v>27189</v>
      </c>
      <c r="F13" s="4">
        <f>+Sheet1!F11*Sheet1!$C$1</f>
        <v>20000</v>
      </c>
      <c r="G13" s="4">
        <f>+Sheet1!G11*Sheet1!$C$1</f>
        <v>31555</v>
      </c>
    </row>
    <row r="14" spans="1:9" x14ac:dyDescent="0.2">
      <c r="A14" s="11">
        <v>36713</v>
      </c>
      <c r="B14" s="4">
        <f>+Sheet1!B12*Sheet1!$C$1</f>
        <v>-134493</v>
      </c>
      <c r="C14" s="4">
        <f>+Sheet1!C12*Sheet1!$C$1</f>
        <v>39604</v>
      </c>
      <c r="D14" s="4">
        <f>+Sheet1!D12*Sheet1!$C$1</f>
        <v>95262</v>
      </c>
      <c r="E14" s="4">
        <f>+Sheet1!E12*Sheet1!$C$1</f>
        <v>34000</v>
      </c>
      <c r="F14" s="4">
        <f>+Sheet1!F12*Sheet1!$C$1</f>
        <v>20000</v>
      </c>
      <c r="G14" s="4">
        <f>+Sheet1!G12*Sheet1!$C$1</f>
        <v>31555</v>
      </c>
    </row>
    <row r="15" spans="1:9" x14ac:dyDescent="0.2">
      <c r="A15" s="11">
        <v>36714</v>
      </c>
      <c r="B15" s="4">
        <f>+Sheet1!B13*Sheet1!$C$1</f>
        <v>-113113</v>
      </c>
      <c r="C15" s="4">
        <f>+Sheet1!C13*Sheet1!$C$1</f>
        <v>39604</v>
      </c>
      <c r="D15" s="4">
        <f>+Sheet1!D13*Sheet1!$C$1</f>
        <v>109883</v>
      </c>
      <c r="E15" s="4">
        <f>+Sheet1!E13*Sheet1!$C$1</f>
        <v>34000</v>
      </c>
      <c r="F15" s="4">
        <f>+Sheet1!F13*Sheet1!$C$1</f>
        <v>20000</v>
      </c>
      <c r="G15" s="4">
        <f>+Sheet1!G13*Sheet1!$C$1</f>
        <v>31555</v>
      </c>
    </row>
    <row r="16" spans="1:9" x14ac:dyDescent="0.2">
      <c r="A16" s="11">
        <v>36715</v>
      </c>
      <c r="B16" s="4">
        <f>+Sheet1!B14*Sheet1!$C$1</f>
        <v>-100120</v>
      </c>
      <c r="C16" s="4">
        <f>+Sheet1!C14*Sheet1!$C$1</f>
        <v>39604</v>
      </c>
      <c r="D16" s="4">
        <f>+Sheet1!D14*Sheet1!$C$1</f>
        <v>117358</v>
      </c>
      <c r="E16" s="4">
        <f>+Sheet1!E14*Sheet1!$C$1</f>
        <v>34000</v>
      </c>
      <c r="F16" s="4">
        <f>+Sheet1!F14*Sheet1!$C$1</f>
        <v>20000</v>
      </c>
      <c r="G16" s="4">
        <f>+Sheet1!G14*Sheet1!$C$1</f>
        <v>31555</v>
      </c>
    </row>
    <row r="17" spans="1:8" x14ac:dyDescent="0.2">
      <c r="A17" s="11">
        <v>36716</v>
      </c>
      <c r="B17" s="4">
        <f>+Sheet1!B15*Sheet1!$C$1</f>
        <v>-100021</v>
      </c>
      <c r="C17" s="4">
        <f>+Sheet1!C15*Sheet1!$C$1</f>
        <v>39604</v>
      </c>
      <c r="D17" s="4">
        <f>+Sheet1!D15*Sheet1!$C$1</f>
        <v>114826</v>
      </c>
      <c r="E17" s="4">
        <f>+Sheet1!E15*Sheet1!$C$1</f>
        <v>34000</v>
      </c>
      <c r="F17" s="4">
        <f>+Sheet1!F15*Sheet1!$C$1</f>
        <v>20000</v>
      </c>
      <c r="G17" s="4">
        <f>+Sheet1!G15*Sheet1!$C$1</f>
        <v>31555</v>
      </c>
    </row>
    <row r="18" spans="1:8" x14ac:dyDescent="0.2">
      <c r="A18" s="11">
        <v>36717</v>
      </c>
      <c r="B18" s="4">
        <f>+Sheet1!B16*Sheet1!$C$1</f>
        <v>-127703</v>
      </c>
      <c r="C18" s="4">
        <f>+Sheet1!C16*Sheet1!$C$1</f>
        <v>40000</v>
      </c>
      <c r="D18" s="4">
        <f>+Sheet1!D16*Sheet1!$C$1</f>
        <v>85397</v>
      </c>
      <c r="E18" s="4">
        <f>+Sheet1!E16*Sheet1!$C$1</f>
        <v>34000</v>
      </c>
      <c r="F18" s="4">
        <f>+Sheet1!F16*Sheet1!$C$1</f>
        <v>20000</v>
      </c>
      <c r="G18" s="4">
        <f>+Sheet1!G16*Sheet1!$C$1</f>
        <v>31555</v>
      </c>
    </row>
    <row r="19" spans="1:8" x14ac:dyDescent="0.2">
      <c r="A19" s="11">
        <v>36718</v>
      </c>
      <c r="B19" s="4">
        <f>+Sheet1!B17*Sheet1!$C$1</f>
        <v>-128481</v>
      </c>
      <c r="C19" s="4">
        <f>+Sheet1!C17*Sheet1!$C$1</f>
        <v>40000</v>
      </c>
      <c r="D19" s="4">
        <f>+Sheet1!D17*Sheet1!$C$1</f>
        <v>110245</v>
      </c>
      <c r="E19" s="4">
        <f>+Sheet1!E17*Sheet1!$C$1</f>
        <v>34000</v>
      </c>
      <c r="F19" s="4">
        <f>+Sheet1!F17*Sheet1!$C$1</f>
        <v>20000</v>
      </c>
      <c r="G19" s="4">
        <f>+Sheet1!G17*Sheet1!$C$1</f>
        <v>31555</v>
      </c>
    </row>
    <row r="20" spans="1:8" x14ac:dyDescent="0.2">
      <c r="A20" s="11">
        <v>36719</v>
      </c>
      <c r="B20" s="4">
        <f>+Sheet1!B18*Sheet1!$C$1</f>
        <v>-126874</v>
      </c>
      <c r="C20" s="4">
        <f>+Sheet1!C18*Sheet1!$C$1</f>
        <v>40000</v>
      </c>
      <c r="D20" s="4">
        <f>+Sheet1!D18*Sheet1!$C$1</f>
        <v>101245</v>
      </c>
      <c r="E20" s="4">
        <f>+Sheet1!E18*Sheet1!$C$1</f>
        <v>34000</v>
      </c>
      <c r="F20" s="4">
        <f>+Sheet1!F18*Sheet1!$C$1</f>
        <v>20000</v>
      </c>
      <c r="G20" s="4">
        <f>+Sheet1!G18*Sheet1!$C$1</f>
        <v>31555</v>
      </c>
    </row>
    <row r="21" spans="1:8" x14ac:dyDescent="0.2">
      <c r="A21" s="11">
        <v>36720</v>
      </c>
      <c r="B21" s="4">
        <f>+Sheet1!B19*Sheet1!$C$1</f>
        <v>-151601</v>
      </c>
      <c r="C21" s="4">
        <f>+Sheet1!C19*Sheet1!$C$1</f>
        <v>25000</v>
      </c>
      <c r="D21" s="4">
        <f>+Sheet1!D19*Sheet1!$C$1</f>
        <v>99245</v>
      </c>
      <c r="E21" s="4">
        <f>+Sheet1!E19*Sheet1!$C$1</f>
        <v>34000</v>
      </c>
      <c r="F21" s="4">
        <f>+Sheet1!F19*Sheet1!$C$1</f>
        <v>20000</v>
      </c>
      <c r="G21" s="4">
        <f>+Sheet1!G19*Sheet1!$C$1</f>
        <v>31555</v>
      </c>
      <c r="H21" s="15" t="s">
        <v>11</v>
      </c>
    </row>
    <row r="22" spans="1:8" x14ac:dyDescent="0.2">
      <c r="A22" s="11">
        <v>36721</v>
      </c>
      <c r="B22" s="4">
        <f>+Sheet1!B20*Sheet1!$C$1</f>
        <v>-165234</v>
      </c>
      <c r="C22" s="4">
        <f>+Sheet1!C20*Sheet1!$C$1</f>
        <v>25000</v>
      </c>
      <c r="D22" s="4">
        <f>+Sheet1!D20*Sheet1!$C$1</f>
        <v>129245</v>
      </c>
      <c r="E22" s="4">
        <f>+Sheet1!E20*Sheet1!$C$1</f>
        <v>34000</v>
      </c>
      <c r="F22" s="4">
        <f>+Sheet1!F20*Sheet1!$C$1</f>
        <v>20000</v>
      </c>
      <c r="G22" s="4">
        <f>+Sheet1!G20*Sheet1!$C$1</f>
        <v>31555</v>
      </c>
    </row>
    <row r="23" spans="1:8" x14ac:dyDescent="0.2">
      <c r="A23" s="11">
        <v>36722</v>
      </c>
      <c r="B23" s="4">
        <f>+Sheet1!B21*Sheet1!$C$1</f>
        <v>-101739</v>
      </c>
      <c r="C23" s="4">
        <f>+Sheet1!C21*Sheet1!$C$1</f>
        <v>25000</v>
      </c>
      <c r="D23" s="4">
        <f>+Sheet1!D21*Sheet1!$C$1</f>
        <v>126245</v>
      </c>
      <c r="E23" s="4">
        <f>+Sheet1!E21*Sheet1!$C$1</f>
        <v>34000</v>
      </c>
      <c r="F23" s="4">
        <f>+Sheet1!F21*Sheet1!$C$1</f>
        <v>20000</v>
      </c>
      <c r="G23" s="4">
        <f>+Sheet1!G21*Sheet1!$C$1</f>
        <v>31555</v>
      </c>
    </row>
    <row r="24" spans="1:8" x14ac:dyDescent="0.2">
      <c r="A24" s="11">
        <v>36723</v>
      </c>
      <c r="B24" s="4">
        <f>+Sheet1!B22*Sheet1!$C$1</f>
        <v>-100776</v>
      </c>
      <c r="C24" s="4">
        <f>+Sheet1!C22*Sheet1!$C$1</f>
        <v>25000</v>
      </c>
      <c r="D24" s="4">
        <f>+Sheet1!D22*Sheet1!$C$1</f>
        <v>127245</v>
      </c>
      <c r="E24" s="4">
        <f>+Sheet1!E22*Sheet1!$C$1</f>
        <v>34000</v>
      </c>
      <c r="F24" s="4">
        <f>+Sheet1!F22*Sheet1!$C$1</f>
        <v>20000</v>
      </c>
      <c r="G24" s="4">
        <f>+Sheet1!G22*Sheet1!$C$1</f>
        <v>31555</v>
      </c>
    </row>
    <row r="25" spans="1:8" x14ac:dyDescent="0.2">
      <c r="A25" s="11">
        <v>36724</v>
      </c>
      <c r="B25" s="4">
        <f>+Sheet1!B23*Sheet1!$C$1</f>
        <v>-121032</v>
      </c>
      <c r="C25" s="4">
        <f>+Sheet1!C23*Sheet1!$C$1</f>
        <v>25000</v>
      </c>
      <c r="D25" s="4">
        <f>+Sheet1!D23*Sheet1!$C$1</f>
        <v>99245</v>
      </c>
      <c r="E25" s="4">
        <f>+Sheet1!E23*Sheet1!$C$1</f>
        <v>34000</v>
      </c>
      <c r="F25" s="4">
        <f>+Sheet1!F23*Sheet1!$C$1</f>
        <v>20000</v>
      </c>
      <c r="G25" s="4">
        <f>+Sheet1!G23*Sheet1!$C$1</f>
        <v>31555</v>
      </c>
    </row>
    <row r="26" spans="1:8" x14ac:dyDescent="0.2">
      <c r="A26" s="11">
        <v>36725</v>
      </c>
      <c r="B26" s="4">
        <f>+Sheet1!B24*Sheet1!$C$1</f>
        <v>-149803</v>
      </c>
      <c r="C26" s="4">
        <f>+Sheet1!C24*Sheet1!$C$1</f>
        <v>25000</v>
      </c>
      <c r="D26" s="4">
        <f>+Sheet1!D24*Sheet1!$C$1</f>
        <v>96245</v>
      </c>
      <c r="E26" s="4">
        <f>+Sheet1!E24*Sheet1!$C$1</f>
        <v>34000</v>
      </c>
      <c r="F26" s="4">
        <f>+Sheet1!F24*Sheet1!$C$1</f>
        <v>20000</v>
      </c>
      <c r="G26" s="4">
        <f>+Sheet1!G24*Sheet1!$C$1</f>
        <v>31555</v>
      </c>
    </row>
    <row r="27" spans="1:8" x14ac:dyDescent="0.2">
      <c r="A27" s="11">
        <v>36726</v>
      </c>
      <c r="B27" s="4">
        <f>+Sheet1!B25*Sheet1!$C$1</f>
        <v>-140008</v>
      </c>
      <c r="C27" s="4">
        <f>+Sheet1!C25*Sheet1!$C$1</f>
        <v>25000</v>
      </c>
      <c r="D27" s="4">
        <f>+Sheet1!D25*Sheet1!$C$1</f>
        <v>93245</v>
      </c>
      <c r="E27" s="4">
        <f>+Sheet1!E25*Sheet1!$C$1</f>
        <v>34000</v>
      </c>
      <c r="F27" s="4">
        <f>+Sheet1!F25*Sheet1!$C$1</f>
        <v>20000</v>
      </c>
      <c r="G27" s="4">
        <f>+Sheet1!G25*Sheet1!$C$1</f>
        <v>31555</v>
      </c>
    </row>
    <row r="28" spans="1:8" x14ac:dyDescent="0.2">
      <c r="A28" s="11">
        <v>36727</v>
      </c>
      <c r="B28" s="6">
        <f>+Sheet1!B26*Sheet1!$C$1</f>
        <v>-166407</v>
      </c>
      <c r="C28" s="6">
        <f>+Sheet1!C26*Sheet1!$C$1</f>
        <v>25000</v>
      </c>
      <c r="D28" s="6">
        <f>+Sheet1!D26*Sheet1!$C$1</f>
        <v>104245</v>
      </c>
      <c r="E28" s="6">
        <f>+Sheet1!E26*Sheet1!$C$1</f>
        <v>34000</v>
      </c>
      <c r="F28" s="6">
        <f>+Sheet1!F26*Sheet1!$C$1</f>
        <v>20000</v>
      </c>
      <c r="G28" s="6">
        <f>+Sheet1!G26*Sheet1!$C$1</f>
        <v>31555</v>
      </c>
    </row>
    <row r="29" spans="1:8" x14ac:dyDescent="0.2">
      <c r="A29" s="11">
        <v>36728</v>
      </c>
      <c r="B29" s="6">
        <f>+Sheet1!B27*Sheet1!$C$1</f>
        <v>-122578</v>
      </c>
      <c r="C29" s="6">
        <f>+Sheet1!C27*Sheet1!$C$1</f>
        <v>25000</v>
      </c>
      <c r="D29" s="6">
        <f>+Sheet1!D27*Sheet1!$C$1</f>
        <v>117241</v>
      </c>
      <c r="E29" s="6">
        <f>+Sheet1!E27*Sheet1!$C$1</f>
        <v>34000</v>
      </c>
      <c r="F29" s="6">
        <f>+Sheet1!F27*Sheet1!$C$1</f>
        <v>20000</v>
      </c>
      <c r="G29" s="6">
        <f>+Sheet1!G27*Sheet1!$C$1</f>
        <v>31555</v>
      </c>
    </row>
    <row r="30" spans="1:8" x14ac:dyDescent="0.2">
      <c r="A30" s="11">
        <v>36729</v>
      </c>
      <c r="B30" s="6">
        <f>+Sheet1!B28*Sheet1!$C$1</f>
        <v>-172677</v>
      </c>
      <c r="C30" s="6">
        <f>+Sheet1!C28*Sheet1!$C$1</f>
        <v>25000</v>
      </c>
      <c r="D30" s="6">
        <f>+Sheet1!D28*Sheet1!$C$1</f>
        <v>125755</v>
      </c>
      <c r="E30" s="6">
        <f>+Sheet1!E28*Sheet1!$C$1</f>
        <v>34000</v>
      </c>
      <c r="F30" s="6">
        <f>+Sheet1!F28*Sheet1!$C$1</f>
        <v>20000</v>
      </c>
      <c r="G30" s="6">
        <f>+Sheet1!G28*Sheet1!$C$1</f>
        <v>31555</v>
      </c>
    </row>
    <row r="31" spans="1:8" x14ac:dyDescent="0.2">
      <c r="A31" s="11">
        <v>36730</v>
      </c>
      <c r="B31" s="6">
        <f>+Sheet1!B29*Sheet1!$C$1</f>
        <v>-174118</v>
      </c>
      <c r="C31" s="6">
        <f>+Sheet1!C29*Sheet1!$C$1</f>
        <v>25000</v>
      </c>
      <c r="D31" s="6">
        <f>+Sheet1!D29*Sheet1!$C$1</f>
        <v>115202</v>
      </c>
      <c r="E31" s="6">
        <f>+Sheet1!E29*Sheet1!$C$1</f>
        <v>34000</v>
      </c>
      <c r="F31" s="6">
        <f>+Sheet1!F29*Sheet1!$C$1</f>
        <v>20000</v>
      </c>
      <c r="G31" s="6">
        <f>+Sheet1!G29*Sheet1!$C$1</f>
        <v>31555</v>
      </c>
    </row>
    <row r="32" spans="1:8" x14ac:dyDescent="0.2">
      <c r="A32" s="11">
        <v>36731</v>
      </c>
      <c r="B32" s="6">
        <f>+Sheet1!B30*Sheet1!$C$1</f>
        <v>-171939</v>
      </c>
      <c r="C32" s="6">
        <f>+Sheet1!C30*Sheet1!$C$1</f>
        <v>25000</v>
      </c>
      <c r="D32" s="6">
        <f>+Sheet1!D30*Sheet1!$C$1</f>
        <v>117602</v>
      </c>
      <c r="E32" s="6">
        <f>+Sheet1!E30*Sheet1!$C$1</f>
        <v>34000</v>
      </c>
      <c r="F32" s="6">
        <f>+Sheet1!F30*Sheet1!$C$1</f>
        <v>20000</v>
      </c>
      <c r="G32" s="6">
        <f>+Sheet1!G30*Sheet1!$C$1</f>
        <v>31555</v>
      </c>
    </row>
    <row r="33" spans="1:7" x14ac:dyDescent="0.2">
      <c r="A33" s="11">
        <v>36732</v>
      </c>
      <c r="B33" s="6">
        <f>+Sheet1!B31*Sheet1!$C$1</f>
        <v>-162978</v>
      </c>
      <c r="C33" s="6">
        <f>+Sheet1!C31*Sheet1!$C$1</f>
        <v>25000</v>
      </c>
      <c r="D33" s="6">
        <f>+Sheet1!D31*Sheet1!$C$1</f>
        <v>135208</v>
      </c>
      <c r="E33" s="6">
        <f>+Sheet1!E31*Sheet1!$C$1</f>
        <v>34000</v>
      </c>
      <c r="F33" s="6">
        <f>+Sheet1!F31*Sheet1!$C$1</f>
        <v>20000</v>
      </c>
      <c r="G33" s="6">
        <f>+Sheet1!G31*Sheet1!$C$1</f>
        <v>31555</v>
      </c>
    </row>
    <row r="34" spans="1:7" x14ac:dyDescent="0.2">
      <c r="A34" s="11">
        <v>36733</v>
      </c>
      <c r="B34" s="6">
        <f>+Sheet1!B32*Sheet1!$C$1</f>
        <v>-163436</v>
      </c>
      <c r="C34" s="6">
        <f>+Sheet1!C32*Sheet1!$C$1</f>
        <v>25000</v>
      </c>
      <c r="D34" s="6">
        <f>+Sheet1!D32*Sheet1!$C$1</f>
        <v>126163</v>
      </c>
      <c r="E34" s="6">
        <f>+Sheet1!E32*Sheet1!$C$1</f>
        <v>34000</v>
      </c>
      <c r="F34" s="6">
        <f>+Sheet1!F32*Sheet1!$C$1</f>
        <v>20000</v>
      </c>
      <c r="G34" s="6">
        <f>+Sheet1!G32*Sheet1!$C$1</f>
        <v>31555</v>
      </c>
    </row>
    <row r="35" spans="1:7" x14ac:dyDescent="0.2">
      <c r="A35" s="11">
        <v>36734</v>
      </c>
      <c r="B35" s="6">
        <f>+Sheet1!B33*Sheet1!$C$1</f>
        <v>-167201</v>
      </c>
      <c r="C35" s="6">
        <f>+Sheet1!C33*Sheet1!$C$1</f>
        <v>3000</v>
      </c>
      <c r="D35" s="6">
        <f>+Sheet1!D33*Sheet1!$C$1</f>
        <v>92015</v>
      </c>
      <c r="E35" s="6">
        <f>+Sheet1!E33*Sheet1!$C$1</f>
        <v>34000</v>
      </c>
      <c r="F35" s="6">
        <f>+Sheet1!F33*Sheet1!$C$1</f>
        <v>20000</v>
      </c>
      <c r="G35" s="6">
        <f>+Sheet1!G33*Sheet1!$C$1</f>
        <v>31555</v>
      </c>
    </row>
    <row r="36" spans="1:7" x14ac:dyDescent="0.2">
      <c r="A36" s="11">
        <v>36735</v>
      </c>
      <c r="B36" s="6">
        <f>+Sheet1!B34*Sheet1!$C$1</f>
        <v>-164506</v>
      </c>
      <c r="C36" s="6">
        <f>+Sheet1!C34*Sheet1!$C$1</f>
        <v>25000</v>
      </c>
      <c r="D36" s="6">
        <f>+Sheet1!D34*Sheet1!$C$1</f>
        <v>72245</v>
      </c>
      <c r="E36" s="6">
        <f>+Sheet1!E34*Sheet1!$C$1</f>
        <v>33816</v>
      </c>
      <c r="F36" s="6">
        <f>+Sheet1!F34*Sheet1!$C$1</f>
        <v>0</v>
      </c>
      <c r="G36" s="6">
        <f>+Sheet1!G34*Sheet1!$C$1</f>
        <v>31555</v>
      </c>
    </row>
    <row r="37" spans="1:7" x14ac:dyDescent="0.2">
      <c r="A37" s="11">
        <v>36736</v>
      </c>
      <c r="B37" s="6">
        <f>+Sheet1!B35*Sheet1!$C$1</f>
        <v>-108989</v>
      </c>
      <c r="C37" s="6">
        <f>+Sheet1!C35*Sheet1!$C$1</f>
        <v>25000</v>
      </c>
      <c r="D37" s="6">
        <f>+Sheet1!D35*Sheet1!$C$1</f>
        <v>113482</v>
      </c>
      <c r="E37" s="6">
        <f>+Sheet1!E35*Sheet1!$C$1</f>
        <v>34000</v>
      </c>
      <c r="F37" s="6">
        <f>+Sheet1!F35*Sheet1!$C$1</f>
        <v>20000</v>
      </c>
      <c r="G37" s="6">
        <f>+Sheet1!G35*Sheet1!$C$1</f>
        <v>31555</v>
      </c>
    </row>
    <row r="38" spans="1:7" x14ac:dyDescent="0.2">
      <c r="A38" s="11">
        <v>36737</v>
      </c>
      <c r="B38" s="6">
        <f>+Sheet1!B36*Sheet1!$C$1</f>
        <v>-160000</v>
      </c>
      <c r="C38" s="6">
        <f>+Sheet1!C36*Sheet1!$C$1</f>
        <v>25000</v>
      </c>
      <c r="D38" s="6">
        <f>+Sheet1!D36*Sheet1!$C$1</f>
        <v>177207</v>
      </c>
      <c r="E38" s="6">
        <f>+Sheet1!E36*Sheet1!$C$1</f>
        <v>34000</v>
      </c>
      <c r="F38" s="6">
        <f>+Sheet1!F36*Sheet1!$C$1</f>
        <v>20000</v>
      </c>
      <c r="G38" s="6">
        <f>+Sheet1!G36*Sheet1!$C$1</f>
        <v>31555</v>
      </c>
    </row>
    <row r="39" spans="1:7" x14ac:dyDescent="0.2">
      <c r="A39" s="11">
        <v>36738</v>
      </c>
      <c r="B39" s="6">
        <f>+Sheet1!B37*Sheet1!$C$1</f>
        <v>-90000</v>
      </c>
      <c r="C39" s="6">
        <f>+Sheet1!C37*Sheet1!$C$1</f>
        <v>25000</v>
      </c>
      <c r="D39" s="6">
        <f>+Sheet1!D37*Sheet1!$C$1</f>
        <v>97207</v>
      </c>
      <c r="E39" s="6">
        <f>+Sheet1!E37*Sheet1!$C$1</f>
        <v>34000</v>
      </c>
      <c r="F39" s="6">
        <f>+Sheet1!F37*Sheet1!$C$1</f>
        <v>20000</v>
      </c>
      <c r="G39" s="6">
        <f>+Sheet1!G37*Sheet1!$C$1</f>
        <v>31555</v>
      </c>
    </row>
    <row r="40" spans="1:7" x14ac:dyDescent="0.2">
      <c r="A40" s="11">
        <v>36739</v>
      </c>
      <c r="B40" s="6">
        <f>+Sheet1!B38*Sheet1!$C$1</f>
        <v>156372</v>
      </c>
      <c r="C40" s="6">
        <f>+Sheet1!C38*Sheet1!$C$1</f>
        <v>-16830</v>
      </c>
      <c r="D40" s="6">
        <f>+Sheet1!D38*Sheet1!$C$1</f>
        <v>84958</v>
      </c>
      <c r="E40" s="6">
        <f>+Sheet1!E38*Sheet1!$C$1</f>
        <v>0</v>
      </c>
      <c r="F40" s="6">
        <f>+Sheet1!F38*Sheet1!$C$1</f>
        <v>0</v>
      </c>
      <c r="G40" s="6">
        <f>+Sheet1!G38*Sheet1!$C$1</f>
        <v>0</v>
      </c>
    </row>
    <row r="41" spans="1:7" x14ac:dyDescent="0.2">
      <c r="A41" s="11">
        <v>36740</v>
      </c>
      <c r="B41" s="6">
        <f>+Sheet1!B39*Sheet1!$C$1</f>
        <v>194841</v>
      </c>
      <c r="C41" s="6">
        <f>+Sheet1!C39*Sheet1!$C$1</f>
        <v>-5193</v>
      </c>
      <c r="D41" s="6">
        <f>+Sheet1!D39*Sheet1!$C$1</f>
        <v>54226</v>
      </c>
      <c r="E41" s="6">
        <f>+Sheet1!E39*Sheet1!$C$1</f>
        <v>0</v>
      </c>
      <c r="F41" s="6">
        <f>+Sheet1!F39*Sheet1!$C$1</f>
        <v>0</v>
      </c>
      <c r="G41" s="6">
        <f>+Sheet1!G39*Sheet1!$C$1</f>
        <v>0</v>
      </c>
    </row>
    <row r="42" spans="1:7" x14ac:dyDescent="0.2">
      <c r="A42" s="11">
        <v>36741</v>
      </c>
      <c r="B42" s="6">
        <f>+Sheet1!B40*Sheet1!$C$1</f>
        <v>185644</v>
      </c>
      <c r="C42" s="6">
        <f>+Sheet1!C40*Sheet1!$C$1</f>
        <v>822</v>
      </c>
      <c r="D42" s="6">
        <f>+Sheet1!D40*Sheet1!$C$1</f>
        <v>53125</v>
      </c>
      <c r="E42" s="6">
        <f>+Sheet1!E40*Sheet1!$C$1</f>
        <v>0</v>
      </c>
      <c r="F42" s="6">
        <f>+Sheet1!F40*Sheet1!$C$1</f>
        <v>0</v>
      </c>
      <c r="G42" s="6">
        <f>+Sheet1!G40*Sheet1!$C$1</f>
        <v>0</v>
      </c>
    </row>
    <row r="43" spans="1:7" x14ac:dyDescent="0.2">
      <c r="A43" s="11">
        <v>36742</v>
      </c>
      <c r="B43" s="6">
        <f>+Sheet1!B41*Sheet1!$C$1</f>
        <v>176493</v>
      </c>
      <c r="C43" s="6">
        <f>+Sheet1!C41*Sheet1!$C$1</f>
        <v>-5414</v>
      </c>
      <c r="D43" s="6">
        <f>+Sheet1!D41*Sheet1!$C$1</f>
        <v>99016</v>
      </c>
      <c r="E43" s="6">
        <f>+Sheet1!E41*Sheet1!$C$1</f>
        <v>-12000</v>
      </c>
      <c r="F43" s="6">
        <f>+Sheet1!F41*Sheet1!$C$1</f>
        <v>0</v>
      </c>
      <c r="G43" s="6">
        <f>+Sheet1!G41*Sheet1!$C$1</f>
        <v>0</v>
      </c>
    </row>
    <row r="44" spans="1:7" x14ac:dyDescent="0.2">
      <c r="A44" s="11">
        <v>36743</v>
      </c>
      <c r="B44" s="6">
        <f>+Sheet1!B42*Sheet1!$C$1</f>
        <v>175623</v>
      </c>
      <c r="C44" s="6">
        <f>+Sheet1!C42*Sheet1!$C$1</f>
        <v>2634</v>
      </c>
      <c r="D44" s="6">
        <f>+Sheet1!D42*Sheet1!$C$1</f>
        <v>94825</v>
      </c>
      <c r="E44" s="6">
        <f>+Sheet1!E42*Sheet1!$C$1</f>
        <v>0</v>
      </c>
      <c r="F44" s="6">
        <f>+Sheet1!F42*Sheet1!$C$1</f>
        <v>0</v>
      </c>
      <c r="G44" s="6">
        <f>+Sheet1!G42*Sheet1!$C$1</f>
        <v>0</v>
      </c>
    </row>
    <row r="45" spans="1:7" x14ac:dyDescent="0.2">
      <c r="A45" s="11">
        <v>36744</v>
      </c>
      <c r="B45" s="6">
        <f>+Sheet1!B43*Sheet1!$C$1</f>
        <v>200170</v>
      </c>
      <c r="C45" s="6">
        <f>+Sheet1!C43*Sheet1!$C$1</f>
        <v>2634</v>
      </c>
      <c r="D45" s="6">
        <f>+Sheet1!D43*Sheet1!$C$1</f>
        <v>53262</v>
      </c>
      <c r="E45" s="6">
        <f>+Sheet1!E43*Sheet1!$C$1</f>
        <v>0</v>
      </c>
      <c r="F45" s="6">
        <f>+Sheet1!F43*Sheet1!$C$1</f>
        <v>0</v>
      </c>
      <c r="G45" s="6">
        <f>+Sheet1!G43*Sheet1!$C$1</f>
        <v>0</v>
      </c>
    </row>
    <row r="46" spans="1:7" x14ac:dyDescent="0.2">
      <c r="A46" s="11">
        <v>36745</v>
      </c>
      <c r="B46" s="6">
        <f>+Sheet1!B44*Sheet1!$C$1</f>
        <v>197748</v>
      </c>
      <c r="C46" s="6">
        <f>+Sheet1!C44*Sheet1!$C$1</f>
        <v>-5041</v>
      </c>
      <c r="D46" s="6">
        <f>+Sheet1!D44*Sheet1!$C$1</f>
        <v>3133</v>
      </c>
      <c r="E46" s="6">
        <f>+Sheet1!E44*Sheet1!$C$1</f>
        <v>0</v>
      </c>
      <c r="F46" s="6">
        <f>+Sheet1!F44*Sheet1!$C$1</f>
        <v>0</v>
      </c>
      <c r="G46" s="6">
        <f>+Sheet1!G44*Sheet1!$C$1</f>
        <v>0</v>
      </c>
    </row>
    <row r="47" spans="1:7" x14ac:dyDescent="0.2">
      <c r="A47" s="11">
        <v>36746</v>
      </c>
      <c r="B47" s="6">
        <f>+Sheet1!B45*Sheet1!$C$1</f>
        <v>170343</v>
      </c>
      <c r="C47" s="6">
        <f>+Sheet1!C45*Sheet1!$C$1</f>
        <v>-6891</v>
      </c>
      <c r="D47" s="6">
        <f>+Sheet1!D45*Sheet1!$C$1</f>
        <v>24001</v>
      </c>
      <c r="E47" s="6">
        <f>+Sheet1!E45*Sheet1!$C$1</f>
        <v>0</v>
      </c>
      <c r="F47" s="6">
        <f>+Sheet1!F45*Sheet1!$C$1</f>
        <v>0</v>
      </c>
      <c r="G47" s="6">
        <f>+Sheet1!G45*Sheet1!$C$1</f>
        <v>0</v>
      </c>
    </row>
    <row r="48" spans="1:7" x14ac:dyDescent="0.2">
      <c r="A48" s="11">
        <v>36747</v>
      </c>
      <c r="B48" s="6">
        <f>+Sheet1!B46*Sheet1!$C$1</f>
        <v>163317</v>
      </c>
      <c r="C48" s="6">
        <f>+Sheet1!C46*Sheet1!$C$1</f>
        <v>-3351</v>
      </c>
      <c r="D48" s="6">
        <f>+Sheet1!D46*Sheet1!$C$1</f>
        <v>30829</v>
      </c>
      <c r="E48" s="6">
        <f>+Sheet1!E46*Sheet1!$C$1</f>
        <v>0</v>
      </c>
      <c r="F48" s="6">
        <f>+Sheet1!F46*Sheet1!$C$1</f>
        <v>0</v>
      </c>
      <c r="G48" s="6">
        <f>+Sheet1!G46*Sheet1!$C$1</f>
        <v>0</v>
      </c>
    </row>
    <row r="49" spans="1:7" x14ac:dyDescent="0.2">
      <c r="A49" s="11">
        <v>36748</v>
      </c>
      <c r="B49" s="6">
        <f>+Sheet1!B47*Sheet1!$C$1</f>
        <v>174412</v>
      </c>
      <c r="C49" s="6">
        <f>+Sheet1!C47*Sheet1!$C$1</f>
        <v>-5100</v>
      </c>
      <c r="D49" s="6">
        <f>+Sheet1!D47*Sheet1!$C$1</f>
        <v>52397</v>
      </c>
      <c r="E49" s="6">
        <f>+Sheet1!E47*Sheet1!$C$1</f>
        <v>0</v>
      </c>
      <c r="F49" s="6">
        <f>+Sheet1!F47*Sheet1!$C$1</f>
        <v>0</v>
      </c>
      <c r="G49" s="6">
        <f>+Sheet1!G47*Sheet1!$C$1</f>
        <v>0</v>
      </c>
    </row>
    <row r="50" spans="1:7" x14ac:dyDescent="0.2">
      <c r="A50" s="11">
        <v>36749</v>
      </c>
      <c r="B50" s="6">
        <f>+Sheet1!B48*Sheet1!$C$1</f>
        <v>173062</v>
      </c>
      <c r="C50" s="6">
        <f>+Sheet1!C48*Sheet1!$C$1</f>
        <v>-4991</v>
      </c>
      <c r="D50" s="6">
        <f>+Sheet1!D48*Sheet1!$C$1</f>
        <v>75975</v>
      </c>
      <c r="E50" s="6">
        <f>+Sheet1!E48*Sheet1!$C$1</f>
        <v>0</v>
      </c>
      <c r="F50" s="6">
        <f>+Sheet1!F48*Sheet1!$C$1</f>
        <v>0</v>
      </c>
      <c r="G50" s="6">
        <f>+Sheet1!G48*Sheet1!$C$1</f>
        <v>0</v>
      </c>
    </row>
    <row r="51" spans="1:7" x14ac:dyDescent="0.2">
      <c r="A51" s="11">
        <v>36750</v>
      </c>
      <c r="B51" s="6">
        <f>+Sheet1!B49*Sheet1!$C$1</f>
        <v>206137</v>
      </c>
      <c r="C51" s="6">
        <f>+Sheet1!C49*Sheet1!$C$1</f>
        <v>2634</v>
      </c>
      <c r="D51" s="6">
        <f>+Sheet1!D49*Sheet1!$C$1</f>
        <v>83622</v>
      </c>
      <c r="E51" s="6">
        <f>+Sheet1!E49*Sheet1!$C$1</f>
        <v>0</v>
      </c>
      <c r="F51" s="6">
        <f>+Sheet1!F49*Sheet1!$C$1</f>
        <v>0</v>
      </c>
      <c r="G51" s="6">
        <f>+Sheet1!G49*Sheet1!$C$1</f>
        <v>0</v>
      </c>
    </row>
    <row r="52" spans="1:7" x14ac:dyDescent="0.2">
      <c r="A52" s="11">
        <v>36751</v>
      </c>
      <c r="B52" s="6">
        <f>+Sheet1!B50*Sheet1!$C$1</f>
        <v>208120</v>
      </c>
      <c r="C52" s="6">
        <f>+Sheet1!C50*Sheet1!$C$1</f>
        <v>2651</v>
      </c>
      <c r="D52" s="6">
        <f>+Sheet1!D50*Sheet1!$C$1</f>
        <v>87298</v>
      </c>
      <c r="E52" s="6">
        <f>+Sheet1!E50*Sheet1!$C$1</f>
        <v>0</v>
      </c>
      <c r="F52" s="6">
        <f>+Sheet1!F50*Sheet1!$C$1</f>
        <v>0</v>
      </c>
      <c r="G52" s="6">
        <f>+Sheet1!G50*Sheet1!$C$1</f>
        <v>0</v>
      </c>
    </row>
    <row r="53" spans="1:7" x14ac:dyDescent="0.2">
      <c r="A53" s="11">
        <v>36752</v>
      </c>
      <c r="B53" s="6">
        <f>+Sheet1!B51*Sheet1!$C$1</f>
        <v>180367</v>
      </c>
      <c r="C53" s="6">
        <f>+Sheet1!C51*Sheet1!$C$1</f>
        <v>-5259</v>
      </c>
      <c r="D53" s="6">
        <f>+Sheet1!D51*Sheet1!$C$1</f>
        <v>58235</v>
      </c>
      <c r="E53" s="6">
        <f>+Sheet1!E51*Sheet1!$C$1</f>
        <v>0</v>
      </c>
      <c r="F53" s="6">
        <f>+Sheet1!F51*Sheet1!$C$1</f>
        <v>0</v>
      </c>
      <c r="G53" s="6">
        <f>+Sheet1!G51*Sheet1!$C$1</f>
        <v>0</v>
      </c>
    </row>
    <row r="54" spans="1:7" x14ac:dyDescent="0.2">
      <c r="A54" s="11">
        <v>36753</v>
      </c>
      <c r="B54" s="6">
        <f>+Sheet1!B52*Sheet1!$C$1</f>
        <v>118676</v>
      </c>
      <c r="C54" s="6">
        <f>+Sheet1!C52*Sheet1!$C$1</f>
        <v>-31364</v>
      </c>
      <c r="D54" s="6">
        <f>+Sheet1!D52*Sheet1!$C$1</f>
        <v>48757</v>
      </c>
      <c r="E54" s="6">
        <f>+Sheet1!E52*Sheet1!$C$1</f>
        <v>0</v>
      </c>
      <c r="F54" s="6">
        <f>+Sheet1!F52*Sheet1!$C$1</f>
        <v>0</v>
      </c>
      <c r="G54" s="6">
        <f>+Sheet1!G52*Sheet1!$C$1</f>
        <v>0</v>
      </c>
    </row>
    <row r="55" spans="1:7" x14ac:dyDescent="0.2">
      <c r="A55" s="11">
        <v>36754</v>
      </c>
      <c r="B55" s="6">
        <f>+Sheet1!B53*Sheet1!$C$1</f>
        <v>153280</v>
      </c>
      <c r="C55" s="6">
        <f>+Sheet1!C53*Sheet1!$C$1</f>
        <v>2660</v>
      </c>
      <c r="D55" s="6">
        <f>+Sheet1!D53*Sheet1!$C$1</f>
        <v>42920</v>
      </c>
      <c r="E55" s="6">
        <f>+Sheet1!E53*Sheet1!$C$1</f>
        <v>0</v>
      </c>
      <c r="F55" s="6">
        <f>+Sheet1!F53*Sheet1!$C$1</f>
        <v>0</v>
      </c>
      <c r="G55" s="6">
        <f>+Sheet1!G53*Sheet1!$C$1</f>
        <v>0</v>
      </c>
    </row>
    <row r="56" spans="1:7" x14ac:dyDescent="0.2">
      <c r="A56" s="11">
        <v>36755</v>
      </c>
      <c r="B56" s="6">
        <f>+Sheet1!B54*Sheet1!$C$1</f>
        <v>153313</v>
      </c>
      <c r="C56" s="6">
        <f>+Sheet1!C54*Sheet1!$C$1</f>
        <v>2660</v>
      </c>
      <c r="D56" s="6">
        <f>+Sheet1!D54*Sheet1!$C$1</f>
        <v>69045</v>
      </c>
      <c r="E56" s="6">
        <f>+Sheet1!E54*Sheet1!$C$1</f>
        <v>0</v>
      </c>
      <c r="F56" s="6">
        <f>+Sheet1!F54*Sheet1!$C$1</f>
        <v>0</v>
      </c>
      <c r="G56" s="6">
        <f>+Sheet1!G54*Sheet1!$C$1</f>
        <v>0</v>
      </c>
    </row>
    <row r="57" spans="1:7" x14ac:dyDescent="0.2">
      <c r="A57" s="11">
        <v>36756</v>
      </c>
      <c r="B57" s="6">
        <f>+Sheet1!B55*Sheet1!$C$1</f>
        <v>150494</v>
      </c>
      <c r="C57" s="6">
        <f>+Sheet1!C55*Sheet1!$C$1</f>
        <v>0</v>
      </c>
      <c r="D57" s="6">
        <f>+Sheet1!D55*Sheet1!$C$1</f>
        <v>59457</v>
      </c>
      <c r="E57" s="6">
        <f>+Sheet1!E55*Sheet1!$C$1</f>
        <v>0</v>
      </c>
      <c r="F57" s="6">
        <f>+Sheet1!F55*Sheet1!$C$1</f>
        <v>0</v>
      </c>
      <c r="G57" s="6">
        <f>+Sheet1!G55*Sheet1!$C$1</f>
        <v>0</v>
      </c>
    </row>
    <row r="58" spans="1:7" x14ac:dyDescent="0.2">
      <c r="A58" s="11">
        <v>36757</v>
      </c>
      <c r="B58" s="6">
        <f>+Sheet1!B56*Sheet1!$C$1</f>
        <v>151467</v>
      </c>
      <c r="C58" s="6">
        <f>+Sheet1!C56*Sheet1!$C$1</f>
        <v>0</v>
      </c>
      <c r="D58" s="6">
        <f>+Sheet1!D56*Sheet1!$C$1</f>
        <v>76940</v>
      </c>
      <c r="E58" s="6">
        <f>+Sheet1!E56*Sheet1!$C$1</f>
        <v>0</v>
      </c>
      <c r="F58" s="6">
        <f>+Sheet1!F56*Sheet1!$C$1</f>
        <v>0</v>
      </c>
      <c r="G58" s="6">
        <f>+Sheet1!G56*Sheet1!$C$1</f>
        <v>0</v>
      </c>
    </row>
    <row r="59" spans="1:7" x14ac:dyDescent="0.2">
      <c r="A59" s="11">
        <v>36758</v>
      </c>
      <c r="B59" s="6">
        <f>+Sheet1!B57*Sheet1!$C$1</f>
        <v>154613</v>
      </c>
      <c r="C59" s="6">
        <f>+Sheet1!C57*Sheet1!$C$1</f>
        <v>2700</v>
      </c>
      <c r="D59" s="6">
        <f>+Sheet1!D57*Sheet1!$C$1</f>
        <v>73644</v>
      </c>
      <c r="E59" s="6">
        <f>+Sheet1!E57*Sheet1!$C$1</f>
        <v>0</v>
      </c>
      <c r="F59" s="6">
        <f>+Sheet1!F57*Sheet1!$C$1</f>
        <v>0</v>
      </c>
      <c r="G59" s="6">
        <f>+Sheet1!G57*Sheet1!$C$1</f>
        <v>0</v>
      </c>
    </row>
    <row r="60" spans="1:7" x14ac:dyDescent="0.2">
      <c r="A60" s="11">
        <v>36759</v>
      </c>
      <c r="B60" s="6">
        <f>+Sheet1!B58*Sheet1!$C$1</f>
        <v>151240</v>
      </c>
      <c r="C60" s="6">
        <f>+Sheet1!C58*Sheet1!$C$1</f>
        <v>2660</v>
      </c>
      <c r="D60" s="6">
        <f>+Sheet1!D58*Sheet1!$C$1</f>
        <v>96665</v>
      </c>
      <c r="E60" s="6">
        <f>+Sheet1!E58*Sheet1!$C$1</f>
        <v>0</v>
      </c>
      <c r="F60" s="6">
        <f>+Sheet1!F58*Sheet1!$C$1</f>
        <v>0</v>
      </c>
      <c r="G60" s="6">
        <f>+Sheet1!G58*Sheet1!$C$1</f>
        <v>0</v>
      </c>
    </row>
    <row r="61" spans="1:7" x14ac:dyDescent="0.2">
      <c r="A61" s="11">
        <v>36760</v>
      </c>
      <c r="B61" s="6">
        <f>+Sheet1!B59*Sheet1!$C$1</f>
        <v>151340</v>
      </c>
      <c r="C61" s="6">
        <f>+Sheet1!C59*Sheet1!$C$1</f>
        <v>2660</v>
      </c>
      <c r="D61" s="6">
        <f>+Sheet1!D59*Sheet1!$C$1</f>
        <v>32476</v>
      </c>
      <c r="E61" s="6">
        <f>+Sheet1!E59*Sheet1!$C$1</f>
        <v>0</v>
      </c>
      <c r="F61" s="6">
        <f>+Sheet1!F59*Sheet1!$C$1</f>
        <v>0</v>
      </c>
      <c r="G61" s="6">
        <f>+Sheet1!G59*Sheet1!$C$1</f>
        <v>0</v>
      </c>
    </row>
    <row r="62" spans="1:7" x14ac:dyDescent="0.2">
      <c r="A62" s="11">
        <v>36761</v>
      </c>
      <c r="B62" s="6">
        <f>+Sheet1!B60*Sheet1!$C$1</f>
        <v>153730</v>
      </c>
      <c r="C62" s="6">
        <f>+Sheet1!C60*Sheet1!$C$1</f>
        <v>0</v>
      </c>
      <c r="D62" s="6">
        <f>+Sheet1!D60*Sheet1!$C$1</f>
        <v>-11535</v>
      </c>
      <c r="E62" s="6">
        <f>+Sheet1!E60*Sheet1!$C$1</f>
        <v>0</v>
      </c>
      <c r="F62" s="6">
        <f>+Sheet1!F60*Sheet1!$C$1</f>
        <v>0</v>
      </c>
      <c r="G62" s="6">
        <f>+Sheet1!G60*Sheet1!$C$1</f>
        <v>0</v>
      </c>
    </row>
    <row r="63" spans="1:7" x14ac:dyDescent="0.2">
      <c r="A63" s="11">
        <v>36762</v>
      </c>
      <c r="B63" s="6">
        <f>+Sheet1!B61*Sheet1!$C$1</f>
        <v>147550</v>
      </c>
      <c r="C63" s="6">
        <f>+Sheet1!C61*Sheet1!$C$1</f>
        <v>2660</v>
      </c>
      <c r="D63" s="6">
        <f>+Sheet1!D61*Sheet1!$C$1</f>
        <v>7749</v>
      </c>
      <c r="E63" s="6">
        <f>+Sheet1!E61*Sheet1!$C$1</f>
        <v>0</v>
      </c>
      <c r="F63" s="6">
        <f>+Sheet1!F61*Sheet1!$C$1</f>
        <v>0</v>
      </c>
      <c r="G63" s="6">
        <f>+Sheet1!G61*Sheet1!$C$1</f>
        <v>0</v>
      </c>
    </row>
    <row r="64" spans="1:7" x14ac:dyDescent="0.2">
      <c r="A64" s="11">
        <v>36763</v>
      </c>
      <c r="B64" s="6">
        <f>+Sheet1!B62*Sheet1!$C$1</f>
        <v>150640</v>
      </c>
      <c r="C64" s="6">
        <f>+Sheet1!C62*Sheet1!$C$1</f>
        <v>2660</v>
      </c>
      <c r="D64" s="6">
        <f>+Sheet1!D62*Sheet1!$C$1</f>
        <v>76665</v>
      </c>
      <c r="E64" s="6">
        <f>+Sheet1!E62*Sheet1!$C$1</f>
        <v>0</v>
      </c>
      <c r="F64" s="6">
        <f>+Sheet1!F62*Sheet1!$C$1</f>
        <v>0</v>
      </c>
      <c r="G64" s="6">
        <f>+Sheet1!G62*Sheet1!$C$1</f>
        <v>0</v>
      </c>
    </row>
    <row r="65" spans="1:7" x14ac:dyDescent="0.2">
      <c r="A65" s="11">
        <v>36764</v>
      </c>
      <c r="B65" s="6">
        <f>+Sheet1!B63*Sheet1!$C$1</f>
        <v>169790</v>
      </c>
      <c r="C65" s="6">
        <f>+Sheet1!C63*Sheet1!$C$1</f>
        <v>2660</v>
      </c>
      <c r="D65" s="6">
        <f>+Sheet1!D63*Sheet1!$C$1</f>
        <v>76665</v>
      </c>
      <c r="E65" s="6">
        <f>+Sheet1!E63*Sheet1!$C$1</f>
        <v>0</v>
      </c>
      <c r="F65" s="6">
        <f>+Sheet1!F63*Sheet1!$C$1</f>
        <v>0</v>
      </c>
      <c r="G65" s="6">
        <f>+Sheet1!G63*Sheet1!$C$1</f>
        <v>0</v>
      </c>
    </row>
    <row r="66" spans="1:7" x14ac:dyDescent="0.2">
      <c r="A66" s="11">
        <v>36765</v>
      </c>
      <c r="B66" s="6">
        <f>+Sheet1!B64*Sheet1!$C$1</f>
        <v>175000</v>
      </c>
      <c r="C66" s="6">
        <f>+Sheet1!C64*Sheet1!$C$1</f>
        <v>2660</v>
      </c>
      <c r="D66" s="6">
        <f>+Sheet1!D64*Sheet1!$C$1</f>
        <v>76665</v>
      </c>
      <c r="E66" s="6">
        <f>+Sheet1!E64*Sheet1!$C$1</f>
        <v>0</v>
      </c>
      <c r="F66" s="6">
        <f>+Sheet1!F64*Sheet1!$C$1</f>
        <v>0</v>
      </c>
      <c r="G66" s="6">
        <f>+Sheet1!G64*Sheet1!$C$1</f>
        <v>0</v>
      </c>
    </row>
    <row r="67" spans="1:7" x14ac:dyDescent="0.2">
      <c r="A67" s="11">
        <v>36766</v>
      </c>
      <c r="B67" s="6">
        <f>+Sheet1!B65*Sheet1!$C$1</f>
        <v>150000</v>
      </c>
      <c r="C67" s="6">
        <f>+Sheet1!C65*Sheet1!$C$1</f>
        <v>-22300</v>
      </c>
      <c r="D67" s="6">
        <f>+Sheet1!D65*Sheet1!$C$1</f>
        <v>57865</v>
      </c>
      <c r="E67" s="6">
        <f>+Sheet1!E65*Sheet1!$C$1</f>
        <v>0</v>
      </c>
      <c r="F67" s="6">
        <f>+Sheet1!F65*Sheet1!$C$1</f>
        <v>0</v>
      </c>
      <c r="G67" s="6">
        <f>+Sheet1!G65*Sheet1!$C$1</f>
        <v>0</v>
      </c>
    </row>
    <row r="68" spans="1:7" x14ac:dyDescent="0.2">
      <c r="A68" s="11">
        <v>36767</v>
      </c>
      <c r="B68" s="6">
        <f>+Sheet1!B66*Sheet1!$C$1</f>
        <v>150000</v>
      </c>
      <c r="C68" s="6">
        <f>+Sheet1!C66*Sheet1!$C$1</f>
        <v>0</v>
      </c>
      <c r="D68" s="6">
        <f>+Sheet1!D66*Sheet1!$C$1</f>
        <v>76665</v>
      </c>
      <c r="E68" s="6">
        <f>+Sheet1!E66*Sheet1!$C$1</f>
        <v>0</v>
      </c>
      <c r="F68" s="6">
        <f>+Sheet1!F66*Sheet1!$C$1</f>
        <v>0</v>
      </c>
      <c r="G68" s="6">
        <f>+Sheet1!G66*Sheet1!$C$1</f>
        <v>0</v>
      </c>
    </row>
    <row r="69" spans="1:7" x14ac:dyDescent="0.2">
      <c r="A69" s="11">
        <v>36768</v>
      </c>
      <c r="B69" s="6">
        <f>+Sheet1!B67*Sheet1!$C$1</f>
        <v>150000</v>
      </c>
      <c r="C69" s="6">
        <f>+Sheet1!C67*Sheet1!$C$1</f>
        <v>0</v>
      </c>
      <c r="D69" s="6">
        <f>+Sheet1!D67*Sheet1!$C$1</f>
        <v>76665</v>
      </c>
      <c r="E69" s="6">
        <f>+Sheet1!E67*Sheet1!$C$1</f>
        <v>0</v>
      </c>
      <c r="F69" s="6">
        <f>+Sheet1!F67*Sheet1!$C$1</f>
        <v>0</v>
      </c>
      <c r="G69" s="6">
        <f>+Sheet1!G67*Sheet1!$C$1</f>
        <v>0</v>
      </c>
    </row>
    <row r="70" spans="1:7" x14ac:dyDescent="0.2">
      <c r="A70" s="11">
        <v>36769</v>
      </c>
      <c r="B70" s="6">
        <f>+Sheet1!B68*Sheet1!$C$1</f>
        <v>150000</v>
      </c>
      <c r="C70" s="6">
        <f>+Sheet1!C68*Sheet1!$C$1</f>
        <v>0</v>
      </c>
      <c r="D70" s="6">
        <f>+Sheet1!D68*Sheet1!$C$1</f>
        <v>76665</v>
      </c>
      <c r="E70" s="6">
        <f>+Sheet1!E68*Sheet1!$C$1</f>
        <v>0</v>
      </c>
      <c r="F70" s="6">
        <f>+Sheet1!F68*Sheet1!$C$1</f>
        <v>0</v>
      </c>
      <c r="G70" s="6">
        <f>+Sheet1!G68*Sheet1!$C$1</f>
        <v>0</v>
      </c>
    </row>
    <row r="71" spans="1:7" x14ac:dyDescent="0.2">
      <c r="A71" s="11">
        <v>36770</v>
      </c>
      <c r="B71" s="6">
        <f>+Sheet1!B69*Sheet1!$C$1</f>
        <v>108132</v>
      </c>
      <c r="C71" s="6">
        <f>+Sheet1!C69*Sheet1!$C$1</f>
        <v>-35450</v>
      </c>
      <c r="D71" s="6">
        <f>+Sheet1!D69*Sheet1!$C$1</f>
        <v>86665</v>
      </c>
      <c r="E71" s="6">
        <f>+Sheet1!E69*Sheet1!$C$1</f>
        <v>-27214</v>
      </c>
      <c r="F71" s="6">
        <f>+Sheet1!F69*Sheet1!$C$1</f>
        <v>-20000</v>
      </c>
      <c r="G71" s="6">
        <f>+Sheet1!G69*Sheet1!$C$1</f>
        <v>0</v>
      </c>
    </row>
    <row r="72" spans="1:7" x14ac:dyDescent="0.2">
      <c r="A72" s="11">
        <v>36771</v>
      </c>
      <c r="B72" s="6">
        <f>+Sheet1!B70*Sheet1!$C$1</f>
        <v>121338</v>
      </c>
      <c r="C72" s="6">
        <f>+Sheet1!C70*Sheet1!$C$1</f>
        <v>2007</v>
      </c>
      <c r="D72" s="6">
        <f>+Sheet1!D70*Sheet1!$C$1</f>
        <v>96665</v>
      </c>
      <c r="E72" s="6">
        <f>+Sheet1!E70*Sheet1!$C$1</f>
        <v>-13144</v>
      </c>
      <c r="F72" s="6">
        <f>+Sheet1!F70*Sheet1!$C$1</f>
        <v>0</v>
      </c>
      <c r="G72" s="6">
        <f>+Sheet1!G70*Sheet1!$C$1</f>
        <v>0</v>
      </c>
    </row>
    <row r="73" spans="1:7" x14ac:dyDescent="0.2">
      <c r="A73" s="11">
        <v>36772</v>
      </c>
      <c r="B73" s="6">
        <f>+Sheet1!B71*Sheet1!$C$1</f>
        <v>119450</v>
      </c>
      <c r="C73" s="6">
        <f>+Sheet1!C71*Sheet1!$C$1</f>
        <v>-14912</v>
      </c>
      <c r="D73" s="6">
        <f>+Sheet1!D71*Sheet1!$C$1</f>
        <v>99201</v>
      </c>
      <c r="E73" s="6">
        <f>+Sheet1!E71*Sheet1!$C$1</f>
        <v>18706</v>
      </c>
      <c r="F73" s="6">
        <f>+Sheet1!F71*Sheet1!$C$1</f>
        <v>20000</v>
      </c>
      <c r="G73" s="6">
        <f>+Sheet1!G71*Sheet1!$C$1</f>
        <v>0</v>
      </c>
    </row>
    <row r="74" spans="1:7" x14ac:dyDescent="0.2">
      <c r="A74" s="11">
        <v>36773</v>
      </c>
      <c r="B74" s="6">
        <f>+Sheet1!B72*Sheet1!$C$1</f>
        <v>125642</v>
      </c>
      <c r="C74" s="6">
        <f>+Sheet1!C72*Sheet1!$C$1</f>
        <v>-23286</v>
      </c>
      <c r="D74" s="6">
        <f>+Sheet1!D72*Sheet1!$C$1</f>
        <v>99201</v>
      </c>
      <c r="E74" s="6">
        <f>+Sheet1!E72*Sheet1!$C$1</f>
        <v>0</v>
      </c>
      <c r="F74" s="6">
        <f>+Sheet1!F72*Sheet1!$C$1</f>
        <v>5509</v>
      </c>
      <c r="G74" s="6">
        <f>+Sheet1!G72*Sheet1!$C$1</f>
        <v>0</v>
      </c>
    </row>
    <row r="75" spans="1:7" x14ac:dyDescent="0.2">
      <c r="A75" s="11">
        <v>36774</v>
      </c>
      <c r="B75" s="6">
        <f>+Sheet1!B73*Sheet1!$C$1</f>
        <v>130002</v>
      </c>
      <c r="C75" s="6">
        <f>+Sheet1!C73*Sheet1!$C$1</f>
        <v>-1125</v>
      </c>
      <c r="D75" s="6">
        <f>+Sheet1!D73*Sheet1!$C$1</f>
        <v>96665</v>
      </c>
      <c r="E75" s="6">
        <f>+Sheet1!E73*Sheet1!$C$1</f>
        <v>-19206</v>
      </c>
      <c r="F75" s="6">
        <f>+Sheet1!F73*Sheet1!$C$1</f>
        <v>0</v>
      </c>
      <c r="G75" s="6">
        <f>+Sheet1!G73*Sheet1!$C$1</f>
        <v>0</v>
      </c>
    </row>
    <row r="76" spans="1:7" x14ac:dyDescent="0.2">
      <c r="A76" s="11">
        <v>36775</v>
      </c>
      <c r="B76" s="6">
        <f>+Sheet1!B74*Sheet1!$C$1</f>
        <v>122426</v>
      </c>
      <c r="C76" s="6">
        <f>+Sheet1!C74*Sheet1!$C$1</f>
        <v>-23066</v>
      </c>
      <c r="D76" s="6">
        <f>+Sheet1!D74*Sheet1!$C$1</f>
        <v>97938</v>
      </c>
      <c r="E76" s="6">
        <f>+Sheet1!E74*Sheet1!$C$1</f>
        <v>0</v>
      </c>
      <c r="F76" s="6">
        <f>+Sheet1!F74*Sheet1!$C$1</f>
        <v>0</v>
      </c>
      <c r="G76" s="6">
        <f>+Sheet1!G74*Sheet1!$C$1</f>
        <v>0</v>
      </c>
    </row>
    <row r="77" spans="1:7" x14ac:dyDescent="0.2">
      <c r="A77" s="11">
        <v>36776</v>
      </c>
      <c r="B77" s="6">
        <f>+Sheet1!B75*Sheet1!$C$1</f>
        <v>121957</v>
      </c>
      <c r="C77" s="6">
        <f>+Sheet1!C75*Sheet1!$C$1</f>
        <v>-23313</v>
      </c>
      <c r="D77" s="6">
        <f>+Sheet1!D75*Sheet1!$C$1</f>
        <v>96665</v>
      </c>
      <c r="E77" s="6">
        <f>+Sheet1!E75*Sheet1!$C$1</f>
        <v>-25000</v>
      </c>
      <c r="F77" s="6">
        <f>+Sheet1!F75*Sheet1!$C$1</f>
        <v>-855</v>
      </c>
      <c r="G77" s="6">
        <f>+Sheet1!G75*Sheet1!$C$1</f>
        <v>0</v>
      </c>
    </row>
    <row r="78" spans="1:7" x14ac:dyDescent="0.2">
      <c r="A78" s="11">
        <v>36777</v>
      </c>
      <c r="B78" s="6">
        <f>+Sheet1!B76*Sheet1!$C$1</f>
        <v>122262</v>
      </c>
      <c r="C78" s="6">
        <f>+Sheet1!C76*Sheet1!$C$1</f>
        <v>-23316</v>
      </c>
      <c r="D78" s="6">
        <f>+Sheet1!D76*Sheet1!$C$1</f>
        <v>96665</v>
      </c>
      <c r="E78" s="6">
        <f>+Sheet1!E76*Sheet1!$C$1</f>
        <v>-25000</v>
      </c>
      <c r="F78" s="6">
        <f>+Sheet1!F76*Sheet1!$C$1</f>
        <v>-18632</v>
      </c>
      <c r="G78" s="6">
        <f>+Sheet1!G76*Sheet1!$C$1</f>
        <v>0</v>
      </c>
    </row>
    <row r="79" spans="1:7" x14ac:dyDescent="0.2">
      <c r="A79" s="11">
        <v>36778</v>
      </c>
      <c r="B79" s="6">
        <f>+Sheet1!B77*Sheet1!$C$1</f>
        <v>143518</v>
      </c>
      <c r="C79" s="6">
        <f>+Sheet1!C77*Sheet1!$C$1</f>
        <v>-23090</v>
      </c>
      <c r="D79" s="6">
        <f>+Sheet1!D77*Sheet1!$C$1</f>
        <v>99201</v>
      </c>
      <c r="E79" s="6">
        <f>+Sheet1!E77*Sheet1!$C$1</f>
        <v>2807</v>
      </c>
      <c r="F79" s="6">
        <f>+Sheet1!F77*Sheet1!$C$1</f>
        <v>20000</v>
      </c>
      <c r="G79" s="6">
        <f>+Sheet1!G77*Sheet1!$C$1</f>
        <v>0</v>
      </c>
    </row>
    <row r="80" spans="1:7" x14ac:dyDescent="0.2">
      <c r="A80" s="11">
        <v>36779</v>
      </c>
      <c r="B80" s="6">
        <f>+Sheet1!B78*Sheet1!$C$1</f>
        <v>146553</v>
      </c>
      <c r="C80" s="6">
        <f>+Sheet1!C78*Sheet1!$C$1</f>
        <v>-23215</v>
      </c>
      <c r="D80" s="6">
        <f>+Sheet1!D78*Sheet1!$C$1</f>
        <v>99201</v>
      </c>
      <c r="E80" s="6">
        <f>+Sheet1!E78*Sheet1!$C$1</f>
        <v>19947</v>
      </c>
      <c r="F80" s="6">
        <f>+Sheet1!F78*Sheet1!$C$1</f>
        <v>0</v>
      </c>
      <c r="G80" s="6">
        <f>+Sheet1!G78*Sheet1!$C$1</f>
        <v>0</v>
      </c>
    </row>
    <row r="81" spans="1:7" x14ac:dyDescent="0.2">
      <c r="A81" s="11">
        <v>36780</v>
      </c>
      <c r="B81" s="6">
        <f>+Sheet1!B79*Sheet1!$C$1</f>
        <v>118990</v>
      </c>
      <c r="C81" s="6">
        <f>+Sheet1!C79*Sheet1!$C$1</f>
        <v>-40236</v>
      </c>
      <c r="D81" s="6">
        <f>+Sheet1!D79*Sheet1!$C$1</f>
        <v>96665</v>
      </c>
      <c r="E81" s="6">
        <f>+Sheet1!E79*Sheet1!$C$1</f>
        <v>-4282</v>
      </c>
      <c r="F81" s="6">
        <f>+Sheet1!F79*Sheet1!$C$1</f>
        <v>0</v>
      </c>
      <c r="G81" s="6">
        <f>+Sheet1!G79*Sheet1!$C$1</f>
        <v>0</v>
      </c>
    </row>
    <row r="82" spans="1:7" x14ac:dyDescent="0.2">
      <c r="A82" s="11">
        <v>36781</v>
      </c>
      <c r="B82" s="6">
        <f>+Sheet1!B80*Sheet1!$C$1</f>
        <v>121478</v>
      </c>
      <c r="C82" s="6">
        <f>+Sheet1!C80*Sheet1!$C$1</f>
        <v>-23244</v>
      </c>
      <c r="D82" s="6">
        <f>+Sheet1!D80*Sheet1!$C$1</f>
        <v>99201</v>
      </c>
      <c r="E82" s="6">
        <f>+Sheet1!E80*Sheet1!$C$1</f>
        <v>5226</v>
      </c>
      <c r="F82" s="6">
        <f>+Sheet1!F80*Sheet1!$C$1</f>
        <v>20000</v>
      </c>
      <c r="G82" s="6">
        <f>+Sheet1!G80*Sheet1!$C$1</f>
        <v>0</v>
      </c>
    </row>
    <row r="83" spans="1:7" x14ac:dyDescent="0.2">
      <c r="A83" s="11">
        <v>36782</v>
      </c>
      <c r="B83" s="6">
        <f>+Sheet1!B81*Sheet1!$C$1</f>
        <v>121311</v>
      </c>
      <c r="C83" s="6">
        <f>+Sheet1!C81*Sheet1!$C$1</f>
        <v>-23226</v>
      </c>
      <c r="D83" s="6">
        <f>+Sheet1!D81*Sheet1!$C$1</f>
        <v>99201</v>
      </c>
      <c r="E83" s="6">
        <f>+Sheet1!E81*Sheet1!$C$1</f>
        <v>6577</v>
      </c>
      <c r="F83" s="6">
        <f>+Sheet1!F81*Sheet1!$C$1</f>
        <v>0</v>
      </c>
      <c r="G83" s="6">
        <f>+Sheet1!G81*Sheet1!$C$1</f>
        <v>0</v>
      </c>
    </row>
    <row r="84" spans="1:7" x14ac:dyDescent="0.2">
      <c r="A84" s="11">
        <v>36783</v>
      </c>
      <c r="B84" s="6">
        <f>+Sheet1!B82*Sheet1!$C$1</f>
        <v>122799</v>
      </c>
      <c r="C84" s="6">
        <f>+Sheet1!C82*Sheet1!$C$1</f>
        <v>17021</v>
      </c>
      <c r="D84" s="6">
        <f>+Sheet1!D82*Sheet1!$C$1</f>
        <v>99201</v>
      </c>
      <c r="E84" s="6">
        <f>+Sheet1!E82*Sheet1!$C$1</f>
        <v>20000</v>
      </c>
      <c r="F84" s="6">
        <f>+Sheet1!F82*Sheet1!$C$1</f>
        <v>4245</v>
      </c>
      <c r="G84" s="6">
        <f>+Sheet1!G82*Sheet1!$C$1</f>
        <v>0</v>
      </c>
    </row>
    <row r="85" spans="1:7" x14ac:dyDescent="0.2">
      <c r="A85" s="11">
        <v>36784</v>
      </c>
      <c r="B85" s="6">
        <f>+Sheet1!B83*Sheet1!$C$1</f>
        <v>124253</v>
      </c>
      <c r="C85" s="6">
        <f>+Sheet1!C83*Sheet1!$C$1</f>
        <v>16569</v>
      </c>
      <c r="D85" s="6">
        <f>+Sheet1!D83*Sheet1!$C$1</f>
        <v>99201</v>
      </c>
      <c r="E85" s="6">
        <f>+Sheet1!E83*Sheet1!$C$1</f>
        <v>16236</v>
      </c>
      <c r="F85" s="6">
        <f>+Sheet1!F83*Sheet1!$C$1</f>
        <v>0</v>
      </c>
      <c r="G85" s="6">
        <f>+Sheet1!G83*Sheet1!$C$1</f>
        <v>0</v>
      </c>
    </row>
    <row r="86" spans="1:7" x14ac:dyDescent="0.2">
      <c r="A86" s="11">
        <v>36785</v>
      </c>
      <c r="B86" s="6">
        <f>+Sheet1!B84*Sheet1!$C$1</f>
        <v>129335</v>
      </c>
      <c r="C86" s="6">
        <f>+Sheet1!C84*Sheet1!$C$1</f>
        <v>21568</v>
      </c>
      <c r="D86" s="6">
        <f>+Sheet1!D84*Sheet1!$C$1</f>
        <v>99201</v>
      </c>
      <c r="E86" s="6">
        <f>+Sheet1!E84*Sheet1!$C$1</f>
        <v>20000</v>
      </c>
      <c r="F86" s="6">
        <f>+Sheet1!F84*Sheet1!$C$1</f>
        <v>3609</v>
      </c>
      <c r="G86" s="6">
        <f>+Sheet1!G84*Sheet1!$C$1</f>
        <v>0</v>
      </c>
    </row>
    <row r="87" spans="1:7" x14ac:dyDescent="0.2">
      <c r="A87" s="11">
        <v>36786</v>
      </c>
      <c r="B87" s="6">
        <f>+Sheet1!B85*Sheet1!$C$1</f>
        <v>123219</v>
      </c>
      <c r="C87" s="6">
        <f>+Sheet1!C85*Sheet1!$C$1</f>
        <v>32370</v>
      </c>
      <c r="D87" s="6">
        <f>+Sheet1!D85*Sheet1!$C$1</f>
        <v>96665</v>
      </c>
      <c r="E87" s="6">
        <f>+Sheet1!E85*Sheet1!$C$1</f>
        <v>0</v>
      </c>
      <c r="F87" s="6">
        <f>+Sheet1!F85*Sheet1!$C$1</f>
        <v>0</v>
      </c>
      <c r="G87" s="6">
        <f>+Sheet1!G85*Sheet1!$C$1</f>
        <v>0</v>
      </c>
    </row>
    <row r="88" spans="1:7" x14ac:dyDescent="0.2">
      <c r="A88" s="11">
        <v>36787</v>
      </c>
      <c r="B88" s="6">
        <f>+Sheet1!B86*Sheet1!$C$1</f>
        <v>122240</v>
      </c>
      <c r="C88" s="6">
        <f>+Sheet1!C86*Sheet1!$C$1</f>
        <v>-3400</v>
      </c>
      <c r="D88" s="6">
        <f>+Sheet1!D86*Sheet1!$C$1</f>
        <v>96665</v>
      </c>
      <c r="E88" s="6">
        <f>+Sheet1!E86*Sheet1!$C$1</f>
        <v>0</v>
      </c>
      <c r="F88" s="6">
        <f>+Sheet1!F86*Sheet1!$C$1</f>
        <v>0</v>
      </c>
      <c r="G88" s="6">
        <f>+Sheet1!G86*Sheet1!$C$1</f>
        <v>0</v>
      </c>
    </row>
    <row r="89" spans="1:7" x14ac:dyDescent="0.2">
      <c r="A89" s="11">
        <v>36788</v>
      </c>
      <c r="B89" s="6">
        <f>+Sheet1!B87*Sheet1!$C$1</f>
        <v>118740</v>
      </c>
      <c r="C89" s="6">
        <f>+Sheet1!C87*Sheet1!$C$1</f>
        <v>-23400</v>
      </c>
      <c r="D89" s="6">
        <f>+Sheet1!D87*Sheet1!$C$1</f>
        <v>96665</v>
      </c>
      <c r="E89" s="6">
        <f>+Sheet1!E87*Sheet1!$C$1</f>
        <v>0</v>
      </c>
      <c r="F89" s="6">
        <f>+Sheet1!F87*Sheet1!$C$1</f>
        <v>0</v>
      </c>
      <c r="G89" s="6">
        <f>+Sheet1!G87*Sheet1!$C$1</f>
        <v>0</v>
      </c>
    </row>
    <row r="90" spans="1:7" x14ac:dyDescent="0.2">
      <c r="A90" s="11">
        <v>36789</v>
      </c>
      <c r="B90" s="6">
        <f>+Sheet1!B88*Sheet1!$C$1</f>
        <v>77660</v>
      </c>
      <c r="C90" s="6">
        <f>+Sheet1!C88*Sheet1!$C$1</f>
        <v>-23342</v>
      </c>
      <c r="D90" s="6">
        <f>+Sheet1!D88*Sheet1!$C$1</f>
        <v>96665</v>
      </c>
      <c r="E90" s="6">
        <f>+Sheet1!E88*Sheet1!$C$1</f>
        <v>0</v>
      </c>
      <c r="F90" s="6">
        <f>+Sheet1!F88*Sheet1!$C$1</f>
        <v>0</v>
      </c>
      <c r="G90" s="6">
        <f>+Sheet1!G88*Sheet1!$C$1</f>
        <v>0</v>
      </c>
    </row>
    <row r="91" spans="1:7" x14ac:dyDescent="0.2">
      <c r="A91" s="11">
        <v>36790</v>
      </c>
      <c r="B91" s="6">
        <f>+Sheet1!B89*Sheet1!$C$1</f>
        <v>69132</v>
      </c>
      <c r="C91" s="6">
        <f>+Sheet1!C89*Sheet1!$C$1</f>
        <v>34523</v>
      </c>
      <c r="D91" s="6">
        <f>+Sheet1!D89*Sheet1!$C$1</f>
        <v>96665</v>
      </c>
      <c r="E91" s="6">
        <f>+Sheet1!E89*Sheet1!$C$1</f>
        <v>0</v>
      </c>
      <c r="F91" s="6">
        <f>+Sheet1!F89*Sheet1!$C$1</f>
        <v>0</v>
      </c>
      <c r="G91" s="6">
        <f>+Sheet1!G89*Sheet1!$C$1</f>
        <v>0</v>
      </c>
    </row>
    <row r="92" spans="1:7" x14ac:dyDescent="0.2">
      <c r="A92" s="11">
        <v>36791</v>
      </c>
      <c r="B92" s="6">
        <f>+Sheet1!B90*Sheet1!$C$1</f>
        <v>73088</v>
      </c>
      <c r="C92" s="6">
        <f>+Sheet1!C90*Sheet1!$C$1</f>
        <v>16915</v>
      </c>
      <c r="D92" s="6">
        <f>+Sheet1!D90*Sheet1!$C$1</f>
        <v>96665</v>
      </c>
      <c r="E92" s="6">
        <f>+Sheet1!E90*Sheet1!$C$1</f>
        <v>0</v>
      </c>
      <c r="F92" s="6">
        <f>+Sheet1!F90*Sheet1!$C$1</f>
        <v>0</v>
      </c>
      <c r="G92" s="6">
        <f>+Sheet1!G90*Sheet1!$C$1</f>
        <v>0</v>
      </c>
    </row>
    <row r="93" spans="1:7" x14ac:dyDescent="0.2">
      <c r="A93" s="11">
        <v>36792</v>
      </c>
      <c r="B93" s="6">
        <f>+Sheet1!B91*Sheet1!$C$1</f>
        <v>122864</v>
      </c>
      <c r="C93" s="6">
        <f>+Sheet1!C91*Sheet1!$C$1</f>
        <v>16655</v>
      </c>
      <c r="D93" s="6">
        <f>+Sheet1!D91*Sheet1!$C$1</f>
        <v>96665</v>
      </c>
      <c r="E93" s="6">
        <f>+Sheet1!E91*Sheet1!$C$1</f>
        <v>0</v>
      </c>
      <c r="F93" s="6">
        <f>+Sheet1!F91*Sheet1!$C$1</f>
        <v>0</v>
      </c>
      <c r="G93" s="6">
        <f>+Sheet1!G91*Sheet1!$C$1</f>
        <v>31555</v>
      </c>
    </row>
    <row r="94" spans="1:7" x14ac:dyDescent="0.2">
      <c r="A94" s="11">
        <v>36793</v>
      </c>
      <c r="B94" s="6">
        <f>+Sheet1!B92*Sheet1!$C$1</f>
        <v>125810</v>
      </c>
      <c r="C94" s="6">
        <f>+Sheet1!C92*Sheet1!$C$1</f>
        <v>30505</v>
      </c>
      <c r="D94" s="6">
        <f>+Sheet1!D92*Sheet1!$C$1</f>
        <v>96665</v>
      </c>
      <c r="E94" s="6">
        <f>+Sheet1!E92*Sheet1!$C$1</f>
        <v>0</v>
      </c>
      <c r="F94" s="6">
        <f>+Sheet1!F92*Sheet1!$C$1</f>
        <v>0</v>
      </c>
      <c r="G94" s="6">
        <f>+Sheet1!G92*Sheet1!$C$1</f>
        <v>0</v>
      </c>
    </row>
    <row r="95" spans="1:7" x14ac:dyDescent="0.2">
      <c r="A95" s="11">
        <v>36794</v>
      </c>
      <c r="B95" s="6">
        <f>+Sheet1!B93*Sheet1!$C$1</f>
        <v>122451</v>
      </c>
      <c r="C95" s="6">
        <f>+Sheet1!C93*Sheet1!$C$1</f>
        <v>-29714</v>
      </c>
      <c r="D95" s="6">
        <f>+Sheet1!D93*Sheet1!$C$1</f>
        <v>96665</v>
      </c>
      <c r="E95" s="6">
        <f>+Sheet1!E93*Sheet1!$C$1</f>
        <v>0</v>
      </c>
      <c r="F95" s="6">
        <f>+Sheet1!F93*Sheet1!$C$1</f>
        <v>0</v>
      </c>
      <c r="G95" s="6">
        <f>+Sheet1!G93*Sheet1!$C$1</f>
        <v>0</v>
      </c>
    </row>
    <row r="96" spans="1:7" x14ac:dyDescent="0.2">
      <c r="A96" s="11">
        <v>36795</v>
      </c>
      <c r="B96" s="6">
        <f>+Sheet1!B94*Sheet1!$C$1</f>
        <v>122494</v>
      </c>
      <c r="C96" s="6">
        <f>+Sheet1!C94*Sheet1!$C$1</f>
        <v>-23572</v>
      </c>
      <c r="D96" s="6">
        <f>+Sheet1!D94*Sheet1!$C$1</f>
        <v>96665</v>
      </c>
      <c r="E96" s="6">
        <f>+Sheet1!E94*Sheet1!$C$1</f>
        <v>0</v>
      </c>
      <c r="F96" s="6">
        <f>+Sheet1!F94*Sheet1!$C$1</f>
        <v>0</v>
      </c>
      <c r="G96" s="6">
        <f>+Sheet1!G94*Sheet1!$C$1</f>
        <v>0</v>
      </c>
    </row>
    <row r="97" spans="1:9" x14ac:dyDescent="0.2">
      <c r="A97" s="11">
        <v>36796</v>
      </c>
      <c r="B97" s="6">
        <f>+Sheet1!B95*Sheet1!$C$1</f>
        <v>123013</v>
      </c>
      <c r="C97" s="6">
        <f>+Sheet1!C95*Sheet1!$C$1</f>
        <v>-23600</v>
      </c>
      <c r="D97" s="6">
        <f>+Sheet1!D95*Sheet1!$C$1</f>
        <v>96665</v>
      </c>
      <c r="E97" s="6">
        <f>+Sheet1!E95*Sheet1!$C$1</f>
        <v>0</v>
      </c>
      <c r="F97" s="6">
        <f>+Sheet1!F95*Sheet1!$C$1</f>
        <v>0</v>
      </c>
      <c r="G97" s="6">
        <f>+Sheet1!G95*Sheet1!$C$1</f>
        <v>0</v>
      </c>
    </row>
    <row r="98" spans="1:9" x14ac:dyDescent="0.2">
      <c r="A98" s="11">
        <v>36797</v>
      </c>
      <c r="B98" s="6">
        <f>+Sheet1!B96*Sheet1!$C$1</f>
        <v>123000</v>
      </c>
      <c r="C98" s="6">
        <f>+Sheet1!C96*Sheet1!$C$1</f>
        <v>2700</v>
      </c>
      <c r="D98" s="6">
        <f>+Sheet1!D96*Sheet1!$C$1</f>
        <v>96665</v>
      </c>
      <c r="E98" s="6">
        <f>+Sheet1!E96*Sheet1!$C$1</f>
        <v>0</v>
      </c>
      <c r="F98" s="6">
        <f>+Sheet1!F96*Sheet1!$C$1</f>
        <v>0</v>
      </c>
      <c r="G98" s="6">
        <f>+Sheet1!G96*Sheet1!$C$1</f>
        <v>0</v>
      </c>
    </row>
    <row r="99" spans="1:9" x14ac:dyDescent="0.2">
      <c r="A99" s="11">
        <v>36798</v>
      </c>
      <c r="B99" s="6">
        <f>+Sheet1!B97*Sheet1!$C$1</f>
        <v>123000</v>
      </c>
      <c r="C99" s="6">
        <f>+Sheet1!C97*Sheet1!$C$1</f>
        <v>-23400</v>
      </c>
      <c r="D99" s="6">
        <f>+Sheet1!D97*Sheet1!$C$1</f>
        <v>96665</v>
      </c>
      <c r="E99" s="6">
        <f>+Sheet1!E97*Sheet1!$C$1</f>
        <v>0</v>
      </c>
      <c r="F99" s="6">
        <f>+Sheet1!F97*Sheet1!$C$1</f>
        <v>0</v>
      </c>
      <c r="G99" s="6">
        <f>+Sheet1!G97*Sheet1!$C$1</f>
        <v>0</v>
      </c>
      <c r="H99" s="4">
        <f>+Sheet1!H97*Sheet1!$C$1</f>
        <v>10000</v>
      </c>
      <c r="I99" s="4">
        <f>+Sheet1!I97*Sheet1!$C$1</f>
        <v>0</v>
      </c>
    </row>
    <row r="100" spans="1:9" x14ac:dyDescent="0.2">
      <c r="A100" s="11">
        <v>36799</v>
      </c>
      <c r="B100" s="6">
        <f>+Sheet1!B98*Sheet1!$C$1</f>
        <v>123000</v>
      </c>
      <c r="C100" s="6">
        <f>+Sheet1!C98*Sheet1!$C$1</f>
        <v>-23400</v>
      </c>
      <c r="D100" s="6">
        <f>+Sheet1!D98*Sheet1!$C$1</f>
        <v>96665</v>
      </c>
      <c r="E100" s="6">
        <f>+Sheet1!E98*Sheet1!$C$1</f>
        <v>0</v>
      </c>
      <c r="F100" s="6">
        <f>+Sheet1!F98*Sheet1!$C$1</f>
        <v>0</v>
      </c>
      <c r="G100" s="6">
        <f>+Sheet1!G98*Sheet1!$C$1</f>
        <v>0</v>
      </c>
      <c r="H100" s="4">
        <f>+Sheet1!H98*Sheet1!$C$1</f>
        <v>10000</v>
      </c>
      <c r="I100" s="4">
        <f>+Sheet1!I98*Sheet1!$C$1</f>
        <v>0</v>
      </c>
    </row>
    <row r="101" spans="1:9" x14ac:dyDescent="0.2">
      <c r="A101" s="11">
        <v>36800</v>
      </c>
      <c r="B101" s="6">
        <f>+Sheet1!B99*Sheet1!$C$1</f>
        <v>143114</v>
      </c>
      <c r="C101" s="6">
        <f>+Sheet1!C99*Sheet1!$C$1</f>
        <v>34640</v>
      </c>
      <c r="D101" s="6">
        <f>+Sheet1!D99*Sheet1!$C$1</f>
        <v>29445</v>
      </c>
      <c r="E101" s="6">
        <f>+Sheet1!E99*Sheet1!$C$1</f>
        <v>32185</v>
      </c>
      <c r="F101" s="6">
        <f>+Sheet1!F99*Sheet1!$C$1</f>
        <v>20000</v>
      </c>
      <c r="G101" s="6">
        <f>+Sheet1!G99*Sheet1!$C$1</f>
        <v>31555</v>
      </c>
      <c r="H101" s="4">
        <f>+Sheet1!H99*Sheet1!$C$1</f>
        <v>10000</v>
      </c>
      <c r="I101" s="4">
        <f>+Sheet1!I99*Sheet1!$C$1</f>
        <v>30000</v>
      </c>
    </row>
    <row r="102" spans="1:9" x14ac:dyDescent="0.2">
      <c r="A102" s="11">
        <v>36801</v>
      </c>
      <c r="B102" s="6">
        <f>+Sheet1!B100*Sheet1!$C$1</f>
        <v>153358</v>
      </c>
      <c r="C102" s="6">
        <f>+Sheet1!C100*Sheet1!$C$1</f>
        <v>33940</v>
      </c>
      <c r="D102" s="6">
        <f>+Sheet1!D100*Sheet1!$C$1</f>
        <v>18146</v>
      </c>
      <c r="E102" s="6">
        <f>+Sheet1!E100*Sheet1!$C$1</f>
        <v>25000</v>
      </c>
      <c r="F102" s="6">
        <f>+Sheet1!F100*Sheet1!$C$1</f>
        <v>6108</v>
      </c>
      <c r="G102" s="6">
        <f>+Sheet1!G100*Sheet1!$C$1</f>
        <v>31555</v>
      </c>
      <c r="H102" s="4">
        <f>+Sheet1!H100*Sheet1!$C$1</f>
        <v>10000</v>
      </c>
      <c r="I102" s="4">
        <f>+Sheet1!I100*Sheet1!$C$1</f>
        <v>30000</v>
      </c>
    </row>
    <row r="103" spans="1:9" x14ac:dyDescent="0.2">
      <c r="A103" s="11">
        <v>36802</v>
      </c>
      <c r="B103" s="6">
        <f>+Sheet1!B101*Sheet1!$C$1</f>
        <v>126000</v>
      </c>
      <c r="C103" s="6">
        <f>+Sheet1!C101*Sheet1!$C$1</f>
        <v>33943</v>
      </c>
      <c r="D103" s="6">
        <f>+Sheet1!D101*Sheet1!$C$1</f>
        <v>58247</v>
      </c>
      <c r="E103" s="6">
        <f>+Sheet1!E101*Sheet1!$C$1</f>
        <v>0</v>
      </c>
      <c r="F103" s="6">
        <f>+Sheet1!F101*Sheet1!$C$1</f>
        <v>0</v>
      </c>
      <c r="G103" s="6">
        <f>+Sheet1!G101*Sheet1!$C$1</f>
        <v>31555</v>
      </c>
      <c r="H103" s="4">
        <f>+Sheet1!H101*Sheet1!$C$1</f>
        <v>10000</v>
      </c>
      <c r="I103" s="4">
        <f>+Sheet1!I101*Sheet1!$C$1</f>
        <v>30000</v>
      </c>
    </row>
    <row r="104" spans="1:9" x14ac:dyDescent="0.2">
      <c r="A104" s="11">
        <v>36803</v>
      </c>
      <c r="B104" s="6">
        <f>+Sheet1!B102*Sheet1!$C$1</f>
        <v>69183</v>
      </c>
      <c r="C104" s="6">
        <f>+Sheet1!C102*Sheet1!$C$1</f>
        <v>33081</v>
      </c>
      <c r="D104" s="6">
        <f>+Sheet1!D102*Sheet1!$C$1</f>
        <v>72567</v>
      </c>
      <c r="E104" s="6">
        <f>+Sheet1!E102*Sheet1!$C$1</f>
        <v>-5000</v>
      </c>
      <c r="F104" s="6">
        <f>+Sheet1!F102*Sheet1!$C$1</f>
        <v>-10000</v>
      </c>
      <c r="G104" s="6">
        <f>+Sheet1!G102*Sheet1!$C$1</f>
        <v>31555</v>
      </c>
      <c r="H104" s="4">
        <f>+Sheet1!H102*Sheet1!$C$1</f>
        <v>10000</v>
      </c>
      <c r="I104" s="4">
        <f>+Sheet1!I102*Sheet1!$C$1</f>
        <v>30000</v>
      </c>
    </row>
    <row r="105" spans="1:9" x14ac:dyDescent="0.2">
      <c r="A105" s="11">
        <v>36804</v>
      </c>
      <c r="B105" s="6">
        <f>+Sheet1!B103*Sheet1!$C$1</f>
        <v>75375</v>
      </c>
      <c r="C105" s="6">
        <f>+Sheet1!C103*Sheet1!$C$1</f>
        <v>36865</v>
      </c>
      <c r="D105" s="6">
        <f>+Sheet1!D103*Sheet1!$C$1</f>
        <v>51891</v>
      </c>
      <c r="E105" s="6">
        <f>+Sheet1!E103*Sheet1!$C$1</f>
        <v>-5000</v>
      </c>
      <c r="F105" s="6">
        <f>+Sheet1!F103*Sheet1!$C$1</f>
        <v>-10000</v>
      </c>
      <c r="G105" s="6">
        <f>+Sheet1!G103*Sheet1!$C$1</f>
        <v>31555</v>
      </c>
      <c r="H105" s="4">
        <f>+Sheet1!H103*Sheet1!$C$1</f>
        <v>10000</v>
      </c>
      <c r="I105" s="4">
        <f>+Sheet1!I103*Sheet1!$C$1</f>
        <v>30000</v>
      </c>
    </row>
    <row r="106" spans="1:9" x14ac:dyDescent="0.2">
      <c r="A106" s="11">
        <v>36805</v>
      </c>
      <c r="B106" s="6">
        <f>+Sheet1!B104*Sheet1!$C$1</f>
        <v>102379</v>
      </c>
      <c r="C106" s="6">
        <f>+Sheet1!C104*Sheet1!$C$1</f>
        <v>1073</v>
      </c>
      <c r="D106" s="6">
        <f>+Sheet1!D104*Sheet1!$C$1</f>
        <v>-945</v>
      </c>
      <c r="E106" s="6">
        <f>+Sheet1!E104*Sheet1!$C$1</f>
        <v>-39000</v>
      </c>
      <c r="F106" s="6">
        <f>+Sheet1!F104*Sheet1!$C$1</f>
        <v>-30000</v>
      </c>
      <c r="G106" s="6">
        <f>+Sheet1!G104*Sheet1!$C$1</f>
        <v>0</v>
      </c>
      <c r="H106" s="4">
        <f>+Sheet1!H104*Sheet1!$C$1</f>
        <v>10000</v>
      </c>
      <c r="I106" s="4">
        <f>+Sheet1!I104*Sheet1!$C$1</f>
        <v>30000</v>
      </c>
    </row>
    <row r="107" spans="1:9" x14ac:dyDescent="0.2">
      <c r="A107" s="11">
        <v>36806</v>
      </c>
      <c r="B107" s="6">
        <f>+Sheet1!B105*Sheet1!$C$1</f>
        <v>101312</v>
      </c>
      <c r="C107" s="6">
        <f>+Sheet1!C105*Sheet1!$C$1</f>
        <v>-35321</v>
      </c>
      <c r="D107" s="6">
        <f>+Sheet1!D105*Sheet1!$C$1</f>
        <v>-53549</v>
      </c>
      <c r="E107" s="6">
        <f>+Sheet1!E105*Sheet1!$C$1</f>
        <v>-5000</v>
      </c>
      <c r="F107" s="6">
        <f>+Sheet1!F105*Sheet1!$C$1</f>
        <v>-10000</v>
      </c>
      <c r="G107" s="6">
        <f>+Sheet1!G105*Sheet1!$C$1</f>
        <v>0</v>
      </c>
      <c r="H107" s="4">
        <f>+Sheet1!H105*Sheet1!$C$1</f>
        <v>10000</v>
      </c>
      <c r="I107" s="4">
        <f>+Sheet1!I105*Sheet1!$C$1</f>
        <v>30000</v>
      </c>
    </row>
    <row r="108" spans="1:9" x14ac:dyDescent="0.2">
      <c r="A108" s="11">
        <v>36807</v>
      </c>
      <c r="B108" s="6">
        <f>+Sheet1!B106*Sheet1!$C$1</f>
        <v>109811</v>
      </c>
      <c r="C108" s="6">
        <f>+Sheet1!C106*Sheet1!$C$1</f>
        <v>-35357</v>
      </c>
      <c r="D108" s="6">
        <f>+Sheet1!D106*Sheet1!$C$1</f>
        <v>-87927</v>
      </c>
      <c r="E108" s="6">
        <f>+Sheet1!E106*Sheet1!$C$1</f>
        <v>-5000</v>
      </c>
      <c r="F108" s="6">
        <f>+Sheet1!F106*Sheet1!$C$1</f>
        <v>-10000</v>
      </c>
      <c r="G108" s="6">
        <f>+Sheet1!G106*Sheet1!$C$1</f>
        <v>0</v>
      </c>
      <c r="H108" s="4">
        <f>+Sheet1!H106*Sheet1!$C$1</f>
        <v>10000</v>
      </c>
      <c r="I108" s="4">
        <f>+Sheet1!I106*Sheet1!$C$1</f>
        <v>30000</v>
      </c>
    </row>
    <row r="109" spans="1:9" x14ac:dyDescent="0.2">
      <c r="A109" s="11">
        <v>36808</v>
      </c>
      <c r="B109" s="6">
        <f>+Sheet1!B107*Sheet1!$C$1</f>
        <v>91085</v>
      </c>
      <c r="C109" s="6">
        <f>+Sheet1!C107*Sheet1!$C$1</f>
        <v>-35358</v>
      </c>
      <c r="D109" s="6">
        <f>+Sheet1!D107*Sheet1!$C$1</f>
        <v>-12359</v>
      </c>
      <c r="E109" s="6">
        <f>+Sheet1!E107*Sheet1!$C$1</f>
        <v>-5000</v>
      </c>
      <c r="F109" s="6">
        <f>+Sheet1!F107*Sheet1!$C$1</f>
        <v>-10000</v>
      </c>
      <c r="G109" s="6">
        <f>+Sheet1!G107*Sheet1!$C$1</f>
        <v>0</v>
      </c>
      <c r="H109" s="4">
        <f>+Sheet1!H107*Sheet1!$C$1</f>
        <v>10000</v>
      </c>
      <c r="I109" s="4">
        <f>+Sheet1!I107*Sheet1!$C$1</f>
        <v>30000</v>
      </c>
    </row>
    <row r="110" spans="1:9" x14ac:dyDescent="0.2">
      <c r="A110" s="11">
        <v>36809</v>
      </c>
      <c r="B110" s="6">
        <f>+Sheet1!B108*Sheet1!$C$1</f>
        <v>99476</v>
      </c>
      <c r="C110" s="6">
        <f>+Sheet1!C108*Sheet1!$C$1</f>
        <v>-35448</v>
      </c>
      <c r="D110" s="6">
        <f>+Sheet1!D108*Sheet1!$C$1</f>
        <v>18146</v>
      </c>
      <c r="E110" s="6">
        <f>+Sheet1!E108*Sheet1!$C$1</f>
        <v>-3185</v>
      </c>
      <c r="F110" s="6">
        <f>+Sheet1!F108*Sheet1!$C$1</f>
        <v>-10000</v>
      </c>
      <c r="G110" s="6">
        <f>+Sheet1!G108*Sheet1!$C$1</f>
        <v>31555</v>
      </c>
      <c r="H110" s="4">
        <f>+Sheet1!H108*Sheet1!$C$1</f>
        <v>10000</v>
      </c>
      <c r="I110" s="4">
        <f>+Sheet1!I108*Sheet1!$C$1</f>
        <v>30000</v>
      </c>
    </row>
    <row r="111" spans="1:9" x14ac:dyDescent="0.2">
      <c r="A111" s="11">
        <v>36810</v>
      </c>
      <c r="B111" s="6">
        <f>+Sheet1!B109*Sheet1!$C$1</f>
        <v>74125</v>
      </c>
      <c r="C111" s="6">
        <f>+Sheet1!C109*Sheet1!$C$1</f>
        <v>34675</v>
      </c>
      <c r="D111" s="6">
        <f>+Sheet1!D109*Sheet1!$C$1</f>
        <v>18146</v>
      </c>
      <c r="E111" s="6">
        <f>+Sheet1!E109*Sheet1!$C$1</f>
        <v>-5000</v>
      </c>
      <c r="F111" s="6">
        <f>+Sheet1!F109*Sheet1!$C$1</f>
        <v>-10000</v>
      </c>
      <c r="G111" s="6">
        <f>+Sheet1!G109*Sheet1!$C$1</f>
        <v>31555</v>
      </c>
      <c r="H111" s="4">
        <f>+Sheet1!H109*Sheet1!$C$1</f>
        <v>10000</v>
      </c>
      <c r="I111" s="4">
        <f>+Sheet1!I109*Sheet1!$C$1</f>
        <v>30000</v>
      </c>
    </row>
    <row r="112" spans="1:9" x14ac:dyDescent="0.2">
      <c r="A112" s="11">
        <v>36811</v>
      </c>
      <c r="B112" s="6">
        <f>+Sheet1!B110*Sheet1!$C$1</f>
        <v>88021</v>
      </c>
      <c r="C112" s="6">
        <f>+Sheet1!C110*Sheet1!$C$1</f>
        <v>34496</v>
      </c>
      <c r="D112" s="6">
        <f>+Sheet1!D110*Sheet1!$C$1</f>
        <v>18146</v>
      </c>
      <c r="E112" s="6">
        <f>+Sheet1!E110*Sheet1!$C$1</f>
        <v>11581</v>
      </c>
      <c r="F112" s="6">
        <f>+Sheet1!F110*Sheet1!$C$1</f>
        <v>10000</v>
      </c>
      <c r="G112" s="6">
        <f>+Sheet1!G110*Sheet1!$C$1</f>
        <v>31555</v>
      </c>
      <c r="H112" s="6">
        <f>+Sheet1!H110*Sheet1!$C$1</f>
        <v>10000</v>
      </c>
      <c r="I112" s="6">
        <f>+Sheet1!I110*Sheet1!$C$1</f>
        <v>30000</v>
      </c>
    </row>
    <row r="113" spans="1:9" x14ac:dyDescent="0.2">
      <c r="A113" s="11">
        <v>36812</v>
      </c>
      <c r="B113" s="6">
        <f>+Sheet1!B111*Sheet1!$C$1</f>
        <v>139511</v>
      </c>
      <c r="C113" s="6">
        <f>+Sheet1!C111*Sheet1!$C$1</f>
        <v>42238</v>
      </c>
      <c r="D113" s="6">
        <f>+Sheet1!D111*Sheet1!$C$1</f>
        <v>78059</v>
      </c>
      <c r="E113" s="6">
        <f>+Sheet1!E111*Sheet1!$C$1</f>
        <v>34000</v>
      </c>
      <c r="F113" s="6">
        <f>+Sheet1!F111*Sheet1!$C$1</f>
        <v>20000</v>
      </c>
      <c r="G113" s="6">
        <f>+Sheet1!G111*Sheet1!$C$1</f>
        <v>31555</v>
      </c>
      <c r="H113" s="6">
        <f>+Sheet1!H111*Sheet1!$C$1</f>
        <v>10000</v>
      </c>
      <c r="I113" s="6">
        <f>+Sheet1!I111*Sheet1!$C$1</f>
        <v>10000</v>
      </c>
    </row>
    <row r="114" spans="1:9" x14ac:dyDescent="0.2">
      <c r="A114" s="11">
        <v>36813</v>
      </c>
      <c r="B114" s="6">
        <f>+Sheet1!B112*Sheet1!$C$1</f>
        <v>99969</v>
      </c>
      <c r="C114" s="6">
        <f>+Sheet1!C112*Sheet1!$C$1</f>
        <v>39385</v>
      </c>
      <c r="D114" s="6">
        <f>+Sheet1!D112*Sheet1!$C$1</f>
        <v>21195</v>
      </c>
      <c r="E114" s="6">
        <f>+Sheet1!E112*Sheet1!$C$1</f>
        <v>34000</v>
      </c>
      <c r="F114" s="6">
        <f>+Sheet1!F112*Sheet1!$C$1</f>
        <v>20000</v>
      </c>
      <c r="G114" s="6">
        <f>+Sheet1!G112*Sheet1!$C$1</f>
        <v>31555</v>
      </c>
      <c r="H114" s="6">
        <f>+Sheet1!H112*Sheet1!$C$1</f>
        <v>10000</v>
      </c>
      <c r="I114" s="6">
        <f>+Sheet1!I112*Sheet1!$C$1</f>
        <v>10000</v>
      </c>
    </row>
    <row r="115" spans="1:9" x14ac:dyDescent="0.2">
      <c r="A115" s="11">
        <v>36814</v>
      </c>
      <c r="B115" s="6">
        <f>+Sheet1!B113*Sheet1!$C$1</f>
        <v>98882</v>
      </c>
      <c r="C115" s="6">
        <f>+Sheet1!C113*Sheet1!$C$1</f>
        <v>34615</v>
      </c>
      <c r="D115" s="6">
        <f>+Sheet1!D113*Sheet1!$C$1</f>
        <v>0</v>
      </c>
      <c r="E115" s="6">
        <f>+Sheet1!E113*Sheet1!$C$1</f>
        <v>9014</v>
      </c>
      <c r="F115" s="6">
        <f>+Sheet1!F113*Sheet1!$C$1</f>
        <v>20000</v>
      </c>
      <c r="G115" s="6">
        <f>+Sheet1!G113*Sheet1!$C$1</f>
        <v>31555</v>
      </c>
      <c r="H115" s="6">
        <f>+Sheet1!H113*Sheet1!$C$1</f>
        <v>10000</v>
      </c>
      <c r="I115" s="6">
        <f>+Sheet1!I113*Sheet1!$C$1</f>
        <v>10000</v>
      </c>
    </row>
    <row r="116" spans="1:9" x14ac:dyDescent="0.2">
      <c r="A116" s="11">
        <v>36815</v>
      </c>
      <c r="B116" s="6">
        <f>+Sheet1!B114*Sheet1!$C$1</f>
        <v>102430</v>
      </c>
      <c r="C116" s="6">
        <f>+Sheet1!C114*Sheet1!$C$1</f>
        <v>34612</v>
      </c>
      <c r="D116" s="6">
        <f>+Sheet1!D114*Sheet1!$C$1</f>
        <v>0</v>
      </c>
      <c r="E116" s="6">
        <f>+Sheet1!E114*Sheet1!$C$1</f>
        <v>-15000</v>
      </c>
      <c r="F116" s="6">
        <f>+Sheet1!F114*Sheet1!$C$1</f>
        <v>4847</v>
      </c>
      <c r="G116" s="6">
        <f>+Sheet1!G114*Sheet1!$C$1</f>
        <v>31555</v>
      </c>
      <c r="H116" s="6">
        <f>+Sheet1!H114*Sheet1!$C$1</f>
        <v>10000</v>
      </c>
      <c r="I116" s="6">
        <f>+Sheet1!I114*Sheet1!$C$1</f>
        <v>10000</v>
      </c>
    </row>
    <row r="117" spans="1:9" x14ac:dyDescent="0.2">
      <c r="A117" s="11">
        <v>36816</v>
      </c>
      <c r="B117" s="6">
        <f>+Sheet1!B115*Sheet1!$C$1</f>
        <v>101419</v>
      </c>
      <c r="C117" s="6">
        <f>+Sheet1!C115*Sheet1!$C$1</f>
        <v>34551</v>
      </c>
      <c r="D117" s="6">
        <f>+Sheet1!D115*Sheet1!$C$1</f>
        <v>-29727</v>
      </c>
      <c r="E117" s="6">
        <f>+Sheet1!E115*Sheet1!$C$1</f>
        <v>-15000</v>
      </c>
      <c r="F117" s="6">
        <f>+Sheet1!F115*Sheet1!$C$1</f>
        <v>-10000</v>
      </c>
      <c r="G117" s="6">
        <f>+Sheet1!G115*Sheet1!$C$1</f>
        <v>31555</v>
      </c>
      <c r="H117" s="6">
        <f>+Sheet1!H115*Sheet1!$C$1</f>
        <v>10000</v>
      </c>
      <c r="I117" s="6">
        <f>+Sheet1!I115*Sheet1!$C$1</f>
        <v>10000</v>
      </c>
    </row>
    <row r="118" spans="1:9" x14ac:dyDescent="0.2">
      <c r="A118" s="11">
        <v>36817</v>
      </c>
      <c r="B118" s="6">
        <f>+Sheet1!B116*Sheet1!$C$1</f>
        <v>94460</v>
      </c>
      <c r="C118" s="6">
        <f>+Sheet1!C116*Sheet1!$C$1</f>
        <v>35000</v>
      </c>
      <c r="D118" s="6">
        <f>+Sheet1!D116*Sheet1!$C$1</f>
        <v>16669</v>
      </c>
      <c r="E118" s="6">
        <f>+Sheet1!E116*Sheet1!$C$1</f>
        <v>34000</v>
      </c>
      <c r="F118" s="6">
        <f>+Sheet1!F116*Sheet1!$C$1</f>
        <v>20000</v>
      </c>
      <c r="G118" s="6">
        <f>+Sheet1!G116*Sheet1!$C$1</f>
        <v>31555</v>
      </c>
      <c r="H118" s="6">
        <f>+Sheet1!H116*Sheet1!$C$1</f>
        <v>10000</v>
      </c>
      <c r="I118" s="6">
        <f>+Sheet1!I116*Sheet1!$C$1</f>
        <v>30000</v>
      </c>
    </row>
    <row r="119" spans="1:9" x14ac:dyDescent="0.2">
      <c r="A119" s="11">
        <v>36818</v>
      </c>
      <c r="B119" s="6">
        <f>+Sheet1!B117*Sheet1!$C$1</f>
        <v>87622</v>
      </c>
      <c r="C119" s="6">
        <f>+Sheet1!C117*Sheet1!$C$1</f>
        <v>39438</v>
      </c>
      <c r="D119" s="6">
        <f>+Sheet1!D117*Sheet1!$C$1</f>
        <v>-1771</v>
      </c>
      <c r="E119" s="6">
        <f>+Sheet1!E117*Sheet1!$C$1</f>
        <v>-15000</v>
      </c>
      <c r="F119" s="6">
        <f>+Sheet1!F117*Sheet1!$C$1</f>
        <v>-10000</v>
      </c>
      <c r="G119" s="6">
        <f>+Sheet1!G117*Sheet1!$C$1</f>
        <v>31555</v>
      </c>
      <c r="H119" s="6">
        <f>+Sheet1!H117*Sheet1!$C$1</f>
        <v>10000</v>
      </c>
      <c r="I119" s="6">
        <f>+Sheet1!I117*Sheet1!$C$1</f>
        <v>10000</v>
      </c>
    </row>
    <row r="120" spans="1:9" x14ac:dyDescent="0.2">
      <c r="A120" s="11">
        <v>36819</v>
      </c>
      <c r="B120" s="6">
        <f>+Sheet1!B118*Sheet1!$C$1</f>
        <v>92453</v>
      </c>
      <c r="C120" s="6">
        <f>+Sheet1!C118*Sheet1!$C$1</f>
        <v>39429</v>
      </c>
      <c r="D120" s="6">
        <f>+Sheet1!D118*Sheet1!$C$1</f>
        <v>97133</v>
      </c>
      <c r="E120" s="6">
        <f>+Sheet1!E118*Sheet1!$C$1</f>
        <v>0</v>
      </c>
      <c r="F120" s="6">
        <f>+Sheet1!F118*Sheet1!$C$1</f>
        <v>0</v>
      </c>
      <c r="G120" s="6">
        <f>+Sheet1!G118*Sheet1!$C$1</f>
        <v>31555</v>
      </c>
      <c r="H120" s="6">
        <f>+Sheet1!H118*Sheet1!$C$1</f>
        <v>10000</v>
      </c>
      <c r="I120" s="6">
        <f>+Sheet1!I118*Sheet1!$C$1</f>
        <v>30000</v>
      </c>
    </row>
    <row r="121" spans="1:9" x14ac:dyDescent="0.2">
      <c r="A121" s="11">
        <v>36820</v>
      </c>
      <c r="B121" s="6">
        <f>+Sheet1!B119*Sheet1!$C$1</f>
        <v>128082</v>
      </c>
      <c r="C121" s="6">
        <f>+Sheet1!C119*Sheet1!$C$1</f>
        <v>39480</v>
      </c>
      <c r="D121" s="6">
        <f>+Sheet1!D119*Sheet1!$C$1</f>
        <v>40101</v>
      </c>
      <c r="E121" s="6">
        <f>+Sheet1!E119*Sheet1!$C$1</f>
        <v>-15000</v>
      </c>
      <c r="F121" s="6">
        <f>+Sheet1!F119*Sheet1!$C$1</f>
        <v>-10000</v>
      </c>
      <c r="G121" s="6">
        <f>+Sheet1!G119*Sheet1!$C$1</f>
        <v>31555</v>
      </c>
      <c r="H121" s="6">
        <f>+Sheet1!H119*Sheet1!$C$1</f>
        <v>10000</v>
      </c>
      <c r="I121" s="6">
        <f>+Sheet1!I119*Sheet1!$C$1</f>
        <v>30000</v>
      </c>
    </row>
    <row r="122" spans="1:9" x14ac:dyDescent="0.2">
      <c r="A122" s="11">
        <v>36821</v>
      </c>
      <c r="B122" s="6">
        <f>+Sheet1!B120*Sheet1!$C$1</f>
        <v>122324</v>
      </c>
      <c r="C122" s="6">
        <f>+Sheet1!C120*Sheet1!$C$1</f>
        <v>42660</v>
      </c>
      <c r="D122" s="6">
        <f>+Sheet1!D120*Sheet1!$C$1</f>
        <v>42521</v>
      </c>
      <c r="E122" s="6">
        <f>+Sheet1!E120*Sheet1!$C$1</f>
        <v>-15000</v>
      </c>
      <c r="F122" s="6">
        <f>+Sheet1!F120*Sheet1!$C$1</f>
        <v>-10000</v>
      </c>
      <c r="G122" s="6">
        <f>+Sheet1!G120*Sheet1!$C$1</f>
        <v>31555</v>
      </c>
      <c r="H122" s="6">
        <f>+Sheet1!H120*Sheet1!$C$1</f>
        <v>10000</v>
      </c>
      <c r="I122" s="6">
        <f>+Sheet1!I120*Sheet1!$C$1</f>
        <v>30000</v>
      </c>
    </row>
    <row r="123" spans="1:9" x14ac:dyDescent="0.2">
      <c r="A123" s="11">
        <v>36822</v>
      </c>
      <c r="B123" s="6">
        <f>+Sheet1!B121*Sheet1!$C$1</f>
        <v>121067</v>
      </c>
      <c r="C123" s="6">
        <f>+Sheet1!C121*Sheet1!$C$1</f>
        <v>42660</v>
      </c>
      <c r="D123" s="6">
        <f>+Sheet1!D121*Sheet1!$C$1</f>
        <v>0</v>
      </c>
      <c r="E123" s="6">
        <f>+Sheet1!E121*Sheet1!$C$1</f>
        <v>-12448</v>
      </c>
      <c r="F123" s="6">
        <f>+Sheet1!F121*Sheet1!$C$1</f>
        <v>0</v>
      </c>
      <c r="G123" s="6">
        <f>+Sheet1!G121*Sheet1!$C$1</f>
        <v>31555</v>
      </c>
      <c r="H123" s="6">
        <f>+Sheet1!H121*Sheet1!$C$1</f>
        <v>10000</v>
      </c>
      <c r="I123" s="6">
        <f>+Sheet1!I121*Sheet1!$C$1</f>
        <v>30000</v>
      </c>
    </row>
    <row r="124" spans="1:9" x14ac:dyDescent="0.2">
      <c r="A124" s="11">
        <v>36823</v>
      </c>
      <c r="B124" s="6">
        <f>+Sheet1!B122*Sheet1!$C$1</f>
        <v>133000</v>
      </c>
      <c r="C124" s="6">
        <f>+Sheet1!C122*Sheet1!$C$1</f>
        <v>42660</v>
      </c>
      <c r="D124" s="6">
        <f>+Sheet1!D122*Sheet1!$C$1</f>
        <v>16526</v>
      </c>
      <c r="E124" s="6">
        <f>+Sheet1!E122*Sheet1!$C$1</f>
        <v>-15000</v>
      </c>
      <c r="F124" s="6">
        <f>+Sheet1!F122*Sheet1!$C$1</f>
        <v>-10000</v>
      </c>
      <c r="G124" s="6">
        <f>+Sheet1!G122*Sheet1!$C$1</f>
        <v>31555</v>
      </c>
      <c r="H124" s="6">
        <f>+Sheet1!H122*Sheet1!$C$1</f>
        <v>10000</v>
      </c>
      <c r="I124" s="6">
        <f>+Sheet1!I122*Sheet1!$C$1</f>
        <v>30000</v>
      </c>
    </row>
    <row r="125" spans="1:9" x14ac:dyDescent="0.2">
      <c r="A125" s="11">
        <v>36824</v>
      </c>
      <c r="B125" s="6">
        <f>+Sheet1!B123*Sheet1!$C$1</f>
        <v>122280</v>
      </c>
      <c r="C125" s="6">
        <f>+Sheet1!C123*Sheet1!$C$1</f>
        <v>42660</v>
      </c>
      <c r="D125" s="6">
        <f>+Sheet1!D123*Sheet1!$C$1</f>
        <v>3740</v>
      </c>
      <c r="E125" s="6">
        <f>+Sheet1!E123*Sheet1!$C$1</f>
        <v>0</v>
      </c>
      <c r="F125" s="6">
        <f>+Sheet1!F123*Sheet1!$C$1</f>
        <v>0</v>
      </c>
      <c r="G125" s="6">
        <f>+Sheet1!G123*Sheet1!$C$1</f>
        <v>31555</v>
      </c>
      <c r="H125" s="6">
        <f>+Sheet1!H123*Sheet1!$C$1</f>
        <v>10000</v>
      </c>
      <c r="I125" s="6">
        <f>+Sheet1!I123*Sheet1!$C$1</f>
        <v>30000</v>
      </c>
    </row>
    <row r="126" spans="1:9" x14ac:dyDescent="0.2">
      <c r="A126" s="11">
        <v>36825</v>
      </c>
      <c r="B126" s="6">
        <f>+Sheet1!B124*Sheet1!$C$1</f>
        <v>109971</v>
      </c>
      <c r="C126" s="6">
        <f>+Sheet1!C124*Sheet1!$C$1</f>
        <v>14986</v>
      </c>
      <c r="D126" s="6">
        <f>+Sheet1!D124*Sheet1!$C$1</f>
        <v>33552</v>
      </c>
      <c r="E126" s="6">
        <f>+Sheet1!E124*Sheet1!$C$1</f>
        <v>-15000</v>
      </c>
      <c r="F126" s="6">
        <f>+Sheet1!F124*Sheet1!$C$1</f>
        <v>-10000</v>
      </c>
      <c r="G126" s="6">
        <f>+Sheet1!G124*Sheet1!$C$1</f>
        <v>31555</v>
      </c>
      <c r="H126" s="6">
        <f>+Sheet1!H124*Sheet1!$C$1</f>
        <v>10000</v>
      </c>
      <c r="I126" s="6">
        <f>+Sheet1!I124*Sheet1!$C$1</f>
        <v>30000</v>
      </c>
    </row>
    <row r="127" spans="1:9" x14ac:dyDescent="0.2">
      <c r="A127" s="11">
        <v>36826</v>
      </c>
      <c r="B127" s="6">
        <f>+Sheet1!B125*Sheet1!$C$1</f>
        <v>91351</v>
      </c>
      <c r="C127" s="6">
        <f>+Sheet1!C125*Sheet1!$C$1</f>
        <v>39500</v>
      </c>
      <c r="D127" s="6">
        <f>+Sheet1!D125*Sheet1!$C$1</f>
        <v>0</v>
      </c>
      <c r="E127" s="6">
        <f>+Sheet1!E125*Sheet1!$C$1</f>
        <v>0</v>
      </c>
      <c r="F127" s="6">
        <f>+Sheet1!F125*Sheet1!$C$1</f>
        <v>0</v>
      </c>
      <c r="G127" s="6">
        <f>+Sheet1!G125*Sheet1!$C$1</f>
        <v>31555</v>
      </c>
      <c r="H127" s="6">
        <f>+Sheet1!H125*Sheet1!$C$1</f>
        <v>10000</v>
      </c>
      <c r="I127" s="6">
        <f>+Sheet1!I125*Sheet1!$C$1</f>
        <v>30000</v>
      </c>
    </row>
    <row r="128" spans="1:9" x14ac:dyDescent="0.2">
      <c r="A128" s="11">
        <v>36827</v>
      </c>
      <c r="B128" s="6">
        <f>+Sheet1!B126*Sheet1!$C$1</f>
        <v>95611</v>
      </c>
      <c r="C128" s="6">
        <f>+Sheet1!C126*Sheet1!$C$1</f>
        <v>39500</v>
      </c>
      <c r="D128" s="6">
        <f>+Sheet1!D126*Sheet1!$C$1</f>
        <v>0</v>
      </c>
      <c r="E128" s="6">
        <f>+Sheet1!E126*Sheet1!$C$1</f>
        <v>-15000</v>
      </c>
      <c r="F128" s="6">
        <f>+Sheet1!F126*Sheet1!$C$1</f>
        <v>-10000</v>
      </c>
      <c r="G128" s="6">
        <f>+Sheet1!G126*Sheet1!$C$1</f>
        <v>31555</v>
      </c>
      <c r="H128" s="6">
        <f>+Sheet1!H126*Sheet1!$C$1</f>
        <v>10000</v>
      </c>
      <c r="I128" s="6">
        <f>+Sheet1!I126*Sheet1!$C$1</f>
        <v>30000</v>
      </c>
    </row>
    <row r="129" spans="1:9" x14ac:dyDescent="0.2">
      <c r="A129" s="11">
        <v>36828</v>
      </c>
      <c r="B129" s="6">
        <f>+Sheet1!B127*Sheet1!$C$1</f>
        <v>95001</v>
      </c>
      <c r="C129" s="6">
        <f>+Sheet1!C127*Sheet1!$C$1</f>
        <v>39500</v>
      </c>
      <c r="D129" s="6">
        <f>+Sheet1!D127*Sheet1!$C$1</f>
        <v>0</v>
      </c>
      <c r="E129" s="6">
        <f>+Sheet1!E127*Sheet1!$C$1</f>
        <v>-15000</v>
      </c>
      <c r="F129" s="6">
        <f>+Sheet1!F127*Sheet1!$C$1</f>
        <v>-10000</v>
      </c>
      <c r="G129" s="6">
        <f>+Sheet1!G127*Sheet1!$C$1</f>
        <v>31555</v>
      </c>
      <c r="H129" s="6">
        <f>+Sheet1!H127*Sheet1!$C$1</f>
        <v>10000</v>
      </c>
      <c r="I129" s="6">
        <f>+Sheet1!I127*Sheet1!$C$1</f>
        <v>30000</v>
      </c>
    </row>
    <row r="130" spans="1:9" x14ac:dyDescent="0.2">
      <c r="A130" s="11">
        <v>36829</v>
      </c>
      <c r="B130" s="6">
        <f>+Sheet1!B128*Sheet1!$C$1</f>
        <v>95001</v>
      </c>
      <c r="C130" s="6">
        <f>+Sheet1!C128*Sheet1!$C$1</f>
        <v>39500</v>
      </c>
      <c r="D130" s="6">
        <f>+Sheet1!D128*Sheet1!$C$1</f>
        <v>0</v>
      </c>
      <c r="E130" s="6">
        <f>+Sheet1!E128*Sheet1!$C$1</f>
        <v>-15000</v>
      </c>
      <c r="F130" s="6">
        <f>+Sheet1!F128*Sheet1!$C$1</f>
        <v>-10000</v>
      </c>
      <c r="G130" s="6">
        <f>+Sheet1!G128*Sheet1!$C$1</f>
        <v>31555</v>
      </c>
      <c r="H130" s="6">
        <f>+Sheet1!H128*Sheet1!$C$1</f>
        <v>10000</v>
      </c>
      <c r="I130" s="6">
        <f>+Sheet1!I128*Sheet1!$C$1</f>
        <v>30000</v>
      </c>
    </row>
    <row r="131" spans="1:9" x14ac:dyDescent="0.2">
      <c r="A131" s="11">
        <v>36830</v>
      </c>
      <c r="B131" s="6">
        <f>+Sheet1!B129*Sheet1!$C$1</f>
        <v>95001</v>
      </c>
      <c r="C131" s="6">
        <f>+Sheet1!C129*Sheet1!$C$1</f>
        <v>39500</v>
      </c>
      <c r="D131" s="6">
        <f>+Sheet1!D129*Sheet1!$C$1</f>
        <v>0</v>
      </c>
      <c r="E131" s="6">
        <f>+Sheet1!E129*Sheet1!$C$1</f>
        <v>-15000</v>
      </c>
      <c r="F131" s="6">
        <f>+Sheet1!F129*Sheet1!$C$1</f>
        <v>-10000</v>
      </c>
      <c r="G131" s="6">
        <f>+Sheet1!G129*Sheet1!$C$1</f>
        <v>31555</v>
      </c>
      <c r="H131" s="6">
        <f>+Sheet1!H129*Sheet1!$C$1</f>
        <v>10000</v>
      </c>
      <c r="I131" s="6">
        <f>+Sheet1!I129*Sheet1!$C$1</f>
        <v>30000</v>
      </c>
    </row>
    <row r="132" spans="1:9" x14ac:dyDescent="0.2">
      <c r="A132" s="11">
        <v>36831</v>
      </c>
      <c r="B132" s="6">
        <f>+Sheet1!B130*Sheet1!$C$1</f>
        <v>122919</v>
      </c>
      <c r="C132" s="6">
        <f>+Sheet1!C130*Sheet1!$C$1</f>
        <v>37828</v>
      </c>
      <c r="D132" s="6">
        <f>+Sheet1!D130*Sheet1!$C$1</f>
        <v>-28491</v>
      </c>
      <c r="E132" s="6">
        <f>+Sheet1!E130*Sheet1!$C$1</f>
        <v>49719</v>
      </c>
      <c r="F132" s="6">
        <f>+Sheet1!F130*Sheet1!$C$1</f>
        <v>31375</v>
      </c>
      <c r="G132" s="6">
        <f>+Sheet1!G130*Sheet1!$C$1</f>
        <v>0</v>
      </c>
      <c r="H132" s="6">
        <f>+Sheet1!H130*Sheet1!$C$1</f>
        <v>10000</v>
      </c>
      <c r="I132" s="6">
        <f>+Sheet1!I130*Sheet1!$C$1</f>
        <v>0</v>
      </c>
    </row>
    <row r="133" spans="1:9" x14ac:dyDescent="0.2">
      <c r="A133" s="11">
        <v>36832</v>
      </c>
      <c r="B133" s="6">
        <f>+Sheet1!B131*Sheet1!$C$1</f>
        <v>91129</v>
      </c>
      <c r="C133" s="6">
        <f>+Sheet1!C131*Sheet1!$C$1</f>
        <v>39604</v>
      </c>
      <c r="D133" s="6">
        <f>+Sheet1!D131*Sheet1!$C$1</f>
        <v>-55000</v>
      </c>
      <c r="E133" s="6">
        <f>+Sheet1!E131*Sheet1!$C$1</f>
        <v>34050</v>
      </c>
      <c r="F133" s="6">
        <f>+Sheet1!F131*Sheet1!$C$1</f>
        <v>0</v>
      </c>
      <c r="G133" s="6">
        <f>+Sheet1!G131*Sheet1!$C$1</f>
        <v>0</v>
      </c>
      <c r="H133" s="6">
        <f>+Sheet1!H131*Sheet1!$C$1</f>
        <v>10000</v>
      </c>
      <c r="I133" s="6">
        <f>+Sheet1!I131*Sheet1!$C$1</f>
        <v>0</v>
      </c>
    </row>
    <row r="134" spans="1:9" x14ac:dyDescent="0.2">
      <c r="A134" s="11">
        <v>36833</v>
      </c>
      <c r="B134" s="6">
        <f>+Sheet1!B132*Sheet1!$C$1</f>
        <v>95408</v>
      </c>
      <c r="C134" s="6">
        <f>+Sheet1!C132*Sheet1!$C$1</f>
        <v>39148</v>
      </c>
      <c r="D134" s="6">
        <f>+Sheet1!D132*Sheet1!$C$1</f>
        <v>-55000</v>
      </c>
      <c r="E134" s="6">
        <f>+Sheet1!E132*Sheet1!$C$1</f>
        <v>39954</v>
      </c>
      <c r="F134" s="6">
        <f>+Sheet1!F132*Sheet1!$C$1</f>
        <v>0</v>
      </c>
      <c r="G134" s="6">
        <f>+Sheet1!G132*Sheet1!$C$1</f>
        <v>0</v>
      </c>
      <c r="H134" s="6">
        <f>+Sheet1!H132*Sheet1!$C$1</f>
        <v>10000</v>
      </c>
      <c r="I134" s="6">
        <f>+Sheet1!I132*Sheet1!$C$1</f>
        <v>0</v>
      </c>
    </row>
    <row r="135" spans="1:9" x14ac:dyDescent="0.2">
      <c r="A135" s="11">
        <v>36834</v>
      </c>
      <c r="B135" s="6">
        <f>+Sheet1!B133*Sheet1!$C$1</f>
        <v>104775</v>
      </c>
      <c r="C135" s="6">
        <f>+Sheet1!C133*Sheet1!$C$1</f>
        <v>0</v>
      </c>
      <c r="D135" s="6">
        <f>+Sheet1!D133*Sheet1!$C$1</f>
        <v>-69570</v>
      </c>
      <c r="E135" s="6">
        <f>+Sheet1!E133*Sheet1!$C$1</f>
        <v>0</v>
      </c>
      <c r="F135" s="6">
        <f>+Sheet1!F133*Sheet1!$C$1</f>
        <v>0</v>
      </c>
      <c r="G135" s="6">
        <f>+Sheet1!G133*Sheet1!$C$1</f>
        <v>0</v>
      </c>
      <c r="H135" s="6">
        <f>+Sheet1!H133*Sheet1!$C$1</f>
        <v>10000</v>
      </c>
      <c r="I135" s="6">
        <f>+Sheet1!I133*Sheet1!$C$1</f>
        <v>0</v>
      </c>
    </row>
    <row r="136" spans="1:9" x14ac:dyDescent="0.2">
      <c r="A136" s="11">
        <v>36835</v>
      </c>
      <c r="B136" s="6">
        <f>+Sheet1!B134*Sheet1!$C$1</f>
        <v>89621</v>
      </c>
      <c r="C136" s="6">
        <f>+Sheet1!C134*Sheet1!$C$1</f>
        <v>0</v>
      </c>
      <c r="D136" s="6">
        <f>+Sheet1!D134*Sheet1!$C$1</f>
        <v>-55000</v>
      </c>
      <c r="E136" s="6">
        <f>+Sheet1!E134*Sheet1!$C$1</f>
        <v>10550</v>
      </c>
      <c r="F136" s="6">
        <f>+Sheet1!F134*Sheet1!$C$1</f>
        <v>0</v>
      </c>
      <c r="G136" s="6">
        <f>+Sheet1!G134*Sheet1!$C$1</f>
        <v>0</v>
      </c>
      <c r="H136" s="6">
        <f>+Sheet1!H134*Sheet1!$C$1</f>
        <v>10000</v>
      </c>
      <c r="I136" s="6">
        <f>+Sheet1!I134*Sheet1!$C$1</f>
        <v>0</v>
      </c>
    </row>
    <row r="137" spans="1:9" x14ac:dyDescent="0.2">
      <c r="A137" s="11">
        <v>36836</v>
      </c>
      <c r="B137" s="6">
        <f>+Sheet1!B135*Sheet1!$C$1</f>
        <v>99250</v>
      </c>
      <c r="C137" s="6">
        <f>+Sheet1!C135*Sheet1!$C$1</f>
        <v>0</v>
      </c>
      <c r="D137" s="6">
        <f>+Sheet1!D135*Sheet1!$C$1</f>
        <v>-119475</v>
      </c>
      <c r="E137" s="6">
        <f>+Sheet1!E135*Sheet1!$C$1</f>
        <v>0</v>
      </c>
      <c r="F137" s="6">
        <f>+Sheet1!F135*Sheet1!$C$1</f>
        <v>0</v>
      </c>
      <c r="G137" s="6">
        <f>+Sheet1!G135*Sheet1!$C$1</f>
        <v>0</v>
      </c>
      <c r="H137" s="6">
        <f>+Sheet1!H135*Sheet1!$C$1</f>
        <v>10000</v>
      </c>
      <c r="I137" s="6">
        <f>+Sheet1!I135*Sheet1!$C$1</f>
        <v>0</v>
      </c>
    </row>
    <row r="138" spans="1:9" x14ac:dyDescent="0.2">
      <c r="A138" s="11">
        <v>36837</v>
      </c>
      <c r="B138" s="6">
        <f>+Sheet1!B136*Sheet1!$C$1</f>
        <v>97472</v>
      </c>
      <c r="C138" s="6">
        <f>+Sheet1!C136*Sheet1!$C$1</f>
        <v>7090</v>
      </c>
      <c r="D138" s="6">
        <f>+Sheet1!D136*Sheet1!$C$1</f>
        <v>-92199</v>
      </c>
      <c r="E138" s="6">
        <f>+Sheet1!E136*Sheet1!$C$1</f>
        <v>0</v>
      </c>
      <c r="F138" s="6">
        <f>+Sheet1!F136*Sheet1!$C$1</f>
        <v>0</v>
      </c>
      <c r="G138" s="6">
        <f>+Sheet1!G136*Sheet1!$C$1</f>
        <v>0</v>
      </c>
      <c r="H138" s="6">
        <f>+Sheet1!H136*Sheet1!$C$1</f>
        <v>10000</v>
      </c>
      <c r="I138" s="6">
        <f>+Sheet1!I136*Sheet1!$C$1</f>
        <v>0</v>
      </c>
    </row>
    <row r="139" spans="1:9" x14ac:dyDescent="0.2">
      <c r="A139" s="11">
        <v>36838</v>
      </c>
      <c r="B139" s="6">
        <f>+Sheet1!B137*Sheet1!$C$1</f>
        <v>98117</v>
      </c>
      <c r="C139" s="6">
        <f>+Sheet1!C137*Sheet1!$C$1</f>
        <v>-14777</v>
      </c>
      <c r="D139" s="6">
        <f>+Sheet1!D137*Sheet1!$C$1</f>
        <v>-55000</v>
      </c>
      <c r="E139" s="6">
        <f>+Sheet1!E137*Sheet1!$C$1</f>
        <v>2604</v>
      </c>
      <c r="F139" s="6">
        <f>+Sheet1!F137*Sheet1!$C$1</f>
        <v>0</v>
      </c>
      <c r="G139" s="6">
        <f>+Sheet1!G137*Sheet1!$C$1</f>
        <v>0</v>
      </c>
      <c r="H139" s="6">
        <f>+Sheet1!H137*Sheet1!$C$1</f>
        <v>10000</v>
      </c>
      <c r="I139" s="6">
        <f>+Sheet1!I137*Sheet1!$C$1</f>
        <v>0</v>
      </c>
    </row>
    <row r="140" spans="1:9" x14ac:dyDescent="0.2">
      <c r="A140" s="11">
        <v>36839</v>
      </c>
      <c r="B140" s="6">
        <f>+Sheet1!B138*Sheet1!$C$1</f>
        <v>106050</v>
      </c>
      <c r="C140" s="6">
        <f>+Sheet1!C138*Sheet1!$C$1</f>
        <v>-33857</v>
      </c>
      <c r="D140" s="6">
        <f>+Sheet1!D138*Sheet1!$C$1</f>
        <v>-123479</v>
      </c>
      <c r="E140" s="6">
        <f>+Sheet1!E138*Sheet1!$C$1</f>
        <v>0</v>
      </c>
      <c r="F140" s="6">
        <f>+Sheet1!F138*Sheet1!$C$1</f>
        <v>0</v>
      </c>
      <c r="G140" s="6">
        <f>+Sheet1!G138*Sheet1!$C$1</f>
        <v>-83767</v>
      </c>
      <c r="H140" s="6">
        <f>+Sheet1!H138*Sheet1!$C$1</f>
        <v>10000</v>
      </c>
      <c r="I140" s="6">
        <f>+Sheet1!I138*Sheet1!$C$1</f>
        <v>0</v>
      </c>
    </row>
    <row r="141" spans="1:9" x14ac:dyDescent="0.2">
      <c r="A141" s="11">
        <v>36840</v>
      </c>
      <c r="B141" s="6">
        <f>+Sheet1!B139*Sheet1!$C$1</f>
        <v>79027</v>
      </c>
      <c r="C141" s="6">
        <f>+Sheet1!C139*Sheet1!$C$1</f>
        <v>-40155</v>
      </c>
      <c r="D141" s="6">
        <f>+Sheet1!D139*Sheet1!$C$1</f>
        <v>-100321</v>
      </c>
      <c r="E141" s="6">
        <f>+Sheet1!E139*Sheet1!$C$1</f>
        <v>0</v>
      </c>
      <c r="F141" s="6">
        <f>+Sheet1!F139*Sheet1!$C$1</f>
        <v>0</v>
      </c>
      <c r="G141" s="6">
        <f>+Sheet1!G139*Sheet1!$C$1</f>
        <v>-83767</v>
      </c>
      <c r="H141" s="6">
        <f>+Sheet1!H139*Sheet1!$C$1</f>
        <v>10000</v>
      </c>
      <c r="I141" s="6">
        <f>+Sheet1!I139*Sheet1!$C$1</f>
        <v>0</v>
      </c>
    </row>
    <row r="142" spans="1:9" x14ac:dyDescent="0.2">
      <c r="A142" s="11">
        <v>36841</v>
      </c>
      <c r="B142" s="6">
        <f>+Sheet1!B140*Sheet1!$C$1</f>
        <v>76349</v>
      </c>
      <c r="C142" s="6">
        <f>+Sheet1!C140*Sheet1!$C$1</f>
        <v>-319</v>
      </c>
      <c r="D142" s="6">
        <f>+Sheet1!D140*Sheet1!$C$1</f>
        <v>-65000</v>
      </c>
      <c r="E142" s="6">
        <f>+Sheet1!E140*Sheet1!$C$1</f>
        <v>30551</v>
      </c>
      <c r="F142" s="6">
        <f>+Sheet1!F140*Sheet1!$C$1</f>
        <v>0</v>
      </c>
      <c r="G142" s="6">
        <f>+Sheet1!G140*Sheet1!$C$1</f>
        <v>0</v>
      </c>
      <c r="H142" s="6">
        <f>+Sheet1!H140*Sheet1!$C$1</f>
        <v>10000</v>
      </c>
      <c r="I142" s="6">
        <f>+Sheet1!I140*Sheet1!$C$1</f>
        <v>0</v>
      </c>
    </row>
    <row r="143" spans="1:9" x14ac:dyDescent="0.2">
      <c r="A143" s="11">
        <v>36842</v>
      </c>
      <c r="B143" s="6">
        <f>+Sheet1!B141*Sheet1!$C$1</f>
        <v>77359</v>
      </c>
      <c r="C143" s="6">
        <f>+Sheet1!C141*Sheet1!$C$1</f>
        <v>6</v>
      </c>
      <c r="D143" s="6">
        <f>+Sheet1!D141*Sheet1!$C$1</f>
        <v>-65000</v>
      </c>
      <c r="E143" s="6">
        <f>+Sheet1!E141*Sheet1!$C$1</f>
        <v>49719</v>
      </c>
      <c r="F143" s="6">
        <f>+Sheet1!F141*Sheet1!$C$1</f>
        <v>21231</v>
      </c>
      <c r="G143" s="6">
        <f>+Sheet1!G141*Sheet1!$C$1</f>
        <v>0</v>
      </c>
      <c r="H143" s="6">
        <f>+Sheet1!H141*Sheet1!$C$1</f>
        <v>10000</v>
      </c>
      <c r="I143" s="6">
        <f>+Sheet1!I141*Sheet1!$C$1</f>
        <v>0</v>
      </c>
    </row>
    <row r="144" spans="1:9" x14ac:dyDescent="0.2">
      <c r="A144" s="11">
        <v>36843</v>
      </c>
      <c r="B144" s="6">
        <f>+Sheet1!B142*Sheet1!$C$1</f>
        <v>118830</v>
      </c>
      <c r="C144" s="6">
        <f>+Sheet1!C142*Sheet1!$C$1</f>
        <v>-4982</v>
      </c>
      <c r="D144" s="6">
        <f>+Sheet1!D142*Sheet1!$C$1</f>
        <v>-201295</v>
      </c>
      <c r="E144" s="6">
        <f>+Sheet1!E142*Sheet1!$C$1</f>
        <v>0</v>
      </c>
      <c r="F144" s="6">
        <f>+Sheet1!F142*Sheet1!$C$1</f>
        <v>0</v>
      </c>
      <c r="G144" s="6">
        <f>+Sheet1!G142*Sheet1!$C$1</f>
        <v>-84854</v>
      </c>
      <c r="H144" s="6">
        <f>+Sheet1!H142*Sheet1!$C$1</f>
        <v>10000</v>
      </c>
      <c r="I144" s="6">
        <f>+Sheet1!I142*Sheet1!$C$1</f>
        <v>0</v>
      </c>
    </row>
    <row r="145" spans="1:9" x14ac:dyDescent="0.2">
      <c r="A145" s="11">
        <v>36844</v>
      </c>
      <c r="B145" s="6">
        <f>+Sheet1!B143*Sheet1!$C$1</f>
        <v>93345</v>
      </c>
      <c r="C145" s="6">
        <f>+Sheet1!C143*Sheet1!$C$1</f>
        <v>-35608</v>
      </c>
      <c r="D145" s="6">
        <f>+Sheet1!D143*Sheet1!$C$1</f>
        <v>-202473</v>
      </c>
      <c r="E145" s="6">
        <f>+Sheet1!E143*Sheet1!$C$1</f>
        <v>0</v>
      </c>
      <c r="F145" s="6">
        <f>+Sheet1!F143*Sheet1!$C$1</f>
        <v>0</v>
      </c>
      <c r="G145" s="6">
        <f>+Sheet1!G143*Sheet1!$C$1</f>
        <v>-84854</v>
      </c>
      <c r="H145" s="6">
        <f>+Sheet1!H143*Sheet1!$C$1</f>
        <v>10000</v>
      </c>
      <c r="I145" s="6">
        <f>+Sheet1!I143*Sheet1!$C$1</f>
        <v>0</v>
      </c>
    </row>
    <row r="146" spans="1:9" x14ac:dyDescent="0.2">
      <c r="A146" s="11">
        <v>36845</v>
      </c>
      <c r="B146" s="6">
        <f>+Sheet1!B144*Sheet1!$C$1</f>
        <v>58301</v>
      </c>
      <c r="C146" s="6">
        <f>+Sheet1!C144*Sheet1!$C$1</f>
        <v>-20730</v>
      </c>
      <c r="D146" s="6">
        <f>+Sheet1!D144*Sheet1!$C$1</f>
        <v>-74655</v>
      </c>
      <c r="E146" s="6">
        <f>+Sheet1!E144*Sheet1!$C$1</f>
        <v>0</v>
      </c>
      <c r="F146" s="6">
        <f>+Sheet1!F144*Sheet1!$C$1</f>
        <v>0</v>
      </c>
      <c r="G146" s="6">
        <f>+Sheet1!G144*Sheet1!$C$1</f>
        <v>0</v>
      </c>
      <c r="H146" s="6">
        <f>+Sheet1!H144*Sheet1!$C$1</f>
        <v>10000</v>
      </c>
      <c r="I146" s="6">
        <f>+Sheet1!I144*Sheet1!$C$1</f>
        <v>0</v>
      </c>
    </row>
    <row r="147" spans="1:9" x14ac:dyDescent="0.2">
      <c r="A147" s="11">
        <v>36846</v>
      </c>
      <c r="B147" s="6">
        <f>+Sheet1!B145*Sheet1!$C$1</f>
        <v>67493</v>
      </c>
      <c r="C147" s="6">
        <f>+Sheet1!C145*Sheet1!$C$1</f>
        <v>19724</v>
      </c>
      <c r="D147" s="6">
        <f>+Sheet1!D145*Sheet1!$C$1</f>
        <v>-4468</v>
      </c>
      <c r="E147" s="6">
        <f>+Sheet1!E145*Sheet1!$C$1</f>
        <v>0</v>
      </c>
      <c r="F147" s="6">
        <f>+Sheet1!F145*Sheet1!$C$1</f>
        <v>0</v>
      </c>
      <c r="G147" s="6">
        <f>+Sheet1!G145*Sheet1!$C$1</f>
        <v>-60508</v>
      </c>
      <c r="H147" s="6">
        <f>+Sheet1!H145*Sheet1!$C$1</f>
        <v>10000</v>
      </c>
      <c r="I147" s="6">
        <f>+Sheet1!I145*Sheet1!$C$1</f>
        <v>0</v>
      </c>
    </row>
    <row r="148" spans="1:9" x14ac:dyDescent="0.2">
      <c r="A148" s="11">
        <v>36847</v>
      </c>
      <c r="B148" s="6">
        <f>+Sheet1!B146*Sheet1!$C$1</f>
        <v>100582</v>
      </c>
      <c r="C148" s="6">
        <f>+Sheet1!C146*Sheet1!$C$1</f>
        <v>41708</v>
      </c>
      <c r="D148" s="6">
        <f>+Sheet1!D146*Sheet1!$C$1</f>
        <v>24800</v>
      </c>
      <c r="E148" s="6">
        <f>+Sheet1!E146*Sheet1!$C$1</f>
        <v>0</v>
      </c>
      <c r="F148" s="6">
        <f>+Sheet1!F146*Sheet1!$C$1</f>
        <v>31290</v>
      </c>
      <c r="G148" s="6">
        <f>+Sheet1!G146*Sheet1!$C$1</f>
        <v>29313</v>
      </c>
      <c r="H148" s="6">
        <f>+Sheet1!H146*Sheet1!$C$1</f>
        <v>10000</v>
      </c>
      <c r="I148" s="6">
        <f>+Sheet1!I146*Sheet1!$C$1</f>
        <v>0</v>
      </c>
    </row>
    <row r="149" spans="1:9" x14ac:dyDescent="0.2">
      <c r="A149" s="11">
        <v>36848</v>
      </c>
      <c r="B149" s="6">
        <f>+Sheet1!B147*Sheet1!$C$1</f>
        <v>93680</v>
      </c>
      <c r="C149" s="6">
        <f>+Sheet1!C147*Sheet1!$C$1</f>
        <v>-310</v>
      </c>
      <c r="D149" s="6">
        <f>+Sheet1!D147*Sheet1!$C$1</f>
        <v>-103811</v>
      </c>
      <c r="E149" s="6">
        <f>+Sheet1!E147*Sheet1!$C$1</f>
        <v>0</v>
      </c>
      <c r="F149" s="6">
        <f>+Sheet1!F147*Sheet1!$C$1</f>
        <v>-65000</v>
      </c>
      <c r="G149" s="6">
        <f>+Sheet1!G147*Sheet1!$C$1</f>
        <v>0</v>
      </c>
      <c r="H149" s="6">
        <f>+Sheet1!H147*Sheet1!$C$1</f>
        <v>10000</v>
      </c>
      <c r="I149" s="6">
        <f>+Sheet1!I147*Sheet1!$C$1</f>
        <v>0</v>
      </c>
    </row>
    <row r="150" spans="1:9" x14ac:dyDescent="0.2">
      <c r="A150" s="11">
        <v>36849</v>
      </c>
      <c r="B150" s="6">
        <f>+Sheet1!B148*Sheet1!$C$1</f>
        <v>93729</v>
      </c>
      <c r="C150" s="6">
        <f>+Sheet1!C148*Sheet1!$C$1</f>
        <v>-35868</v>
      </c>
      <c r="D150" s="6">
        <f>+Sheet1!D148*Sheet1!$C$1</f>
        <v>-24578</v>
      </c>
      <c r="E150" s="6">
        <f>+Sheet1!E148*Sheet1!$C$1</f>
        <v>0</v>
      </c>
      <c r="F150" s="6">
        <f>+Sheet1!F148*Sheet1!$C$1</f>
        <v>-65000</v>
      </c>
      <c r="G150" s="6">
        <f>+Sheet1!G148*Sheet1!$C$1</f>
        <v>0</v>
      </c>
      <c r="H150" s="6">
        <f>+Sheet1!H148*Sheet1!$C$1</f>
        <v>10000</v>
      </c>
      <c r="I150" s="6">
        <f>+Sheet1!I148*Sheet1!$C$1</f>
        <v>0</v>
      </c>
    </row>
    <row r="151" spans="1:9" x14ac:dyDescent="0.2">
      <c r="A151" s="11">
        <v>36850</v>
      </c>
      <c r="B151" s="6">
        <f>+Sheet1!B149*Sheet1!$C$1</f>
        <v>-14658</v>
      </c>
      <c r="C151" s="6">
        <f>+Sheet1!C149*Sheet1!$C$1</f>
        <v>-39207</v>
      </c>
      <c r="D151" s="6">
        <f>+Sheet1!D149*Sheet1!$C$1</f>
        <v>-62281</v>
      </c>
      <c r="E151" s="6">
        <f>+Sheet1!E149*Sheet1!$C$1</f>
        <v>0</v>
      </c>
      <c r="F151" s="6">
        <f>+Sheet1!F149*Sheet1!$C$1</f>
        <v>-65000</v>
      </c>
      <c r="G151" s="6">
        <f>+Sheet1!G149*Sheet1!$C$1</f>
        <v>-59000</v>
      </c>
      <c r="H151" s="6">
        <f>+Sheet1!H149*Sheet1!$C$1</f>
        <v>10000</v>
      </c>
      <c r="I151" s="6">
        <f>+Sheet1!I149*Sheet1!$C$1</f>
        <v>0</v>
      </c>
    </row>
    <row r="152" spans="1:9" x14ac:dyDescent="0.2">
      <c r="A152" s="11">
        <v>36851</v>
      </c>
      <c r="B152" s="6">
        <f>+Sheet1!B150*Sheet1!$C$1</f>
        <v>-296690</v>
      </c>
      <c r="C152" s="6">
        <f>+Sheet1!C150*Sheet1!$C$1</f>
        <v>3677</v>
      </c>
      <c r="D152" s="6">
        <f>+Sheet1!D150*Sheet1!$C$1</f>
        <v>-4624</v>
      </c>
      <c r="E152" s="6">
        <f>+Sheet1!E150*Sheet1!$C$1</f>
        <v>0</v>
      </c>
      <c r="F152" s="6">
        <f>+Sheet1!F150*Sheet1!$C$1</f>
        <v>0</v>
      </c>
      <c r="G152" s="6">
        <f>+Sheet1!G150*Sheet1!$C$1</f>
        <v>0</v>
      </c>
      <c r="H152" s="6">
        <f>+Sheet1!H150*Sheet1!$C$1</f>
        <v>10000</v>
      </c>
      <c r="I152" s="6">
        <f>+Sheet1!I150*Sheet1!$C$1</f>
        <v>0</v>
      </c>
    </row>
    <row r="153" spans="1:9" x14ac:dyDescent="0.2">
      <c r="A153" s="11">
        <v>36852</v>
      </c>
      <c r="B153" s="6">
        <f>+Sheet1!B151*Sheet1!$C$1</f>
        <v>-517219</v>
      </c>
      <c r="C153" s="6">
        <f>+Sheet1!C151*Sheet1!$C$1</f>
        <v>-415</v>
      </c>
      <c r="D153" s="6">
        <f>+Sheet1!D151*Sheet1!$C$1</f>
        <v>24800</v>
      </c>
      <c r="E153" s="6">
        <f>+Sheet1!E151*Sheet1!$C$1</f>
        <v>0</v>
      </c>
      <c r="F153" s="6">
        <f>+Sheet1!F151*Sheet1!$C$1</f>
        <v>27402</v>
      </c>
      <c r="G153" s="6">
        <f>+Sheet1!G151*Sheet1!$C$1</f>
        <v>0</v>
      </c>
      <c r="H153" s="6">
        <f>+Sheet1!H151*Sheet1!$C$1</f>
        <v>10000</v>
      </c>
      <c r="I153" s="6">
        <f>+Sheet1!I151*Sheet1!$C$1</f>
        <v>0</v>
      </c>
    </row>
    <row r="154" spans="1:9" x14ac:dyDescent="0.2">
      <c r="A154" s="11">
        <v>36853</v>
      </c>
      <c r="B154" s="6">
        <f>+Sheet1!B152*Sheet1!$C$1</f>
        <v>-420590</v>
      </c>
      <c r="C154" s="6">
        <f>+Sheet1!C152*Sheet1!$C$1</f>
        <v>18006</v>
      </c>
      <c r="D154" s="6">
        <f>+Sheet1!D152*Sheet1!$C$1</f>
        <v>24800</v>
      </c>
      <c r="E154" s="6">
        <f>+Sheet1!E152*Sheet1!$C$1</f>
        <v>0</v>
      </c>
      <c r="F154" s="6">
        <f>+Sheet1!F152*Sheet1!$C$1</f>
        <v>28003</v>
      </c>
      <c r="G154" s="6">
        <f>+Sheet1!G152*Sheet1!$C$1</f>
        <v>0</v>
      </c>
      <c r="H154" s="6">
        <f>+Sheet1!H152*Sheet1!$C$1</f>
        <v>10000</v>
      </c>
      <c r="I154" s="6">
        <f>+Sheet1!I152*Sheet1!$C$1</f>
        <v>0</v>
      </c>
    </row>
    <row r="155" spans="1:9" x14ac:dyDescent="0.2">
      <c r="A155" s="11">
        <v>36854</v>
      </c>
      <c r="B155" s="6">
        <f>+Sheet1!B153*Sheet1!$C$1</f>
        <v>-263135</v>
      </c>
      <c r="C155" s="6">
        <f>+Sheet1!C153*Sheet1!$C$1</f>
        <v>18006</v>
      </c>
      <c r="D155" s="6">
        <f>+Sheet1!D153*Sheet1!$C$1</f>
        <v>24800</v>
      </c>
      <c r="E155" s="6">
        <f>+Sheet1!E153*Sheet1!$C$1</f>
        <v>0</v>
      </c>
      <c r="F155" s="6">
        <f>+Sheet1!F153*Sheet1!$C$1</f>
        <v>32750</v>
      </c>
      <c r="G155" s="6">
        <f>+Sheet1!G153*Sheet1!$C$1</f>
        <v>0</v>
      </c>
      <c r="H155" s="6">
        <f>+Sheet1!H153*Sheet1!$C$1</f>
        <v>10000</v>
      </c>
      <c r="I155" s="6">
        <f>+Sheet1!I153*Sheet1!$C$1</f>
        <v>0</v>
      </c>
    </row>
    <row r="156" spans="1:9" x14ac:dyDescent="0.2">
      <c r="A156" s="11">
        <v>36855</v>
      </c>
      <c r="B156" s="6">
        <f>+Sheet1!B154*Sheet1!$C$1</f>
        <v>-221498</v>
      </c>
      <c r="C156" s="6">
        <f>+Sheet1!C154*Sheet1!$C$1</f>
        <v>18006</v>
      </c>
      <c r="D156" s="6">
        <f>+Sheet1!D154*Sheet1!$C$1</f>
        <v>24800</v>
      </c>
      <c r="E156" s="6">
        <f>+Sheet1!E154*Sheet1!$C$1</f>
        <v>18621</v>
      </c>
      <c r="F156" s="6">
        <f>+Sheet1!F154*Sheet1!$C$1</f>
        <v>35000</v>
      </c>
      <c r="G156" s="6">
        <f>+Sheet1!G154*Sheet1!$C$1</f>
        <v>0</v>
      </c>
      <c r="H156" s="6">
        <f>+Sheet1!H154*Sheet1!$C$1</f>
        <v>10000</v>
      </c>
      <c r="I156" s="6">
        <f>+Sheet1!I154*Sheet1!$C$1</f>
        <v>0</v>
      </c>
    </row>
    <row r="157" spans="1:9" x14ac:dyDescent="0.2">
      <c r="A157" s="11">
        <v>36856</v>
      </c>
      <c r="B157" s="6">
        <f>+Sheet1!B155*Sheet1!$C$1</f>
        <v>-217705</v>
      </c>
      <c r="C157" s="6">
        <f>+Sheet1!C155*Sheet1!$C$1</f>
        <v>18006</v>
      </c>
      <c r="D157" s="6">
        <f>+Sheet1!D155*Sheet1!$C$1</f>
        <v>24800</v>
      </c>
      <c r="E157" s="6">
        <f>+Sheet1!E155*Sheet1!$C$1</f>
        <v>0</v>
      </c>
      <c r="F157" s="6">
        <f>+Sheet1!F155*Sheet1!$C$1</f>
        <v>3195</v>
      </c>
      <c r="G157" s="6">
        <f>+Sheet1!G155*Sheet1!$C$1</f>
        <v>0</v>
      </c>
      <c r="H157" s="6">
        <f>+Sheet1!H155*Sheet1!$C$1</f>
        <v>10000</v>
      </c>
      <c r="I157" s="6">
        <f>+Sheet1!I155*Sheet1!$C$1</f>
        <v>0</v>
      </c>
    </row>
    <row r="158" spans="1:9" x14ac:dyDescent="0.2">
      <c r="A158" s="11">
        <v>36857</v>
      </c>
      <c r="B158" s="6">
        <f>+Sheet1!B156*Sheet1!$C$1</f>
        <v>-272956</v>
      </c>
      <c r="C158" s="6">
        <f>+Sheet1!C156*Sheet1!$C$1</f>
        <v>-5</v>
      </c>
      <c r="D158" s="6">
        <f>+Sheet1!D156*Sheet1!$C$1</f>
        <v>27458</v>
      </c>
      <c r="E158" s="6">
        <f>+Sheet1!E156*Sheet1!$C$1</f>
        <v>0</v>
      </c>
      <c r="F158" s="6">
        <f>+Sheet1!F156*Sheet1!$C$1</f>
        <v>0</v>
      </c>
      <c r="G158" s="6">
        <f>+Sheet1!G156*Sheet1!$C$1</f>
        <v>29312</v>
      </c>
      <c r="H158" s="6">
        <f>+Sheet1!H156*Sheet1!$C$1</f>
        <v>10000</v>
      </c>
      <c r="I158" s="6">
        <f>+Sheet1!I156*Sheet1!$C$1</f>
        <v>0</v>
      </c>
    </row>
    <row r="159" spans="1:9" x14ac:dyDescent="0.2">
      <c r="A159" s="11">
        <v>36858</v>
      </c>
      <c r="B159" s="6">
        <f>+Sheet1!B157*Sheet1!$C$1</f>
        <v>-304790</v>
      </c>
      <c r="C159" s="6">
        <f>+Sheet1!C157*Sheet1!$C$1</f>
        <v>28421</v>
      </c>
      <c r="D159" s="6">
        <f>+Sheet1!D157*Sheet1!$C$1</f>
        <v>0</v>
      </c>
      <c r="E159" s="6">
        <f>+Sheet1!E157*Sheet1!$C$1</f>
        <v>0</v>
      </c>
      <c r="F159" s="6">
        <f>+Sheet1!F157*Sheet1!$C$1</f>
        <v>0</v>
      </c>
      <c r="G159" s="6">
        <f>+Sheet1!G157*Sheet1!$C$1</f>
        <v>0</v>
      </c>
      <c r="H159" s="6">
        <f>+Sheet1!H157*Sheet1!$C$1</f>
        <v>10000</v>
      </c>
      <c r="I159" s="6">
        <f>+Sheet1!I157*Sheet1!$C$1</f>
        <v>0</v>
      </c>
    </row>
    <row r="160" spans="1:9" x14ac:dyDescent="0.2">
      <c r="A160" s="11">
        <v>36859</v>
      </c>
      <c r="B160" s="6">
        <f>+Sheet1!B158*Sheet1!$C$1</f>
        <v>-348300</v>
      </c>
      <c r="C160" s="6">
        <f>+Sheet1!C158*Sheet1!$C$1</f>
        <v>200</v>
      </c>
      <c r="D160" s="6">
        <f>+Sheet1!D158*Sheet1!$C$1</f>
        <v>0</v>
      </c>
      <c r="E160" s="6">
        <f>+Sheet1!E158*Sheet1!$C$1</f>
        <v>0</v>
      </c>
      <c r="F160" s="6">
        <f>+Sheet1!F158*Sheet1!$C$1</f>
        <v>0</v>
      </c>
      <c r="G160" s="6">
        <f>+Sheet1!G158*Sheet1!$C$1</f>
        <v>0</v>
      </c>
      <c r="H160" s="6">
        <f>+Sheet1!H158*Sheet1!$C$1</f>
        <v>10000</v>
      </c>
      <c r="I160" s="6">
        <f>+Sheet1!I158*Sheet1!$C$1</f>
        <v>0</v>
      </c>
    </row>
    <row r="161" spans="1:9" x14ac:dyDescent="0.2">
      <c r="A161" s="11">
        <v>36860</v>
      </c>
      <c r="B161" s="6">
        <f>+Sheet1!B159*Sheet1!$C$1</f>
        <v>-343000</v>
      </c>
      <c r="C161" s="6">
        <f>+Sheet1!C159*Sheet1!$C$1</f>
        <v>200</v>
      </c>
      <c r="D161" s="6">
        <f>+Sheet1!D159*Sheet1!$C$1</f>
        <v>0</v>
      </c>
      <c r="E161" s="6">
        <f>+Sheet1!E159*Sheet1!$C$1</f>
        <v>0</v>
      </c>
      <c r="F161" s="6">
        <f>+Sheet1!F159*Sheet1!$C$1</f>
        <v>0</v>
      </c>
      <c r="G161" s="6">
        <f>+Sheet1!G159*Sheet1!$C$1</f>
        <v>0</v>
      </c>
      <c r="H161" s="6">
        <f>+Sheet1!H159*Sheet1!$C$1</f>
        <v>10000</v>
      </c>
      <c r="I161" s="6">
        <f>+Sheet1!I159*Sheet1!$C$1</f>
        <v>0</v>
      </c>
    </row>
    <row r="162" spans="1:9" x14ac:dyDescent="0.2">
      <c r="A162" s="11">
        <v>36861</v>
      </c>
      <c r="B162" s="6">
        <f>+Sheet1!B160*Sheet1!$C$1</f>
        <v>-388642</v>
      </c>
      <c r="C162" s="6">
        <f>+Sheet1!C160*Sheet1!$C$1</f>
        <v>-697</v>
      </c>
      <c r="D162" s="6">
        <f>+Sheet1!D160*Sheet1!$C$1</f>
        <v>-71227</v>
      </c>
      <c r="E162" s="6">
        <f>+Sheet1!E160*Sheet1!$C$1</f>
        <v>0</v>
      </c>
      <c r="F162" s="6">
        <f>+Sheet1!F160*Sheet1!$C$1</f>
        <v>0</v>
      </c>
      <c r="G162" s="6">
        <f>+Sheet1!G160*Sheet1!$C$1</f>
        <v>0</v>
      </c>
      <c r="H162" s="6">
        <f>+Sheet1!H160*Sheet1!$C$1</f>
        <v>0</v>
      </c>
      <c r="I162" s="6">
        <f>+Sheet1!I160*Sheet1!$C$1</f>
        <v>0</v>
      </c>
    </row>
    <row r="163" spans="1:9" x14ac:dyDescent="0.2">
      <c r="A163" s="11">
        <v>36862</v>
      </c>
      <c r="B163" s="6">
        <f>+Sheet1!B161*Sheet1!$C$1</f>
        <v>-370260</v>
      </c>
      <c r="C163" s="6">
        <f>+Sheet1!C161*Sheet1!$C$1</f>
        <v>-35452</v>
      </c>
      <c r="D163" s="6">
        <f>+Sheet1!D161*Sheet1!$C$1</f>
        <v>-23746</v>
      </c>
      <c r="E163" s="6">
        <f>+Sheet1!E161*Sheet1!$C$1</f>
        <v>0</v>
      </c>
      <c r="F163" s="6">
        <f>+Sheet1!F161*Sheet1!$C$1</f>
        <v>0</v>
      </c>
      <c r="G163" s="6">
        <f>+Sheet1!G161*Sheet1!$C$1</f>
        <v>0</v>
      </c>
      <c r="H163" s="6">
        <f>+Sheet1!H161*Sheet1!$C$1</f>
        <v>0</v>
      </c>
      <c r="I163" s="6">
        <f>+Sheet1!I161*Sheet1!$C$1</f>
        <v>0</v>
      </c>
    </row>
    <row r="164" spans="1:9" x14ac:dyDescent="0.2">
      <c r="A164" s="11">
        <v>36863</v>
      </c>
      <c r="B164" s="6">
        <f>+Sheet1!B162*Sheet1!$C$1</f>
        <v>-343660</v>
      </c>
      <c r="C164" s="6">
        <f>+Sheet1!C162*Sheet1!$C$1</f>
        <v>4072</v>
      </c>
      <c r="D164" s="6">
        <f>+Sheet1!D162*Sheet1!$C$1</f>
        <v>-103143</v>
      </c>
      <c r="E164" s="6">
        <f>+Sheet1!E162*Sheet1!$C$1</f>
        <v>0</v>
      </c>
      <c r="F164" s="6">
        <f>+Sheet1!F162*Sheet1!$C$1</f>
        <v>0</v>
      </c>
      <c r="G164" s="6">
        <f>+Sheet1!G162*Sheet1!$C$1</f>
        <v>0</v>
      </c>
      <c r="H164" s="6">
        <f>+Sheet1!H162*Sheet1!$C$1</f>
        <v>0</v>
      </c>
      <c r="I164" s="6">
        <f>+Sheet1!I162*Sheet1!$C$1</f>
        <v>0</v>
      </c>
    </row>
    <row r="165" spans="1:9" x14ac:dyDescent="0.2">
      <c r="A165" s="11">
        <v>36864</v>
      </c>
      <c r="B165" s="6">
        <f>+Sheet1!B163*Sheet1!$C$1</f>
        <v>-432145</v>
      </c>
      <c r="C165" s="6">
        <f>+Sheet1!C163*Sheet1!$C$1</f>
        <v>-46751</v>
      </c>
      <c r="D165" s="6">
        <f>+Sheet1!D163*Sheet1!$C$1</f>
        <v>-93362</v>
      </c>
      <c r="E165" s="6">
        <f>+Sheet1!E163*Sheet1!$C$1</f>
        <v>0</v>
      </c>
      <c r="F165" s="6">
        <f>+Sheet1!F163*Sheet1!$C$1</f>
        <v>0</v>
      </c>
      <c r="G165" s="6">
        <f>+Sheet1!G163*Sheet1!$C$1</f>
        <v>0</v>
      </c>
      <c r="H165" s="6">
        <f>+Sheet1!H163*Sheet1!$C$1</f>
        <v>0</v>
      </c>
      <c r="I165" s="6">
        <f>+Sheet1!I163*Sheet1!$C$1</f>
        <v>0</v>
      </c>
    </row>
    <row r="166" spans="1:9" x14ac:dyDescent="0.2">
      <c r="A166" s="11">
        <v>36865</v>
      </c>
      <c r="B166" s="6">
        <f>+Sheet1!B164*Sheet1!$C$1</f>
        <v>-459320</v>
      </c>
      <c r="C166" s="6">
        <f>+Sheet1!C164*Sheet1!$C$1</f>
        <v>-46770</v>
      </c>
      <c r="D166" s="6">
        <f>+Sheet1!D164*Sheet1!$C$1</f>
        <v>-152447</v>
      </c>
      <c r="E166" s="6">
        <f>+Sheet1!E164*Sheet1!$C$1</f>
        <v>0</v>
      </c>
      <c r="F166" s="6">
        <f>+Sheet1!F164*Sheet1!$C$1</f>
        <v>0</v>
      </c>
      <c r="G166" s="6">
        <f>+Sheet1!G164*Sheet1!$C$1</f>
        <v>-84854</v>
      </c>
      <c r="H166" s="6">
        <f>+Sheet1!H164*Sheet1!$C$1</f>
        <v>0</v>
      </c>
      <c r="I166" s="6">
        <f>+Sheet1!I164*Sheet1!$C$1</f>
        <v>0</v>
      </c>
    </row>
    <row r="167" spans="1:9" x14ac:dyDescent="0.2">
      <c r="A167" s="11">
        <v>36866</v>
      </c>
      <c r="B167" s="6">
        <f>+Sheet1!B165*Sheet1!$C$1</f>
        <v>-503659</v>
      </c>
      <c r="C167" s="6">
        <f>+Sheet1!C165*Sheet1!$C$1</f>
        <v>-63175</v>
      </c>
      <c r="D167" s="6">
        <f>+Sheet1!D165*Sheet1!$C$1</f>
        <v>-199636</v>
      </c>
      <c r="E167" s="6">
        <f>+Sheet1!E165*Sheet1!$C$1</f>
        <v>0</v>
      </c>
      <c r="F167" s="6">
        <f>+Sheet1!F165*Sheet1!$C$1</f>
        <v>0</v>
      </c>
      <c r="G167" s="6">
        <f>+Sheet1!G165*Sheet1!$C$1</f>
        <v>-84854</v>
      </c>
      <c r="H167" s="6">
        <f>+Sheet1!H165*Sheet1!$C$1</f>
        <v>0</v>
      </c>
      <c r="I167" s="6">
        <f>+Sheet1!I165*Sheet1!$C$1</f>
        <v>0</v>
      </c>
    </row>
    <row r="168" spans="1:9" x14ac:dyDescent="0.2">
      <c r="A168" s="11">
        <v>36867</v>
      </c>
      <c r="B168" s="6">
        <f>+Sheet1!B166*Sheet1!$C$1</f>
        <v>-376410</v>
      </c>
      <c r="C168" s="6">
        <f>+Sheet1!C166*Sheet1!$C$1</f>
        <v>-14218</v>
      </c>
      <c r="D168" s="6">
        <f>+Sheet1!D166*Sheet1!$C$1</f>
        <v>-83875</v>
      </c>
      <c r="E168" s="6">
        <f>+Sheet1!E166*Sheet1!$C$1</f>
        <v>0</v>
      </c>
      <c r="F168" s="6">
        <f>+Sheet1!F166*Sheet1!$C$1</f>
        <v>0</v>
      </c>
      <c r="G168" s="6">
        <f>+Sheet1!G166*Sheet1!$C$1</f>
        <v>-84854</v>
      </c>
      <c r="H168" s="6">
        <f>+Sheet1!H166*Sheet1!$C$1</f>
        <v>0</v>
      </c>
      <c r="I168" s="6">
        <f>+Sheet1!I166*Sheet1!$C$1</f>
        <v>0</v>
      </c>
    </row>
    <row r="169" spans="1:9" x14ac:dyDescent="0.2">
      <c r="A169" s="11">
        <v>36868</v>
      </c>
      <c r="B169" s="6">
        <f>+Sheet1!B167*Sheet1!$C$1</f>
        <v>-351790</v>
      </c>
      <c r="C169" s="6">
        <f>+Sheet1!C167*Sheet1!$C$1</f>
        <v>-36666</v>
      </c>
      <c r="D169" s="6">
        <f>+Sheet1!D167*Sheet1!$C$1</f>
        <v>-115686</v>
      </c>
      <c r="E169" s="6">
        <f>+Sheet1!E167*Sheet1!$C$1</f>
        <v>0</v>
      </c>
      <c r="F169" s="6">
        <f>+Sheet1!F167*Sheet1!$C$1</f>
        <v>0</v>
      </c>
      <c r="G169" s="6">
        <f>+Sheet1!G167*Sheet1!$C$1</f>
        <v>-84854</v>
      </c>
      <c r="H169" s="6">
        <f>+Sheet1!H167*Sheet1!$C$1</f>
        <v>0</v>
      </c>
      <c r="I169" s="6">
        <f>+Sheet1!I167*Sheet1!$C$1</f>
        <v>0</v>
      </c>
    </row>
    <row r="170" spans="1:9" x14ac:dyDescent="0.2">
      <c r="A170" s="11">
        <v>36869</v>
      </c>
      <c r="B170" s="6">
        <f>+Sheet1!B168*Sheet1!$C$1</f>
        <v>-393665</v>
      </c>
      <c r="C170" s="6">
        <f>+Sheet1!C168*Sheet1!$C$1</f>
        <v>-73886</v>
      </c>
      <c r="D170" s="6">
        <f>+Sheet1!D168*Sheet1!$C$1</f>
        <v>-66341</v>
      </c>
      <c r="E170" s="6">
        <f>+Sheet1!E168*Sheet1!$C$1</f>
        <v>0</v>
      </c>
      <c r="F170" s="6">
        <f>+Sheet1!F168*Sheet1!$C$1</f>
        <v>0</v>
      </c>
      <c r="G170" s="6">
        <f>+Sheet1!G168*Sheet1!$C$1</f>
        <v>0</v>
      </c>
      <c r="H170" s="6">
        <f>+Sheet1!H168*Sheet1!$C$1</f>
        <v>0</v>
      </c>
      <c r="I170" s="6">
        <f>+Sheet1!I168*Sheet1!$C$1</f>
        <v>0</v>
      </c>
    </row>
    <row r="171" spans="1:9" x14ac:dyDescent="0.2">
      <c r="A171" s="11">
        <v>36870</v>
      </c>
      <c r="B171" s="6">
        <f>+Sheet1!B169*Sheet1!$C$1</f>
        <v>-330110</v>
      </c>
      <c r="C171" s="6">
        <f>+Sheet1!C169*Sheet1!$C$1</f>
        <v>-73882</v>
      </c>
      <c r="D171" s="6">
        <f>+Sheet1!D169*Sheet1!$C$1</f>
        <v>-6697</v>
      </c>
      <c r="E171" s="6">
        <f>+Sheet1!E169*Sheet1!$C$1</f>
        <v>0</v>
      </c>
      <c r="F171" s="6">
        <f>+Sheet1!F169*Sheet1!$C$1</f>
        <v>0</v>
      </c>
      <c r="G171" s="6">
        <f>+Sheet1!G169*Sheet1!$C$1</f>
        <v>0</v>
      </c>
      <c r="H171" s="6">
        <f>+Sheet1!H169*Sheet1!$C$1</f>
        <v>0</v>
      </c>
      <c r="I171" s="6">
        <f>+Sheet1!I169*Sheet1!$C$1</f>
        <v>0</v>
      </c>
    </row>
    <row r="172" spans="1:9" x14ac:dyDescent="0.2">
      <c r="A172" s="11">
        <v>36871</v>
      </c>
      <c r="B172" s="6">
        <f>+Sheet1!B170*Sheet1!$C$1</f>
        <v>-443471</v>
      </c>
      <c r="C172" s="6">
        <f>+Sheet1!C170*Sheet1!$C$1</f>
        <v>-73895</v>
      </c>
      <c r="D172" s="6">
        <f>+Sheet1!D170*Sheet1!$C$1</f>
        <v>-41465</v>
      </c>
      <c r="E172" s="6">
        <f>+Sheet1!E170*Sheet1!$C$1</f>
        <v>-4419</v>
      </c>
      <c r="F172" s="6">
        <f>+Sheet1!F170*Sheet1!$C$1</f>
        <v>-39077</v>
      </c>
      <c r="G172" s="6">
        <f>+Sheet1!G170*Sheet1!$C$1</f>
        <v>-84854</v>
      </c>
      <c r="H172" s="6">
        <f>+Sheet1!H170*Sheet1!$C$1</f>
        <v>0</v>
      </c>
      <c r="I172" s="6">
        <f>+Sheet1!I170*Sheet1!$C$1</f>
        <v>0</v>
      </c>
    </row>
    <row r="173" spans="1:9" x14ac:dyDescent="0.2">
      <c r="A173" s="11">
        <v>36872</v>
      </c>
      <c r="B173" s="6">
        <f>+Sheet1!B171*Sheet1!$C$1</f>
        <v>-589447</v>
      </c>
      <c r="C173" s="6">
        <f>+Sheet1!C171*Sheet1!$C$1</f>
        <v>-58212</v>
      </c>
      <c r="D173" s="6">
        <f>+Sheet1!D171*Sheet1!$C$1</f>
        <v>-46381</v>
      </c>
      <c r="E173" s="6">
        <f>+Sheet1!E171*Sheet1!$C$1</f>
        <v>-4419</v>
      </c>
      <c r="F173" s="6">
        <f>+Sheet1!F171*Sheet1!$C$1</f>
        <v>-39077</v>
      </c>
      <c r="G173" s="6">
        <f>+Sheet1!G171*Sheet1!$C$1</f>
        <v>-84854</v>
      </c>
      <c r="H173" s="6">
        <f>+Sheet1!H171*Sheet1!$C$1</f>
        <v>0</v>
      </c>
      <c r="I173" s="6">
        <f>+Sheet1!I171*Sheet1!$C$1</f>
        <v>0</v>
      </c>
    </row>
    <row r="174" spans="1:9" x14ac:dyDescent="0.2">
      <c r="A174" s="11">
        <v>36873</v>
      </c>
      <c r="B174" s="6">
        <f>+Sheet1!B172*Sheet1!$C$1</f>
        <v>-564716</v>
      </c>
      <c r="C174" s="6">
        <f>+Sheet1!C172*Sheet1!$C$1</f>
        <v>-35541</v>
      </c>
      <c r="D174" s="6">
        <f>+Sheet1!D172*Sheet1!$C$1</f>
        <v>-31019</v>
      </c>
      <c r="E174" s="6">
        <f>+Sheet1!E172*Sheet1!$C$1</f>
        <v>0</v>
      </c>
      <c r="F174" s="6">
        <f>+Sheet1!F172*Sheet1!$C$1</f>
        <v>0</v>
      </c>
      <c r="G174" s="6">
        <f>+Sheet1!G172*Sheet1!$C$1</f>
        <v>-84854</v>
      </c>
      <c r="H174" s="6">
        <f>+Sheet1!H172*Sheet1!$C$1</f>
        <v>0</v>
      </c>
      <c r="I174" s="6">
        <f>+Sheet1!I172*Sheet1!$C$1</f>
        <v>0</v>
      </c>
    </row>
    <row r="175" spans="1:9" x14ac:dyDescent="0.2">
      <c r="A175" s="11">
        <v>36874</v>
      </c>
      <c r="B175" s="6">
        <f>+Sheet1!B173*Sheet1!$C$1</f>
        <v>-473840</v>
      </c>
      <c r="C175" s="6">
        <f>+Sheet1!C173*Sheet1!$C$1</f>
        <v>-9784</v>
      </c>
      <c r="D175" s="6">
        <f>+Sheet1!D173*Sheet1!$C$1</f>
        <v>-30916</v>
      </c>
      <c r="E175" s="6">
        <f>+Sheet1!E173*Sheet1!$C$1</f>
        <v>0</v>
      </c>
      <c r="F175" s="6">
        <f>+Sheet1!F173*Sheet1!$C$1</f>
        <v>0</v>
      </c>
      <c r="G175" s="6">
        <f>+Sheet1!G173*Sheet1!$C$1</f>
        <v>0</v>
      </c>
      <c r="H175" s="6">
        <f>+Sheet1!H173*Sheet1!$C$1</f>
        <v>-20000</v>
      </c>
      <c r="I175" s="6">
        <f>+Sheet1!I173*Sheet1!$C$1</f>
        <v>-20000</v>
      </c>
    </row>
    <row r="176" spans="1:9" x14ac:dyDescent="0.2">
      <c r="A176" s="11">
        <v>36875</v>
      </c>
      <c r="B176" s="6">
        <f>+Sheet1!B174*Sheet1!$C$1</f>
        <v>-326695</v>
      </c>
      <c r="C176" s="6">
        <f>+Sheet1!C174*Sheet1!$C$1</f>
        <v>1196</v>
      </c>
      <c r="D176" s="6">
        <f>+Sheet1!D174*Sheet1!$C$1</f>
        <v>-84664</v>
      </c>
      <c r="E176" s="6">
        <f>+Sheet1!E174*Sheet1!$C$1</f>
        <v>0</v>
      </c>
      <c r="F176" s="6">
        <f>+Sheet1!F174*Sheet1!$C$1</f>
        <v>0</v>
      </c>
      <c r="G176" s="6">
        <f>+Sheet1!G174*Sheet1!$C$1</f>
        <v>0</v>
      </c>
      <c r="H176" s="6">
        <f>+Sheet1!H174*Sheet1!$C$1</f>
        <v>-20000</v>
      </c>
      <c r="I176" s="6">
        <f>+Sheet1!I174*Sheet1!$C$1</f>
        <v>-20000</v>
      </c>
    </row>
    <row r="177" spans="1:9" x14ac:dyDescent="0.2">
      <c r="A177" s="11">
        <v>36876</v>
      </c>
      <c r="B177" s="6">
        <f>+Sheet1!B175*Sheet1!$C$1</f>
        <v>-383136</v>
      </c>
      <c r="C177" s="6">
        <f>+Sheet1!C175*Sheet1!$C$1</f>
        <v>-450</v>
      </c>
      <c r="D177" s="6">
        <f>+Sheet1!D175*Sheet1!$C$1</f>
        <v>-29514</v>
      </c>
      <c r="E177" s="6">
        <f>+Sheet1!E175*Sheet1!$C$1</f>
        <v>0</v>
      </c>
      <c r="F177" s="6">
        <f>+Sheet1!F175*Sheet1!$C$1</f>
        <v>0</v>
      </c>
      <c r="G177" s="6">
        <f>+Sheet1!G175*Sheet1!$C$1</f>
        <v>0</v>
      </c>
      <c r="H177" s="6">
        <f>+Sheet1!H175*Sheet1!$C$1</f>
        <v>0</v>
      </c>
      <c r="I177" s="6">
        <f>+Sheet1!I175*Sheet1!$C$1</f>
        <v>0</v>
      </c>
    </row>
    <row r="178" spans="1:9" x14ac:dyDescent="0.2">
      <c r="A178" s="11">
        <v>36877</v>
      </c>
      <c r="B178" s="6">
        <f>+Sheet1!B176*Sheet1!$C$1</f>
        <v>-536897</v>
      </c>
      <c r="C178" s="6">
        <f>+Sheet1!C176*Sheet1!$C$1</f>
        <v>-26721</v>
      </c>
      <c r="D178" s="6">
        <f>+Sheet1!D176*Sheet1!$C$1</f>
        <v>-202374</v>
      </c>
      <c r="E178" s="6">
        <f>+Sheet1!E176*Sheet1!$C$1</f>
        <v>0</v>
      </c>
      <c r="F178" s="6">
        <f>+Sheet1!F176*Sheet1!$C$1</f>
        <v>-19000</v>
      </c>
      <c r="G178" s="6">
        <f>+Sheet1!G176*Sheet1!$C$1</f>
        <v>-84854</v>
      </c>
      <c r="H178" s="6">
        <f>+Sheet1!H176*Sheet1!$C$1</f>
        <v>0</v>
      </c>
      <c r="I178" s="6">
        <f>+Sheet1!I176*Sheet1!$C$1</f>
        <v>0</v>
      </c>
    </row>
    <row r="179" spans="1:9" x14ac:dyDescent="0.2">
      <c r="A179" s="11">
        <v>36878</v>
      </c>
      <c r="B179" s="6">
        <f>+Sheet1!B177*Sheet1!$C$1</f>
        <v>-519790</v>
      </c>
      <c r="C179" s="6">
        <f>+Sheet1!C177*Sheet1!$C$1</f>
        <v>-35391</v>
      </c>
      <c r="D179" s="6">
        <f>+Sheet1!D177*Sheet1!$C$1</f>
        <v>-92427</v>
      </c>
      <c r="E179" s="6">
        <f>+Sheet1!E177*Sheet1!$C$1</f>
        <v>0</v>
      </c>
      <c r="F179" s="6">
        <f>+Sheet1!F177*Sheet1!$C$1</f>
        <v>-19000</v>
      </c>
      <c r="G179" s="6">
        <f>+Sheet1!G177*Sheet1!$C$1</f>
        <v>-84854</v>
      </c>
      <c r="H179" s="6">
        <f>+Sheet1!H177*Sheet1!$C$1</f>
        <v>0</v>
      </c>
      <c r="I179" s="6">
        <f>+Sheet1!I177*Sheet1!$C$1</f>
        <v>0</v>
      </c>
    </row>
    <row r="180" spans="1:9" x14ac:dyDescent="0.2">
      <c r="A180" s="11">
        <v>36879</v>
      </c>
      <c r="B180" s="6">
        <f>+Sheet1!B178*Sheet1!$C$1</f>
        <v>-351810</v>
      </c>
      <c r="C180" s="6">
        <f>+Sheet1!C178*Sheet1!$C$1</f>
        <v>-19028</v>
      </c>
      <c r="D180" s="6">
        <f>+Sheet1!D178*Sheet1!$C$1</f>
        <v>-48754</v>
      </c>
      <c r="E180" s="6">
        <f>+Sheet1!E178*Sheet1!$C$1</f>
        <v>0</v>
      </c>
      <c r="F180" s="6">
        <f>+Sheet1!F178*Sheet1!$C$1</f>
        <v>-40000</v>
      </c>
      <c r="G180" s="6">
        <f>+Sheet1!G178*Sheet1!$C$1</f>
        <v>-84854</v>
      </c>
      <c r="H180" s="6">
        <f>+Sheet1!H178*Sheet1!$C$1</f>
        <v>-20000</v>
      </c>
      <c r="I180" s="6">
        <f>+Sheet1!I178*Sheet1!$C$1</f>
        <v>-20000</v>
      </c>
    </row>
    <row r="181" spans="1:9" x14ac:dyDescent="0.2">
      <c r="A181" s="11">
        <v>36880</v>
      </c>
      <c r="B181" s="6">
        <f>+Sheet1!B179*Sheet1!$C$1</f>
        <v>-400950</v>
      </c>
      <c r="C181" s="6">
        <f>+Sheet1!C179*Sheet1!$C$1</f>
        <v>5508</v>
      </c>
      <c r="D181" s="6">
        <f>+Sheet1!D179*Sheet1!$C$1</f>
        <v>-133738</v>
      </c>
      <c r="E181" s="6">
        <f>+Sheet1!E179*Sheet1!$C$1</f>
        <v>0</v>
      </c>
      <c r="F181" s="6">
        <f>+Sheet1!F179*Sheet1!$C$1</f>
        <v>0</v>
      </c>
      <c r="G181" s="6">
        <f>+Sheet1!G179*Sheet1!$C$1</f>
        <v>0</v>
      </c>
      <c r="H181" s="6">
        <f>+Sheet1!H179*Sheet1!$C$1</f>
        <v>-20000</v>
      </c>
      <c r="I181" s="6">
        <f>+Sheet1!I179*Sheet1!$C$1</f>
        <v>-20000</v>
      </c>
    </row>
    <row r="182" spans="1:9" x14ac:dyDescent="0.2">
      <c r="A182" s="11">
        <v>36881</v>
      </c>
      <c r="B182" s="6">
        <f>+Sheet1!B180*Sheet1!$C$1</f>
        <v>-494290</v>
      </c>
      <c r="C182" s="6">
        <f>+Sheet1!C180*Sheet1!$C$1</f>
        <v>-40326</v>
      </c>
      <c r="D182" s="6">
        <f>+Sheet1!D180*Sheet1!$C$1</f>
        <v>-178958</v>
      </c>
      <c r="E182" s="6">
        <f>+Sheet1!E180*Sheet1!$C$1</f>
        <v>0</v>
      </c>
      <c r="F182" s="6">
        <f>+Sheet1!F180*Sheet1!$C$1</f>
        <v>0</v>
      </c>
      <c r="G182" s="6">
        <f>+Sheet1!G180*Sheet1!$C$1</f>
        <v>-55000</v>
      </c>
      <c r="H182" s="6">
        <f>+Sheet1!H180*Sheet1!$C$1</f>
        <v>-20000</v>
      </c>
      <c r="I182" s="6">
        <f>+Sheet1!I180*Sheet1!$C$1</f>
        <v>-20000</v>
      </c>
    </row>
    <row r="183" spans="1:9" x14ac:dyDescent="0.2">
      <c r="A183" s="11">
        <v>36882</v>
      </c>
      <c r="B183" s="6">
        <f>+Sheet1!B181*Sheet1!$C$1</f>
        <v>-394680</v>
      </c>
      <c r="C183" s="6">
        <f>+Sheet1!C181*Sheet1!$C$1</f>
        <v>10381</v>
      </c>
      <c r="D183" s="6">
        <f>+Sheet1!D181*Sheet1!$C$1</f>
        <v>-60000</v>
      </c>
      <c r="E183" s="6">
        <f>+Sheet1!E181*Sheet1!$C$1</f>
        <v>0</v>
      </c>
      <c r="F183" s="6">
        <f>+Sheet1!F181*Sheet1!$C$1</f>
        <v>0</v>
      </c>
      <c r="G183" s="6">
        <f>+Sheet1!G181*Sheet1!$C$1</f>
        <v>0</v>
      </c>
      <c r="H183" s="6">
        <f>+Sheet1!H181*Sheet1!$C$1</f>
        <v>-20000</v>
      </c>
      <c r="I183" s="6">
        <f>+Sheet1!I181*Sheet1!$C$1</f>
        <v>-20000</v>
      </c>
    </row>
    <row r="184" spans="1:9" x14ac:dyDescent="0.2">
      <c r="A184" s="11">
        <v>36883</v>
      </c>
      <c r="B184" s="6">
        <f>+Sheet1!B182*Sheet1!$C$1</f>
        <v>-322820</v>
      </c>
      <c r="C184" s="6">
        <f>+Sheet1!C182*Sheet1!$C$1</f>
        <v>31614</v>
      </c>
      <c r="D184" s="6">
        <f>+Sheet1!D182*Sheet1!$C$1</f>
        <v>-60000</v>
      </c>
      <c r="E184" s="6">
        <f>+Sheet1!E182*Sheet1!$C$1</f>
        <v>0</v>
      </c>
      <c r="F184" s="6">
        <f>+Sheet1!F182*Sheet1!$C$1</f>
        <v>0</v>
      </c>
      <c r="G184" s="6">
        <f>+Sheet1!G182*Sheet1!$C$1</f>
        <v>0</v>
      </c>
      <c r="H184" s="6">
        <f>+Sheet1!H182*Sheet1!$C$1</f>
        <v>-20000</v>
      </c>
      <c r="I184" s="6">
        <f>+Sheet1!I182*Sheet1!$C$1</f>
        <v>-20000</v>
      </c>
    </row>
    <row r="185" spans="1:9" x14ac:dyDescent="0.2">
      <c r="A185" s="11">
        <v>36884</v>
      </c>
      <c r="B185" s="6">
        <f>+Sheet1!B183*Sheet1!$C$1</f>
        <v>-291000</v>
      </c>
      <c r="C185" s="6">
        <f>+Sheet1!C183*Sheet1!$C$1</f>
        <v>29553</v>
      </c>
      <c r="D185" s="6">
        <f>+Sheet1!D183*Sheet1!$C$1</f>
        <v>-60000</v>
      </c>
      <c r="E185" s="6">
        <f>+Sheet1!E183*Sheet1!$C$1</f>
        <v>0</v>
      </c>
      <c r="F185" s="6">
        <f>+Sheet1!F183*Sheet1!$C$1</f>
        <v>0</v>
      </c>
      <c r="G185" s="6">
        <f>+Sheet1!G183*Sheet1!$C$1</f>
        <v>0</v>
      </c>
      <c r="H185" s="6">
        <f>+Sheet1!H183*Sheet1!$C$1</f>
        <v>-20000</v>
      </c>
      <c r="I185" s="6">
        <f>+Sheet1!I183*Sheet1!$C$1</f>
        <v>-20000</v>
      </c>
    </row>
    <row r="186" spans="1:9" x14ac:dyDescent="0.2">
      <c r="A186" s="11">
        <v>36885</v>
      </c>
      <c r="B186" s="6">
        <f>+Sheet1!B184*Sheet1!$C$1</f>
        <v>-234800</v>
      </c>
      <c r="C186" s="6">
        <f>+Sheet1!C184*Sheet1!$C$1</f>
        <v>29732</v>
      </c>
      <c r="D186" s="6">
        <f>+Sheet1!D184*Sheet1!$C$1</f>
        <v>-60000</v>
      </c>
      <c r="E186" s="6">
        <f>+Sheet1!E184*Sheet1!$C$1</f>
        <v>0</v>
      </c>
      <c r="F186" s="6">
        <f>+Sheet1!F184*Sheet1!$C$1</f>
        <v>0</v>
      </c>
      <c r="G186" s="6">
        <f>+Sheet1!G184*Sheet1!$C$1</f>
        <v>24792</v>
      </c>
      <c r="H186" s="6">
        <f>+Sheet1!H184*Sheet1!$C$1</f>
        <v>-20000</v>
      </c>
      <c r="I186" s="6">
        <f>+Sheet1!I184*Sheet1!$C$1</f>
        <v>-20000</v>
      </c>
    </row>
    <row r="187" spans="1:9" x14ac:dyDescent="0.2">
      <c r="A187" s="11">
        <v>36886</v>
      </c>
      <c r="B187" s="6">
        <f>+Sheet1!B185*Sheet1!$C$1</f>
        <v>-192650</v>
      </c>
      <c r="C187" s="6">
        <f>+Sheet1!C185*Sheet1!$C$1</f>
        <v>36357</v>
      </c>
      <c r="D187" s="6">
        <f>+Sheet1!D185*Sheet1!$C$1</f>
        <v>-60000</v>
      </c>
      <c r="E187" s="6">
        <f>+Sheet1!E185*Sheet1!$C$1</f>
        <v>0</v>
      </c>
      <c r="F187" s="6">
        <f>+Sheet1!F185*Sheet1!$C$1</f>
        <v>0</v>
      </c>
      <c r="G187" s="6">
        <f>+Sheet1!G185*Sheet1!$C$1</f>
        <v>0</v>
      </c>
      <c r="H187" s="6">
        <f>+Sheet1!H185*Sheet1!$C$1</f>
        <v>-20000</v>
      </c>
      <c r="I187" s="6">
        <f>+Sheet1!I185*Sheet1!$C$1</f>
        <v>-20000</v>
      </c>
    </row>
    <row r="188" spans="1:9" x14ac:dyDescent="0.2">
      <c r="A188" s="11">
        <v>36887</v>
      </c>
      <c r="B188" s="6">
        <f>+Sheet1!B186*Sheet1!$C$1</f>
        <v>-241610</v>
      </c>
      <c r="C188" s="6">
        <f>+Sheet1!C186*Sheet1!$C$1</f>
        <v>-34485</v>
      </c>
      <c r="D188" s="6">
        <f>+Sheet1!D186*Sheet1!$C$1</f>
        <v>-60000</v>
      </c>
      <c r="E188" s="6">
        <f>+Sheet1!E186*Sheet1!$C$1</f>
        <v>0</v>
      </c>
      <c r="F188" s="6">
        <f>+Sheet1!F186*Sheet1!$C$1</f>
        <v>0</v>
      </c>
      <c r="G188" s="6">
        <f>+Sheet1!G186*Sheet1!$C$1</f>
        <v>0</v>
      </c>
      <c r="H188" s="6">
        <f>+Sheet1!H186*Sheet1!$C$1</f>
        <v>0</v>
      </c>
      <c r="I188" s="6">
        <f>+Sheet1!I186*Sheet1!$C$1</f>
        <v>0</v>
      </c>
    </row>
    <row r="189" spans="1:9" x14ac:dyDescent="0.2">
      <c r="A189" s="11">
        <v>36888</v>
      </c>
      <c r="B189" s="6">
        <f>+Sheet1!B187*Sheet1!$C$1</f>
        <v>-291000</v>
      </c>
      <c r="C189" s="6">
        <f>+Sheet1!C187*Sheet1!$C$1</f>
        <v>0</v>
      </c>
      <c r="D189" s="6">
        <f>+Sheet1!D187*Sheet1!$C$1</f>
        <v>-60000</v>
      </c>
      <c r="E189" s="6">
        <f>+Sheet1!E187*Sheet1!$C$1</f>
        <v>0</v>
      </c>
      <c r="F189" s="6">
        <f>+Sheet1!F187*Sheet1!$C$1</f>
        <v>0</v>
      </c>
      <c r="G189" s="6">
        <f>+Sheet1!G187*Sheet1!$C$1</f>
        <v>0</v>
      </c>
      <c r="H189" s="6">
        <f>+Sheet1!H187*Sheet1!$C$1</f>
        <v>0</v>
      </c>
      <c r="I189" s="6">
        <f>+Sheet1!I187*Sheet1!$C$1</f>
        <v>0</v>
      </c>
    </row>
    <row r="190" spans="1:9" x14ac:dyDescent="0.2">
      <c r="A190" s="11">
        <v>36889</v>
      </c>
      <c r="B190" s="6">
        <f>+Sheet1!B188*Sheet1!$C$1</f>
        <v>-241000</v>
      </c>
      <c r="C190" s="6">
        <f>+Sheet1!C188*Sheet1!$C$1</f>
        <v>0</v>
      </c>
      <c r="D190" s="6">
        <f>+Sheet1!D188*Sheet1!$C$1</f>
        <v>-60000</v>
      </c>
      <c r="E190" s="6">
        <f>+Sheet1!E188*Sheet1!$C$1</f>
        <v>0</v>
      </c>
      <c r="F190" s="6">
        <f>+Sheet1!F188*Sheet1!$C$1</f>
        <v>0</v>
      </c>
      <c r="G190" s="6">
        <f>+Sheet1!G188*Sheet1!$C$1</f>
        <v>0</v>
      </c>
      <c r="H190" s="6">
        <f>+Sheet1!H188*Sheet1!$C$1</f>
        <v>0</v>
      </c>
      <c r="I190" s="6">
        <f>+Sheet1!I188*Sheet1!$C$1</f>
        <v>0</v>
      </c>
    </row>
    <row r="191" spans="1:9" x14ac:dyDescent="0.2">
      <c r="A191" s="11">
        <v>36890</v>
      </c>
      <c r="B191" s="6">
        <f>+Sheet1!B189*Sheet1!$C$1</f>
        <v>-291000</v>
      </c>
      <c r="C191" s="6">
        <f>+Sheet1!C189*Sheet1!$C$1</f>
        <v>0</v>
      </c>
      <c r="D191" s="6">
        <f>+Sheet1!D189*Sheet1!$C$1</f>
        <v>-60000</v>
      </c>
      <c r="E191" s="6">
        <f>+Sheet1!E189*Sheet1!$C$1</f>
        <v>0</v>
      </c>
      <c r="F191" s="6">
        <f>+Sheet1!F189*Sheet1!$C$1</f>
        <v>0</v>
      </c>
      <c r="G191" s="6">
        <f>+Sheet1!G189*Sheet1!$C$1</f>
        <v>0</v>
      </c>
      <c r="H191" s="6">
        <f>+Sheet1!H189*Sheet1!$C$1</f>
        <v>0</v>
      </c>
      <c r="I191" s="6">
        <f>+Sheet1!I189*Sheet1!$C$1</f>
        <v>0</v>
      </c>
    </row>
    <row r="192" spans="1:9" x14ac:dyDescent="0.2">
      <c r="A192" s="11">
        <v>36891</v>
      </c>
      <c r="B192" s="6">
        <f>+Sheet1!B190*Sheet1!$C$1</f>
        <v>-391000</v>
      </c>
      <c r="C192" s="6">
        <f>+Sheet1!C190*Sheet1!$C$1</f>
        <v>0</v>
      </c>
      <c r="D192" s="6">
        <f>+Sheet1!D190*Sheet1!$C$1</f>
        <v>-60000</v>
      </c>
      <c r="E192" s="6">
        <f>+Sheet1!E190*Sheet1!$C$1</f>
        <v>0</v>
      </c>
      <c r="F192" s="6">
        <f>+Sheet1!F190*Sheet1!$C$1</f>
        <v>0</v>
      </c>
      <c r="G192" s="6">
        <f>+Sheet1!G190*Sheet1!$C$1</f>
        <v>0</v>
      </c>
      <c r="H192" s="6">
        <f>+Sheet1!H190*Sheet1!$C$1</f>
        <v>0</v>
      </c>
      <c r="I192" s="6">
        <f>+Sheet1!I190*Sheet1!$C$1</f>
        <v>0</v>
      </c>
    </row>
    <row r="193" spans="1:9" x14ac:dyDescent="0.2">
      <c r="A193" s="11">
        <v>36892</v>
      </c>
      <c r="B193" s="6">
        <f>+Sheet1!B191*Sheet1!$C$1</f>
        <v>-349483</v>
      </c>
      <c r="C193" s="6">
        <f>+Sheet1!C191*Sheet1!$C$1</f>
        <v>-1885</v>
      </c>
      <c r="D193" s="6">
        <f>+Sheet1!D191*Sheet1!$C$1</f>
        <v>-33090</v>
      </c>
      <c r="E193" s="6">
        <f>+Sheet1!E191*Sheet1!$C$1</f>
        <v>0</v>
      </c>
      <c r="F193" s="6">
        <f>+Sheet1!F191*Sheet1!$C$1</f>
        <v>0</v>
      </c>
      <c r="G193" s="6">
        <f>+Sheet1!G191*Sheet1!$C$1</f>
        <v>0</v>
      </c>
      <c r="H193" s="6">
        <f>+Sheet1!H191*Sheet1!$C$1</f>
        <v>-9677</v>
      </c>
      <c r="I193" s="6">
        <f>+Sheet1!I191*Sheet1!$C$1</f>
        <v>0</v>
      </c>
    </row>
    <row r="194" spans="1:9" x14ac:dyDescent="0.2">
      <c r="A194" s="11">
        <v>36893</v>
      </c>
      <c r="B194" s="6">
        <f>+Sheet1!B192*Sheet1!$C$1</f>
        <v>-264340</v>
      </c>
      <c r="C194" s="6">
        <f>+Sheet1!C192*Sheet1!$C$1</f>
        <v>5453</v>
      </c>
      <c r="D194" s="6">
        <f>+Sheet1!D192*Sheet1!$C$1</f>
        <v>-195231</v>
      </c>
      <c r="E194" s="6">
        <f>+Sheet1!E192*Sheet1!$C$1</f>
        <v>0</v>
      </c>
      <c r="F194" s="6">
        <f>+Sheet1!F192*Sheet1!$C$1</f>
        <v>0</v>
      </c>
      <c r="G194" s="6">
        <f>+Sheet1!G192*Sheet1!$C$1</f>
        <v>0</v>
      </c>
      <c r="H194" s="6">
        <f>+Sheet1!H192*Sheet1!$C$1</f>
        <v>-9677</v>
      </c>
      <c r="I194" s="6">
        <f>+Sheet1!I192*Sheet1!$C$1</f>
        <v>0</v>
      </c>
    </row>
    <row r="195" spans="1:9" x14ac:dyDescent="0.2">
      <c r="A195" s="11">
        <v>36894</v>
      </c>
      <c r="B195" s="6">
        <f>+Sheet1!B193*Sheet1!$C$1</f>
        <v>-455024</v>
      </c>
      <c r="C195" s="6">
        <f>+Sheet1!C193*Sheet1!$C$1</f>
        <v>-40360</v>
      </c>
      <c r="D195" s="6">
        <f>+Sheet1!D193*Sheet1!$C$1</f>
        <v>-72571</v>
      </c>
      <c r="E195" s="6">
        <f>+Sheet1!E193*Sheet1!$C$1</f>
        <v>0</v>
      </c>
      <c r="F195" s="6">
        <f>+Sheet1!F193*Sheet1!$C$1</f>
        <v>0</v>
      </c>
      <c r="G195" s="6">
        <f>+Sheet1!G193*Sheet1!$C$1</f>
        <v>0</v>
      </c>
      <c r="H195" s="6">
        <f>+Sheet1!H193*Sheet1!$C$1</f>
        <v>-9677</v>
      </c>
      <c r="I195" s="6">
        <f>+Sheet1!I193*Sheet1!$C$1</f>
        <v>0</v>
      </c>
    </row>
    <row r="196" spans="1:9" x14ac:dyDescent="0.2">
      <c r="A196" s="11">
        <v>36895</v>
      </c>
      <c r="B196" s="6">
        <f>+Sheet1!B194*Sheet1!$C$1</f>
        <v>-389127</v>
      </c>
      <c r="C196" s="6">
        <f>+Sheet1!C194*Sheet1!$C$1</f>
        <v>-36717</v>
      </c>
      <c r="D196" s="6">
        <f>+Sheet1!D194*Sheet1!$C$1</f>
        <v>-45478</v>
      </c>
      <c r="E196" s="6">
        <f>+Sheet1!E194*Sheet1!$C$1</f>
        <v>0</v>
      </c>
      <c r="F196" s="6">
        <f>+Sheet1!F194*Sheet1!$C$1</f>
        <v>0</v>
      </c>
      <c r="G196" s="6">
        <f>+Sheet1!G194*Sheet1!$C$1</f>
        <v>0</v>
      </c>
      <c r="H196" s="6">
        <f>+Sheet1!H194*Sheet1!$C$1</f>
        <v>-9677</v>
      </c>
      <c r="I196" s="6">
        <f>+Sheet1!I194*Sheet1!$C$1</f>
        <v>0</v>
      </c>
    </row>
    <row r="197" spans="1:9" x14ac:dyDescent="0.2">
      <c r="A197" s="11">
        <v>36896</v>
      </c>
      <c r="B197" s="6">
        <f>+Sheet1!B195*Sheet1!$C$1</f>
        <v>-401816</v>
      </c>
      <c r="C197" s="6">
        <f>+Sheet1!C195*Sheet1!$C$1</f>
        <v>-119</v>
      </c>
      <c r="D197" s="6">
        <f>+Sheet1!D195*Sheet1!$C$1</f>
        <v>0</v>
      </c>
      <c r="E197" s="6">
        <f>+Sheet1!E195*Sheet1!$C$1</f>
        <v>0</v>
      </c>
      <c r="F197" s="6">
        <f>+Sheet1!F195*Sheet1!$C$1</f>
        <v>1960</v>
      </c>
      <c r="G197" s="6">
        <f>+Sheet1!G195*Sheet1!$C$1</f>
        <v>0</v>
      </c>
      <c r="H197" s="6">
        <f>+Sheet1!H195*Sheet1!$C$1</f>
        <v>-9677</v>
      </c>
      <c r="I197" s="6">
        <f>+Sheet1!I195*Sheet1!$C$1</f>
        <v>0</v>
      </c>
    </row>
    <row r="198" spans="1:9" x14ac:dyDescent="0.2">
      <c r="A198" s="11">
        <v>36897</v>
      </c>
      <c r="B198" s="6">
        <f>+Sheet1!B196*Sheet1!$C$1</f>
        <v>-216082</v>
      </c>
      <c r="C198" s="6">
        <f>+Sheet1!C196*Sheet1!$C$1</f>
        <v>-350</v>
      </c>
      <c r="D198" s="6">
        <f>+Sheet1!D196*Sheet1!$C$1</f>
        <v>-21523</v>
      </c>
      <c r="E198" s="6">
        <f>+Sheet1!E196*Sheet1!$C$1</f>
        <v>0</v>
      </c>
      <c r="F198" s="6">
        <f>+Sheet1!F196*Sheet1!$C$1</f>
        <v>0</v>
      </c>
      <c r="G198" s="6">
        <f>+Sheet1!G196*Sheet1!$C$1</f>
        <v>0</v>
      </c>
      <c r="H198" s="6">
        <f>+Sheet1!H196*Sheet1!$C$1</f>
        <v>-9677</v>
      </c>
      <c r="I198" s="6">
        <f>+Sheet1!I196*Sheet1!$C$1</f>
        <v>0</v>
      </c>
    </row>
    <row r="199" spans="1:9" x14ac:dyDescent="0.2">
      <c r="A199" s="11">
        <v>36898</v>
      </c>
      <c r="B199" s="6">
        <f>+Sheet1!B197*Sheet1!$C$1</f>
        <v>-289561</v>
      </c>
      <c r="C199" s="6">
        <f>+Sheet1!C197*Sheet1!$C$1</f>
        <v>-16884</v>
      </c>
      <c r="D199" s="6">
        <f>+Sheet1!D197*Sheet1!$C$1</f>
        <v>-64968</v>
      </c>
      <c r="E199" s="6">
        <f>+Sheet1!E197*Sheet1!$C$1</f>
        <v>0</v>
      </c>
      <c r="F199" s="6">
        <f>+Sheet1!F197*Sheet1!$C$1</f>
        <v>0</v>
      </c>
      <c r="G199" s="6">
        <f>+Sheet1!G197*Sheet1!$C$1</f>
        <v>0</v>
      </c>
      <c r="H199" s="6">
        <f>+Sheet1!H197*Sheet1!$C$1</f>
        <v>-9677</v>
      </c>
      <c r="I199" s="6">
        <f>+Sheet1!I197*Sheet1!$C$1</f>
        <v>0</v>
      </c>
    </row>
    <row r="200" spans="1:9" x14ac:dyDescent="0.2">
      <c r="A200" s="11">
        <v>36899</v>
      </c>
      <c r="B200" s="6">
        <f>+Sheet1!B198*Sheet1!$C$1</f>
        <v>-374560</v>
      </c>
      <c r="C200" s="6">
        <f>+Sheet1!C198*Sheet1!$C$1</f>
        <v>-36107</v>
      </c>
      <c r="D200" s="6">
        <f>+Sheet1!D198*Sheet1!$C$1</f>
        <v>-89788</v>
      </c>
      <c r="E200" s="6">
        <f>+Sheet1!E198*Sheet1!$C$1</f>
        <v>0</v>
      </c>
      <c r="F200" s="6">
        <f>+Sheet1!F198*Sheet1!$C$1</f>
        <v>0</v>
      </c>
      <c r="G200" s="6">
        <f>+Sheet1!G198*Sheet1!$C$1</f>
        <v>0</v>
      </c>
      <c r="H200" s="6">
        <f>+Sheet1!H198*Sheet1!$C$1</f>
        <v>-9677</v>
      </c>
      <c r="I200" s="6">
        <f>+Sheet1!I198*Sheet1!$C$1</f>
        <v>0</v>
      </c>
    </row>
    <row r="201" spans="1:9" x14ac:dyDescent="0.2">
      <c r="A201" s="11">
        <v>36900</v>
      </c>
      <c r="B201" s="6">
        <f>+Sheet1!B199*Sheet1!$C$1</f>
        <v>-434710</v>
      </c>
      <c r="C201" s="6">
        <f>+Sheet1!C199*Sheet1!$C$1</f>
        <v>-11532</v>
      </c>
      <c r="D201" s="6">
        <f>+Sheet1!D199*Sheet1!$C$1</f>
        <v>-121606</v>
      </c>
      <c r="E201" s="6">
        <f>+Sheet1!E199*Sheet1!$C$1</f>
        <v>0</v>
      </c>
      <c r="F201" s="6">
        <f>+Sheet1!F199*Sheet1!$C$1</f>
        <v>0</v>
      </c>
      <c r="G201" s="6">
        <f>+Sheet1!G199*Sheet1!$C$1</f>
        <v>0</v>
      </c>
      <c r="H201" s="6">
        <f>+Sheet1!H199*Sheet1!$C$1</f>
        <v>-9677</v>
      </c>
      <c r="I201" s="6">
        <f>+Sheet1!I199*Sheet1!$C$1</f>
        <v>0</v>
      </c>
    </row>
    <row r="202" spans="1:9" x14ac:dyDescent="0.2">
      <c r="A202" s="11">
        <v>36901</v>
      </c>
      <c r="B202" s="6">
        <f>+Sheet1!B200*Sheet1!$C$1</f>
        <v>-312020</v>
      </c>
      <c r="C202" s="6">
        <f>+Sheet1!C200*Sheet1!$C$1</f>
        <v>-11</v>
      </c>
      <c r="D202" s="6">
        <f>+Sheet1!D200*Sheet1!$C$1</f>
        <v>-95920</v>
      </c>
      <c r="E202" s="6">
        <f>+Sheet1!E200*Sheet1!$C$1</f>
        <v>0</v>
      </c>
      <c r="F202" s="6">
        <f>+Sheet1!F200*Sheet1!$C$1</f>
        <v>0</v>
      </c>
      <c r="G202" s="6">
        <f>+Sheet1!G200*Sheet1!$C$1</f>
        <v>0</v>
      </c>
      <c r="H202" s="6">
        <f>+Sheet1!H200*Sheet1!$C$1</f>
        <v>-9677</v>
      </c>
      <c r="I202" s="6">
        <f>+Sheet1!I200*Sheet1!$C$1</f>
        <v>0</v>
      </c>
    </row>
    <row r="203" spans="1:9" x14ac:dyDescent="0.2">
      <c r="A203" s="11">
        <v>36902</v>
      </c>
      <c r="B203" s="6">
        <f>+Sheet1!B201*Sheet1!$C$1</f>
        <v>-250759</v>
      </c>
      <c r="C203" s="6">
        <f>+Sheet1!C201*Sheet1!$C$1</f>
        <v>9815</v>
      </c>
      <c r="D203" s="6">
        <f>+Sheet1!D201*Sheet1!$C$1</f>
        <v>-63035</v>
      </c>
      <c r="E203" s="6">
        <f>+Sheet1!E201*Sheet1!$C$1</f>
        <v>0</v>
      </c>
      <c r="F203" s="6">
        <f>+Sheet1!F201*Sheet1!$C$1</f>
        <v>0</v>
      </c>
      <c r="G203" s="6">
        <f>+Sheet1!G201*Sheet1!$C$1</f>
        <v>10102</v>
      </c>
      <c r="H203" s="6">
        <f>+Sheet1!H201*Sheet1!$C$1</f>
        <v>-9677</v>
      </c>
      <c r="I203" s="6">
        <f>+Sheet1!I201*Sheet1!$C$1</f>
        <v>0</v>
      </c>
    </row>
    <row r="204" spans="1:9" x14ac:dyDescent="0.2">
      <c r="A204" s="11">
        <v>36903</v>
      </c>
      <c r="B204" s="6">
        <f>+Sheet1!B202*Sheet1!$C$1</f>
        <v>-269910</v>
      </c>
      <c r="C204" s="6">
        <f>+Sheet1!C202*Sheet1!$C$1</f>
        <v>9834</v>
      </c>
      <c r="D204" s="6">
        <f>+Sheet1!D202*Sheet1!$C$1</f>
        <v>0</v>
      </c>
      <c r="E204" s="6">
        <f>+Sheet1!E202*Sheet1!$C$1</f>
        <v>0</v>
      </c>
      <c r="F204" s="6">
        <f>+Sheet1!F202*Sheet1!$C$1</f>
        <v>7014</v>
      </c>
      <c r="G204" s="6">
        <f>+Sheet1!G202*Sheet1!$C$1</f>
        <v>10102</v>
      </c>
      <c r="H204" s="6">
        <f>+Sheet1!H202*Sheet1!$C$1</f>
        <v>-9677</v>
      </c>
      <c r="I204" s="6">
        <f>+Sheet1!I202*Sheet1!$C$1</f>
        <v>0</v>
      </c>
    </row>
    <row r="205" spans="1:9" x14ac:dyDescent="0.2">
      <c r="A205" s="11">
        <v>36904</v>
      </c>
      <c r="B205" s="6">
        <f>+Sheet1!B203*Sheet1!$C$1</f>
        <v>-207631</v>
      </c>
      <c r="C205" s="6">
        <f>+Sheet1!C203*Sheet1!$C$1</f>
        <v>16431</v>
      </c>
      <c r="D205" s="6">
        <f>+Sheet1!D203*Sheet1!$C$1</f>
        <v>-36102</v>
      </c>
      <c r="E205" s="6">
        <f>+Sheet1!E203*Sheet1!$C$1</f>
        <v>0</v>
      </c>
      <c r="F205" s="6">
        <f>+Sheet1!F203*Sheet1!$C$1</f>
        <v>0</v>
      </c>
      <c r="G205" s="6">
        <f>+Sheet1!G203*Sheet1!$C$1</f>
        <v>5538</v>
      </c>
      <c r="H205" s="6">
        <f>+Sheet1!H203*Sheet1!$C$1</f>
        <v>-9677</v>
      </c>
      <c r="I205" s="6">
        <f>+Sheet1!I203*Sheet1!$C$1</f>
        <v>0</v>
      </c>
    </row>
    <row r="206" spans="1:9" x14ac:dyDescent="0.2">
      <c r="A206" s="11">
        <v>36905</v>
      </c>
      <c r="B206" s="6">
        <f>+Sheet1!B204*Sheet1!$C$1</f>
        <v>-242687</v>
      </c>
      <c r="C206" s="6">
        <f>+Sheet1!C204*Sheet1!$C$1</f>
        <v>16495</v>
      </c>
      <c r="D206" s="6">
        <f>+Sheet1!D204*Sheet1!$C$1</f>
        <v>0</v>
      </c>
      <c r="E206" s="6">
        <f>+Sheet1!E204*Sheet1!$C$1</f>
        <v>0</v>
      </c>
      <c r="F206" s="6">
        <f>+Sheet1!F204*Sheet1!$C$1</f>
        <v>20434</v>
      </c>
      <c r="G206" s="6">
        <f>+Sheet1!G204*Sheet1!$C$1</f>
        <v>5538</v>
      </c>
      <c r="H206" s="6">
        <f>+Sheet1!H204*Sheet1!$C$1</f>
        <v>-9677</v>
      </c>
      <c r="I206" s="6">
        <f>+Sheet1!I204*Sheet1!$C$1</f>
        <v>0</v>
      </c>
    </row>
    <row r="207" spans="1:9" x14ac:dyDescent="0.2">
      <c r="A207" s="11">
        <v>36906</v>
      </c>
      <c r="B207" s="6">
        <f>+Sheet1!B205*Sheet1!$C$1</f>
        <v>-304999</v>
      </c>
      <c r="C207" s="6">
        <f>+Sheet1!C205*Sheet1!$C$1</f>
        <v>16655</v>
      </c>
      <c r="D207" s="6">
        <f>+Sheet1!D205*Sheet1!$C$1</f>
        <v>-6820</v>
      </c>
      <c r="E207" s="6">
        <f>+Sheet1!E205*Sheet1!$C$1</f>
        <v>0</v>
      </c>
      <c r="F207" s="6">
        <f>+Sheet1!F205*Sheet1!$C$1</f>
        <v>0</v>
      </c>
      <c r="G207" s="6">
        <f>+Sheet1!G205*Sheet1!$C$1</f>
        <v>5538</v>
      </c>
      <c r="H207" s="6">
        <f>+Sheet1!H205*Sheet1!$C$1</f>
        <v>-9677</v>
      </c>
      <c r="I207" s="6">
        <f>+Sheet1!I205*Sheet1!$C$1</f>
        <v>0</v>
      </c>
    </row>
    <row r="208" spans="1:9" x14ac:dyDescent="0.2">
      <c r="A208" s="11">
        <v>36907</v>
      </c>
      <c r="B208" s="6">
        <f>+Sheet1!B206*Sheet1!$C$1</f>
        <v>-382307</v>
      </c>
      <c r="C208" s="6">
        <f>+Sheet1!C206*Sheet1!$C$1</f>
        <v>16655</v>
      </c>
      <c r="D208" s="6">
        <f>+Sheet1!D206*Sheet1!$C$1</f>
        <v>1273</v>
      </c>
      <c r="E208" s="6">
        <f>+Sheet1!E206*Sheet1!$C$1</f>
        <v>0</v>
      </c>
      <c r="F208" s="6">
        <f>+Sheet1!F206*Sheet1!$C$1</f>
        <v>0</v>
      </c>
      <c r="G208" s="6">
        <f>+Sheet1!G206*Sheet1!$C$1</f>
        <v>5538</v>
      </c>
      <c r="H208" s="6">
        <f>+Sheet1!H206*Sheet1!$C$1</f>
        <v>-9677</v>
      </c>
      <c r="I208" s="6">
        <f>+Sheet1!I206*Sheet1!$C$1</f>
        <v>0</v>
      </c>
    </row>
    <row r="209" spans="1:9" x14ac:dyDescent="0.2">
      <c r="A209" s="11">
        <v>36908</v>
      </c>
      <c r="B209" s="6">
        <f>+Sheet1!B207*Sheet1!$C$1</f>
        <v>-357940</v>
      </c>
      <c r="C209" s="6">
        <f>+Sheet1!C207*Sheet1!$C$1</f>
        <v>9834</v>
      </c>
      <c r="D209" s="6">
        <f>+Sheet1!D207*Sheet1!$C$1</f>
        <v>-43928</v>
      </c>
      <c r="E209" s="6">
        <f>+Sheet1!E207*Sheet1!$C$1</f>
        <v>0</v>
      </c>
      <c r="F209" s="6">
        <f>+Sheet1!F207*Sheet1!$C$1</f>
        <v>0</v>
      </c>
      <c r="G209" s="6">
        <f>+Sheet1!G207*Sheet1!$C$1</f>
        <v>0</v>
      </c>
      <c r="H209" s="6">
        <f>+Sheet1!H207*Sheet1!$C$1</f>
        <v>-9677</v>
      </c>
      <c r="I209" s="6">
        <f>+Sheet1!I207*Sheet1!$C$1</f>
        <v>0</v>
      </c>
    </row>
    <row r="210" spans="1:9" x14ac:dyDescent="0.2">
      <c r="A210" s="11">
        <v>36909</v>
      </c>
      <c r="B210" s="6">
        <f>+Sheet1!B208*Sheet1!$C$1</f>
        <v>-388045</v>
      </c>
      <c r="C210" s="6">
        <f>+Sheet1!C208*Sheet1!$C$1</f>
        <v>559</v>
      </c>
      <c r="D210" s="6">
        <f>+Sheet1!D208*Sheet1!$C$1</f>
        <v>-71172</v>
      </c>
      <c r="E210" s="6">
        <f>+Sheet1!E208*Sheet1!$C$1</f>
        <v>0</v>
      </c>
      <c r="F210" s="6">
        <f>+Sheet1!F208*Sheet1!$C$1</f>
        <v>0</v>
      </c>
      <c r="G210" s="6">
        <f>+Sheet1!G208*Sheet1!$C$1</f>
        <v>0</v>
      </c>
      <c r="H210" s="6">
        <f>+Sheet1!H208*Sheet1!$C$1</f>
        <v>-9677</v>
      </c>
      <c r="I210" s="6">
        <f>+Sheet1!I208*Sheet1!$C$1</f>
        <v>0</v>
      </c>
    </row>
    <row r="211" spans="1:9" x14ac:dyDescent="0.2">
      <c r="A211" s="11">
        <v>36910</v>
      </c>
      <c r="B211" s="6">
        <f>+Sheet1!B209*Sheet1!$C$1</f>
        <v>-412840</v>
      </c>
      <c r="C211" s="6">
        <f>+Sheet1!C209*Sheet1!$C$1</f>
        <v>-35411</v>
      </c>
      <c r="D211" s="6">
        <f>+Sheet1!D209*Sheet1!$C$1</f>
        <v>-81247</v>
      </c>
      <c r="E211" s="6">
        <f>+Sheet1!E209*Sheet1!$C$1</f>
        <v>-45000</v>
      </c>
      <c r="F211" s="6">
        <f>+Sheet1!F209*Sheet1!$C$1</f>
        <v>-29190</v>
      </c>
      <c r="G211" s="6">
        <f>+Sheet1!G209*Sheet1!$C$1</f>
        <v>-84854</v>
      </c>
      <c r="H211" s="6">
        <f>+Sheet1!H209*Sheet1!$C$1</f>
        <v>0</v>
      </c>
      <c r="I211" s="6">
        <f>+Sheet1!I209*Sheet1!$C$1</f>
        <v>0</v>
      </c>
    </row>
    <row r="212" spans="1:9" x14ac:dyDescent="0.2">
      <c r="A212" s="11">
        <v>36911</v>
      </c>
      <c r="B212" s="6">
        <f>+Sheet1!B210*Sheet1!$C$1</f>
        <v>-476087</v>
      </c>
      <c r="C212" s="6">
        <f>+Sheet1!C210*Sheet1!$C$1</f>
        <v>-140</v>
      </c>
      <c r="D212" s="6">
        <f>+Sheet1!D210*Sheet1!$C$1</f>
        <v>-27227</v>
      </c>
      <c r="E212" s="6">
        <f>+Sheet1!E210*Sheet1!$C$1</f>
        <v>0</v>
      </c>
      <c r="F212" s="6">
        <f>+Sheet1!F210*Sheet1!$C$1</f>
        <v>0</v>
      </c>
      <c r="G212" s="6">
        <f>+Sheet1!G210*Sheet1!$C$1</f>
        <v>0</v>
      </c>
      <c r="H212" s="6">
        <f>+Sheet1!H210*Sheet1!$C$1</f>
        <v>0</v>
      </c>
      <c r="I212" s="6">
        <f>+Sheet1!I210*Sheet1!$C$1</f>
        <v>0</v>
      </c>
    </row>
    <row r="213" spans="1:9" x14ac:dyDescent="0.2">
      <c r="A213" s="11">
        <v>36912</v>
      </c>
      <c r="B213" s="6">
        <f>+Sheet1!B211*Sheet1!$C$1</f>
        <v>-473010</v>
      </c>
      <c r="C213" s="6">
        <f>+Sheet1!C211*Sheet1!$C$1</f>
        <v>-9</v>
      </c>
      <c r="D213" s="6">
        <f>+Sheet1!D211*Sheet1!$C$1</f>
        <v>-48266</v>
      </c>
      <c r="E213" s="6">
        <f>+Sheet1!E211*Sheet1!$C$1</f>
        <v>0</v>
      </c>
      <c r="F213" s="6">
        <f>+Sheet1!F211*Sheet1!$C$1</f>
        <v>0</v>
      </c>
      <c r="G213" s="6">
        <f>+Sheet1!G211*Sheet1!$C$1</f>
        <v>0</v>
      </c>
      <c r="H213" s="6">
        <f>+Sheet1!H211*Sheet1!$C$1</f>
        <v>0</v>
      </c>
      <c r="I213" s="6">
        <f>+Sheet1!I211*Sheet1!$C$1</f>
        <v>0</v>
      </c>
    </row>
    <row r="214" spans="1:9" x14ac:dyDescent="0.2">
      <c r="A214" s="11">
        <v>36913</v>
      </c>
      <c r="B214" s="6">
        <f>+Sheet1!B212*Sheet1!$C$1</f>
        <v>-346314</v>
      </c>
      <c r="C214" s="6">
        <f>+Sheet1!C212*Sheet1!$C$1</f>
        <v>-13</v>
      </c>
      <c r="D214" s="6">
        <f>+Sheet1!D212*Sheet1!$C$1</f>
        <v>-82638</v>
      </c>
      <c r="E214" s="6">
        <f>+Sheet1!E212*Sheet1!$C$1</f>
        <v>0</v>
      </c>
      <c r="F214" s="6">
        <f>+Sheet1!F212*Sheet1!$C$1</f>
        <v>0</v>
      </c>
      <c r="G214" s="6">
        <f>+Sheet1!G212*Sheet1!$C$1</f>
        <v>0</v>
      </c>
      <c r="H214" s="6">
        <f>+Sheet1!H212*Sheet1!$C$1</f>
        <v>0</v>
      </c>
      <c r="I214" s="6">
        <f>+Sheet1!I212*Sheet1!$C$1</f>
        <v>0</v>
      </c>
    </row>
    <row r="215" spans="1:9" x14ac:dyDescent="0.2">
      <c r="A215" s="11">
        <v>36914</v>
      </c>
      <c r="B215" s="6">
        <f>+Sheet1!B213*Sheet1!$C$1</f>
        <v>-348880</v>
      </c>
      <c r="C215" s="6">
        <f>+Sheet1!C213*Sheet1!$C$1</f>
        <v>13</v>
      </c>
      <c r="D215" s="6">
        <f>+Sheet1!D213*Sheet1!$C$1</f>
        <v>-16985</v>
      </c>
      <c r="E215" s="6">
        <f>+Sheet1!E213*Sheet1!$C$1</f>
        <v>0</v>
      </c>
      <c r="F215" s="6">
        <f>+Sheet1!F213*Sheet1!$C$1</f>
        <v>0</v>
      </c>
      <c r="G215" s="6">
        <f>+Sheet1!G213*Sheet1!$C$1</f>
        <v>0</v>
      </c>
      <c r="H215" s="6">
        <f>+Sheet1!H213*Sheet1!$C$1</f>
        <v>0</v>
      </c>
      <c r="I215" s="6">
        <f>+Sheet1!I213*Sheet1!$C$1</f>
        <v>0</v>
      </c>
    </row>
    <row r="216" spans="1:9" x14ac:dyDescent="0.2">
      <c r="A216" s="11">
        <v>36915</v>
      </c>
      <c r="B216" s="6">
        <f>+Sheet1!B214*Sheet1!$C$1</f>
        <v>-426524</v>
      </c>
      <c r="C216" s="6">
        <f>+Sheet1!C214*Sheet1!$C$1</f>
        <v>-1993</v>
      </c>
      <c r="D216" s="6">
        <f>+Sheet1!D214*Sheet1!$C$1</f>
        <v>-45782</v>
      </c>
      <c r="E216" s="6">
        <f>+Sheet1!E214*Sheet1!$C$1</f>
        <v>0</v>
      </c>
      <c r="F216" s="6">
        <f>+Sheet1!F214*Sheet1!$C$1</f>
        <v>0</v>
      </c>
      <c r="G216" s="6">
        <f>+Sheet1!G214*Sheet1!$C$1</f>
        <v>0</v>
      </c>
      <c r="H216" s="6">
        <f>+Sheet1!H214*Sheet1!$C$1</f>
        <v>0</v>
      </c>
      <c r="I216" s="6">
        <f>+Sheet1!I214*Sheet1!$C$1</f>
        <v>-20000</v>
      </c>
    </row>
    <row r="217" spans="1:9" x14ac:dyDescent="0.2">
      <c r="A217" s="11">
        <v>36916</v>
      </c>
      <c r="B217" s="6">
        <f>+Sheet1!B215*Sheet1!$C$1</f>
        <v>-327466</v>
      </c>
      <c r="C217" s="6">
        <f>+Sheet1!C215*Sheet1!$C$1</f>
        <v>1945</v>
      </c>
      <c r="D217" s="6">
        <f>+Sheet1!D215*Sheet1!$C$1</f>
        <v>-99848</v>
      </c>
      <c r="E217" s="6">
        <f>+Sheet1!E215*Sheet1!$C$1</f>
        <v>0</v>
      </c>
      <c r="F217" s="6">
        <f>+Sheet1!F215*Sheet1!$C$1</f>
        <v>0</v>
      </c>
      <c r="G217" s="6">
        <f>+Sheet1!G215*Sheet1!$C$1</f>
        <v>0</v>
      </c>
      <c r="H217" s="6">
        <f>+Sheet1!H215*Sheet1!$C$1</f>
        <v>0</v>
      </c>
      <c r="I217" s="6">
        <f>+Sheet1!I215*Sheet1!$C$1</f>
        <v>0</v>
      </c>
    </row>
    <row r="218" spans="1:9" x14ac:dyDescent="0.2">
      <c r="A218" s="11">
        <v>36917</v>
      </c>
      <c r="B218" s="6">
        <f>+Sheet1!B216*Sheet1!$C$1</f>
        <v>-326640</v>
      </c>
      <c r="C218" s="6">
        <f>+Sheet1!C216*Sheet1!$C$1</f>
        <v>37</v>
      </c>
      <c r="D218" s="6">
        <f>+Sheet1!D216*Sheet1!$C$1</f>
        <v>-53687</v>
      </c>
      <c r="E218" s="6">
        <f>+Sheet1!E216*Sheet1!$C$1</f>
        <v>0</v>
      </c>
      <c r="F218" s="6">
        <f>+Sheet1!F216*Sheet1!$C$1</f>
        <v>0</v>
      </c>
      <c r="G218" s="6">
        <f>+Sheet1!G216*Sheet1!$C$1</f>
        <v>0</v>
      </c>
      <c r="H218" s="6">
        <f>+Sheet1!H216*Sheet1!$C$1</f>
        <v>0</v>
      </c>
      <c r="I218" s="6">
        <f>+Sheet1!I216*Sheet1!$C$1</f>
        <v>0</v>
      </c>
    </row>
    <row r="219" spans="1:9" x14ac:dyDescent="0.2">
      <c r="A219" s="11">
        <v>36918</v>
      </c>
      <c r="B219" s="6">
        <f>+Sheet1!B217*Sheet1!$C$1</f>
        <v>-332439</v>
      </c>
      <c r="C219" s="6">
        <f>+Sheet1!C217*Sheet1!$C$1</f>
        <v>2</v>
      </c>
      <c r="D219" s="6">
        <f>+Sheet1!D217*Sheet1!$C$1</f>
        <v>-92544</v>
      </c>
      <c r="E219" s="6">
        <f>+Sheet1!E217*Sheet1!$C$1</f>
        <v>0</v>
      </c>
      <c r="F219" s="6">
        <f>+Sheet1!F217*Sheet1!$C$1</f>
        <v>0</v>
      </c>
      <c r="G219" s="6">
        <f>+Sheet1!G217*Sheet1!$C$1</f>
        <v>0</v>
      </c>
      <c r="H219" s="6">
        <f>+Sheet1!H217*Sheet1!$C$1</f>
        <v>0</v>
      </c>
      <c r="I219" s="6">
        <f>+Sheet1!I217*Sheet1!$C$1</f>
        <v>0</v>
      </c>
    </row>
    <row r="220" spans="1:9" x14ac:dyDescent="0.2">
      <c r="A220" s="11">
        <v>36919</v>
      </c>
      <c r="B220" s="6">
        <f>+Sheet1!B218*Sheet1!$C$1</f>
        <v>-342420</v>
      </c>
      <c r="C220" s="6">
        <f>+Sheet1!C218*Sheet1!$C$1</f>
        <v>0</v>
      </c>
      <c r="D220" s="6">
        <f>+Sheet1!D218*Sheet1!$C$1</f>
        <v>-29650</v>
      </c>
      <c r="E220" s="6">
        <f>+Sheet1!E218*Sheet1!$C$1</f>
        <v>0</v>
      </c>
      <c r="F220" s="6">
        <f>+Sheet1!F218*Sheet1!$C$1</f>
        <v>0</v>
      </c>
      <c r="G220" s="6">
        <f>+Sheet1!G218*Sheet1!$C$1</f>
        <v>0</v>
      </c>
      <c r="H220" s="6">
        <f>+Sheet1!H218*Sheet1!$C$1</f>
        <v>0</v>
      </c>
      <c r="I220" s="6">
        <f>+Sheet1!I218*Sheet1!$C$1</f>
        <v>0</v>
      </c>
    </row>
    <row r="221" spans="1:9" x14ac:dyDescent="0.2">
      <c r="A221" s="11">
        <v>36920</v>
      </c>
      <c r="B221" s="6">
        <f>+Sheet1!B219*Sheet1!$C$1</f>
        <v>-287229</v>
      </c>
      <c r="C221" s="6">
        <f>+Sheet1!C219*Sheet1!$C$1</f>
        <v>38796</v>
      </c>
      <c r="D221" s="6">
        <f>+Sheet1!D219*Sheet1!$C$1</f>
        <v>-16251</v>
      </c>
      <c r="E221" s="6">
        <f>+Sheet1!E219*Sheet1!$C$1</f>
        <v>0</v>
      </c>
      <c r="F221" s="6">
        <f>+Sheet1!F219*Sheet1!$C$1</f>
        <v>0</v>
      </c>
      <c r="G221" s="6">
        <f>+Sheet1!G219*Sheet1!$C$1</f>
        <v>39537</v>
      </c>
      <c r="H221" s="6">
        <f>+Sheet1!H219*Sheet1!$C$1</f>
        <v>0</v>
      </c>
      <c r="I221" s="6">
        <f>+Sheet1!I219*Sheet1!$C$1</f>
        <v>0</v>
      </c>
    </row>
    <row r="222" spans="1:9" x14ac:dyDescent="0.2">
      <c r="A222" s="11">
        <v>36921</v>
      </c>
      <c r="B222" s="6">
        <f>+Sheet1!B220*Sheet1!$C$1</f>
        <v>-290490</v>
      </c>
      <c r="C222" s="6">
        <f>+Sheet1!C220*Sheet1!$C$1</f>
        <v>22054</v>
      </c>
      <c r="D222" s="6">
        <f>+Sheet1!D220*Sheet1!$C$1</f>
        <v>24800</v>
      </c>
      <c r="E222" s="6">
        <f>+Sheet1!E220*Sheet1!$C$1</f>
        <v>0</v>
      </c>
      <c r="F222" s="6">
        <f>+Sheet1!F220*Sheet1!$C$1</f>
        <v>8350</v>
      </c>
      <c r="G222" s="6">
        <f>+Sheet1!G220*Sheet1!$C$1</f>
        <v>0</v>
      </c>
      <c r="H222" s="6">
        <f>+Sheet1!H220*Sheet1!$C$1</f>
        <v>0</v>
      </c>
      <c r="I222" s="6">
        <f>+Sheet1!I220*Sheet1!$C$1</f>
        <v>0</v>
      </c>
    </row>
    <row r="223" spans="1:9" x14ac:dyDescent="0.2">
      <c r="A223" s="11">
        <v>36922</v>
      </c>
      <c r="B223" s="6">
        <f>+Sheet1!B221*Sheet1!$C$1</f>
        <v>-288318</v>
      </c>
      <c r="C223" s="6">
        <f>+Sheet1!C221*Sheet1!$C$1</f>
        <v>36620</v>
      </c>
      <c r="D223" s="6">
        <f>+Sheet1!D221*Sheet1!$C$1</f>
        <v>-52003</v>
      </c>
      <c r="E223" s="6">
        <f>+Sheet1!E221*Sheet1!$C$1</f>
        <v>0</v>
      </c>
      <c r="F223" s="6">
        <f>+Sheet1!F221*Sheet1!$C$1</f>
        <v>0</v>
      </c>
      <c r="G223" s="6">
        <f>+Sheet1!G221*Sheet1!$C$1</f>
        <v>0</v>
      </c>
      <c r="H223" s="6">
        <f>+Sheet1!H221*Sheet1!$C$1</f>
        <v>0</v>
      </c>
      <c r="I223" s="6">
        <f>+Sheet1!I221*Sheet1!$C$1</f>
        <v>0</v>
      </c>
    </row>
    <row r="224" spans="1:9" x14ac:dyDescent="0.2">
      <c r="A224" s="11">
        <v>36923</v>
      </c>
      <c r="B224" s="6">
        <f>+Sheet1!B222*Sheet1!$C$1</f>
        <v>-475660</v>
      </c>
      <c r="C224" s="6">
        <f>+Sheet1!C222*Sheet1!$C$1</f>
        <v>-2535</v>
      </c>
      <c r="D224" s="6">
        <f>+Sheet1!D222*Sheet1!$C$1</f>
        <v>-138209</v>
      </c>
      <c r="E224" s="6">
        <f>+Sheet1!E222*Sheet1!$C$1</f>
        <v>-24000</v>
      </c>
      <c r="F224" s="6">
        <f>+Sheet1!F222*Sheet1!$C$1</f>
        <v>-47290</v>
      </c>
      <c r="G224" s="6">
        <f>+Sheet1!G222*Sheet1!$C$1</f>
        <v>0</v>
      </c>
      <c r="H224" s="6">
        <f>+Sheet1!H222*Sheet1!$C$1</f>
        <v>0</v>
      </c>
      <c r="I224" s="6">
        <f>+Sheet1!I222*Sheet1!$C$1</f>
        <v>0</v>
      </c>
    </row>
    <row r="225" spans="1:9" x14ac:dyDescent="0.2">
      <c r="A225" s="11">
        <v>36924</v>
      </c>
      <c r="B225" s="6">
        <f>+Sheet1!B223*Sheet1!$C$1</f>
        <v>-746200</v>
      </c>
      <c r="C225" s="6">
        <f>+Sheet1!C223*Sheet1!$C$1</f>
        <v>-39954</v>
      </c>
      <c r="D225" s="6">
        <f>+Sheet1!D223*Sheet1!$C$1</f>
        <v>-94395</v>
      </c>
      <c r="E225" s="6">
        <f>+Sheet1!E223*Sheet1!$C$1</f>
        <v>-45830</v>
      </c>
      <c r="F225" s="6">
        <f>+Sheet1!F223*Sheet1!$C$1</f>
        <v>-61106</v>
      </c>
      <c r="G225" s="6">
        <f>+Sheet1!G223*Sheet1!$C$1</f>
        <v>0</v>
      </c>
      <c r="H225" s="6">
        <f>+Sheet1!H223*Sheet1!$C$1</f>
        <v>-20000</v>
      </c>
      <c r="I225" s="6">
        <f>+Sheet1!I223*Sheet1!$C$1</f>
        <v>-20000</v>
      </c>
    </row>
    <row r="226" spans="1:9" x14ac:dyDescent="0.2">
      <c r="A226" s="11">
        <v>36925</v>
      </c>
      <c r="B226" s="6">
        <f>+Sheet1!B224*Sheet1!$C$1</f>
        <v>-496610</v>
      </c>
      <c r="C226" s="6">
        <f>+Sheet1!C224*Sheet1!$C$1</f>
        <v>-28</v>
      </c>
      <c r="D226" s="6">
        <f>+Sheet1!D224*Sheet1!$C$1</f>
        <v>-105016</v>
      </c>
      <c r="E226" s="6">
        <f>+Sheet1!E224*Sheet1!$C$1</f>
        <v>0</v>
      </c>
      <c r="F226" s="6">
        <f>+Sheet1!F224*Sheet1!$C$1</f>
        <v>0</v>
      </c>
      <c r="G226" s="6">
        <f>+Sheet1!G224*Sheet1!$C$1</f>
        <v>0</v>
      </c>
      <c r="H226" s="6">
        <f>+Sheet1!H224*Sheet1!$C$1</f>
        <v>0</v>
      </c>
      <c r="I226" s="6">
        <f>+Sheet1!I224*Sheet1!$C$1</f>
        <v>0</v>
      </c>
    </row>
    <row r="227" spans="1:9" x14ac:dyDescent="0.2">
      <c r="A227" s="11">
        <v>36926</v>
      </c>
      <c r="B227" s="6">
        <f>+Sheet1!B225*Sheet1!$C$1</f>
        <v>-368280</v>
      </c>
      <c r="C227" s="6">
        <f>+Sheet1!C225*Sheet1!$C$1</f>
        <v>0</v>
      </c>
      <c r="D227" s="6">
        <f>+Sheet1!D225*Sheet1!$C$1</f>
        <v>-61459</v>
      </c>
      <c r="E227" s="6">
        <f>+Sheet1!E225*Sheet1!$C$1</f>
        <v>0</v>
      </c>
      <c r="F227" s="6">
        <f>+Sheet1!F225*Sheet1!$C$1</f>
        <v>0</v>
      </c>
      <c r="G227" s="6">
        <f>+Sheet1!G225*Sheet1!$C$1</f>
        <v>0</v>
      </c>
      <c r="H227" s="6">
        <f>+Sheet1!H225*Sheet1!$C$1</f>
        <v>0</v>
      </c>
      <c r="I227" s="6">
        <f>+Sheet1!I225*Sheet1!$C$1</f>
        <v>0</v>
      </c>
    </row>
    <row r="228" spans="1:9" x14ac:dyDescent="0.2">
      <c r="A228" s="11">
        <v>36927</v>
      </c>
      <c r="B228" s="6">
        <f>+Sheet1!B226*Sheet1!$C$1</f>
        <v>-370960</v>
      </c>
      <c r="C228" s="6">
        <f>+Sheet1!C226*Sheet1!$C$1</f>
        <v>0</v>
      </c>
      <c r="D228" s="6">
        <f>+Sheet1!D226*Sheet1!$C$1</f>
        <v>-134072</v>
      </c>
      <c r="E228" s="6">
        <f>+Sheet1!E226*Sheet1!$C$1</f>
        <v>0</v>
      </c>
      <c r="F228" s="6">
        <f>+Sheet1!F226*Sheet1!$C$1</f>
        <v>0</v>
      </c>
      <c r="G228" s="6">
        <f>+Sheet1!G226*Sheet1!$C$1</f>
        <v>0</v>
      </c>
      <c r="H228" s="6">
        <f>+Sheet1!H226*Sheet1!$C$1</f>
        <v>0</v>
      </c>
      <c r="I228" s="6">
        <f>+Sheet1!I226*Sheet1!$C$1</f>
        <v>0</v>
      </c>
    </row>
    <row r="229" spans="1:9" x14ac:dyDescent="0.2">
      <c r="A229" s="11">
        <v>36928</v>
      </c>
      <c r="B229" s="6">
        <f>+Sheet1!B227*Sheet1!$C$1</f>
        <v>-358038</v>
      </c>
      <c r="C229" s="6">
        <f>+Sheet1!C227*Sheet1!$C$1</f>
        <v>323</v>
      </c>
      <c r="D229" s="6">
        <f>+Sheet1!D227*Sheet1!$C$1</f>
        <v>-44803</v>
      </c>
      <c r="E229" s="6">
        <f>+Sheet1!E227*Sheet1!$C$1</f>
        <v>0</v>
      </c>
      <c r="F229" s="6">
        <f>+Sheet1!F227*Sheet1!$C$1</f>
        <v>0</v>
      </c>
      <c r="G229" s="6">
        <f>+Sheet1!G227*Sheet1!$C$1</f>
        <v>0</v>
      </c>
      <c r="H229" s="6">
        <f>+Sheet1!H227*Sheet1!$C$1</f>
        <v>0</v>
      </c>
      <c r="I229" s="6">
        <f>+Sheet1!I227*Sheet1!$C$1</f>
        <v>0</v>
      </c>
    </row>
    <row r="230" spans="1:9" x14ac:dyDescent="0.2">
      <c r="A230" s="11">
        <v>36929</v>
      </c>
      <c r="B230" s="6">
        <f>+Sheet1!B228*Sheet1!$C$1</f>
        <v>-329683</v>
      </c>
      <c r="C230" s="6">
        <f>+Sheet1!C228*Sheet1!$C$1</f>
        <v>0</v>
      </c>
      <c r="D230" s="6">
        <f>+Sheet1!D228*Sheet1!$C$1</f>
        <v>-88647</v>
      </c>
      <c r="E230" s="6">
        <f>+Sheet1!E228*Sheet1!$C$1</f>
        <v>0</v>
      </c>
      <c r="F230" s="6">
        <f>+Sheet1!F228*Sheet1!$C$1</f>
        <v>0</v>
      </c>
      <c r="G230" s="6">
        <f>+Sheet1!G228*Sheet1!$C$1</f>
        <v>0</v>
      </c>
      <c r="H230" s="6">
        <f>+Sheet1!H228*Sheet1!$C$1</f>
        <v>0</v>
      </c>
      <c r="I230" s="6">
        <f>+Sheet1!I228*Sheet1!$C$1</f>
        <v>0</v>
      </c>
    </row>
    <row r="231" spans="1:9" x14ac:dyDescent="0.2">
      <c r="A231" s="11">
        <v>36930</v>
      </c>
      <c r="B231" s="6">
        <f>+Sheet1!B229*Sheet1!$C$1</f>
        <v>-233400</v>
      </c>
      <c r="C231" s="6">
        <f>+Sheet1!C229*Sheet1!$C$1</f>
        <v>0</v>
      </c>
      <c r="D231" s="6">
        <f>+Sheet1!D229*Sheet1!$C$1</f>
        <v>9466</v>
      </c>
      <c r="E231" s="6">
        <f>+Sheet1!E229*Sheet1!$C$1</f>
        <v>0</v>
      </c>
      <c r="F231" s="6">
        <f>+Sheet1!F229*Sheet1!$C$1</f>
        <v>0</v>
      </c>
      <c r="G231" s="6">
        <f>+Sheet1!G229*Sheet1!$C$1</f>
        <v>33763</v>
      </c>
      <c r="H231" s="6">
        <f>+Sheet1!H229*Sheet1!$C$1</f>
        <v>0</v>
      </c>
      <c r="I231" s="6">
        <f>+Sheet1!I229*Sheet1!$C$1</f>
        <v>0</v>
      </c>
    </row>
    <row r="232" spans="1:9" x14ac:dyDescent="0.2">
      <c r="A232" s="11">
        <v>36931</v>
      </c>
      <c r="B232" s="6">
        <f>+Sheet1!B230*Sheet1!$C$1</f>
        <v>-285510</v>
      </c>
      <c r="C232" s="6">
        <f>+Sheet1!C230*Sheet1!$C$1</f>
        <v>-9</v>
      </c>
      <c r="D232" s="6">
        <f>+Sheet1!D230*Sheet1!$C$1</f>
        <v>-71616</v>
      </c>
      <c r="E232" s="6">
        <f>+Sheet1!E230*Sheet1!$C$1</f>
        <v>0</v>
      </c>
      <c r="F232" s="6">
        <f>+Sheet1!F230*Sheet1!$C$1</f>
        <v>0</v>
      </c>
      <c r="G232" s="6">
        <f>+Sheet1!G230*Sheet1!$C$1</f>
        <v>0</v>
      </c>
      <c r="H232" s="6">
        <f>+Sheet1!H230*Sheet1!$C$1</f>
        <v>0</v>
      </c>
      <c r="I232" s="6">
        <f>+Sheet1!I230*Sheet1!$C$1</f>
        <v>0</v>
      </c>
    </row>
    <row r="233" spans="1:9" x14ac:dyDescent="0.2">
      <c r="A233" s="11">
        <v>36932</v>
      </c>
      <c r="B233" s="6">
        <f>+Sheet1!B231*Sheet1!$C$1</f>
        <v>-416960</v>
      </c>
      <c r="C233" s="6">
        <f>+Sheet1!C231*Sheet1!$C$1</f>
        <v>-34900</v>
      </c>
      <c r="D233" s="6">
        <f>+Sheet1!D231*Sheet1!$C$1</f>
        <v>-156056</v>
      </c>
      <c r="E233" s="6">
        <f>+Sheet1!E231*Sheet1!$C$1</f>
        <v>0</v>
      </c>
      <c r="F233" s="6">
        <f>+Sheet1!F231*Sheet1!$C$1</f>
        <v>0</v>
      </c>
      <c r="G233" s="6">
        <f>+Sheet1!G231*Sheet1!$C$1</f>
        <v>0</v>
      </c>
      <c r="H233" s="6">
        <f>+Sheet1!H231*Sheet1!$C$1</f>
        <v>0</v>
      </c>
      <c r="I233" s="6">
        <f>+Sheet1!I231*Sheet1!$C$1</f>
        <v>0</v>
      </c>
    </row>
    <row r="234" spans="1:9" x14ac:dyDescent="0.2">
      <c r="A234" s="11">
        <v>36933</v>
      </c>
      <c r="B234" s="6">
        <f>+Sheet1!B232*Sheet1!$C$1</f>
        <v>-348050</v>
      </c>
      <c r="C234" s="6">
        <f>+Sheet1!C232*Sheet1!$C$1</f>
        <v>-23444</v>
      </c>
      <c r="D234" s="6">
        <f>+Sheet1!D232*Sheet1!$C$1</f>
        <v>-171101</v>
      </c>
      <c r="E234" s="6">
        <f>+Sheet1!E232*Sheet1!$C$1</f>
        <v>0</v>
      </c>
      <c r="F234" s="6">
        <f>+Sheet1!F232*Sheet1!$C$1</f>
        <v>0</v>
      </c>
      <c r="G234" s="6">
        <f>+Sheet1!G232*Sheet1!$C$1</f>
        <v>0</v>
      </c>
      <c r="H234" s="6">
        <f>+Sheet1!H232*Sheet1!$C$1</f>
        <v>0</v>
      </c>
      <c r="I234" s="6">
        <f>+Sheet1!I232*Sheet1!$C$1</f>
        <v>0</v>
      </c>
    </row>
    <row r="235" spans="1:9" x14ac:dyDescent="0.2">
      <c r="A235" s="11">
        <v>36934</v>
      </c>
      <c r="B235" s="6">
        <f>+Sheet1!B233*Sheet1!$C$1</f>
        <v>-332860</v>
      </c>
      <c r="C235" s="6">
        <f>+Sheet1!C233*Sheet1!$C$1</f>
        <v>-35</v>
      </c>
      <c r="D235" s="6">
        <f>+Sheet1!D233*Sheet1!$C$1</f>
        <v>-17777</v>
      </c>
      <c r="E235" s="6">
        <f>+Sheet1!E233*Sheet1!$C$1</f>
        <v>0</v>
      </c>
      <c r="F235" s="6">
        <f>+Sheet1!F233*Sheet1!$C$1</f>
        <v>0</v>
      </c>
      <c r="G235" s="6">
        <f>+Sheet1!G233*Sheet1!$C$1</f>
        <v>0</v>
      </c>
      <c r="H235" s="6">
        <f>+Sheet1!H233*Sheet1!$C$1</f>
        <v>0</v>
      </c>
      <c r="I235" s="6">
        <f>+Sheet1!I233*Sheet1!$C$1</f>
        <v>0</v>
      </c>
    </row>
    <row r="236" spans="1:9" x14ac:dyDescent="0.2">
      <c r="A236" s="11">
        <v>36935</v>
      </c>
      <c r="B236" s="6">
        <f>+Sheet1!B234*Sheet1!$C$1</f>
        <v>-225760</v>
      </c>
      <c r="C236" s="6">
        <f>+Sheet1!C234*Sheet1!$C$1</f>
        <v>323</v>
      </c>
      <c r="D236" s="6">
        <f>+Sheet1!D234*Sheet1!$C$1</f>
        <v>-42965</v>
      </c>
      <c r="E236" s="6">
        <f>+Sheet1!E234*Sheet1!$C$1</f>
        <v>0</v>
      </c>
      <c r="F236" s="6">
        <f>+Sheet1!F234*Sheet1!$C$1</f>
        <v>0</v>
      </c>
      <c r="G236" s="6">
        <f>+Sheet1!G234*Sheet1!$C$1</f>
        <v>32000</v>
      </c>
      <c r="H236" s="6">
        <f>+Sheet1!H234*Sheet1!$C$1</f>
        <v>0</v>
      </c>
      <c r="I236" s="6">
        <f>+Sheet1!I234*Sheet1!$C$1</f>
        <v>0</v>
      </c>
    </row>
    <row r="237" spans="1:9" x14ac:dyDescent="0.2">
      <c r="A237" s="11">
        <v>36936</v>
      </c>
      <c r="B237" s="6">
        <f>+Sheet1!B235*Sheet1!$C$1</f>
        <v>-302586</v>
      </c>
      <c r="C237" s="6">
        <f>+Sheet1!C235*Sheet1!$C$1</f>
        <v>323</v>
      </c>
      <c r="D237" s="6">
        <f>+Sheet1!D235*Sheet1!$C$1</f>
        <v>-122370</v>
      </c>
      <c r="E237" s="6">
        <f>+Sheet1!E235*Sheet1!$C$1</f>
        <v>0</v>
      </c>
      <c r="F237" s="6">
        <f>+Sheet1!F235*Sheet1!$C$1</f>
        <v>0</v>
      </c>
      <c r="G237" s="6">
        <f>+Sheet1!G235*Sheet1!$C$1</f>
        <v>0</v>
      </c>
      <c r="H237" s="6">
        <f>+Sheet1!H235*Sheet1!$C$1</f>
        <v>0</v>
      </c>
      <c r="I237" s="6">
        <f>+Sheet1!I235*Sheet1!$C$1</f>
        <v>0</v>
      </c>
    </row>
    <row r="238" spans="1:9" x14ac:dyDescent="0.2">
      <c r="A238" s="11">
        <v>36937</v>
      </c>
      <c r="B238" s="6">
        <f>+Sheet1!B236*Sheet1!$C$1</f>
        <v>-372734</v>
      </c>
      <c r="C238" s="6">
        <f>+Sheet1!C236*Sheet1!$C$1</f>
        <v>0</v>
      </c>
      <c r="D238" s="6">
        <f>+Sheet1!D236*Sheet1!$C$1</f>
        <v>-48579</v>
      </c>
      <c r="E238" s="6">
        <f>+Sheet1!E236*Sheet1!$C$1</f>
        <v>0</v>
      </c>
      <c r="F238" s="6">
        <f>+Sheet1!F236*Sheet1!$C$1</f>
        <v>0</v>
      </c>
      <c r="G238" s="6">
        <f>+Sheet1!G236*Sheet1!$C$1</f>
        <v>0</v>
      </c>
      <c r="H238" s="6">
        <f>+Sheet1!H236*Sheet1!$C$1</f>
        <v>0</v>
      </c>
      <c r="I238" s="6">
        <f>+Sheet1!I236*Sheet1!$C$1</f>
        <v>0</v>
      </c>
    </row>
    <row r="239" spans="1:9" x14ac:dyDescent="0.2">
      <c r="A239" s="11">
        <v>36938</v>
      </c>
      <c r="B239" s="6">
        <f>+Sheet1!B237*Sheet1!$C$1</f>
        <v>-425440</v>
      </c>
      <c r="C239" s="6">
        <f>+Sheet1!C237*Sheet1!$C$1</f>
        <v>-6</v>
      </c>
      <c r="D239" s="6">
        <f>+Sheet1!D237*Sheet1!$C$1</f>
        <v>-114178</v>
      </c>
      <c r="E239" s="6">
        <f>+Sheet1!E237*Sheet1!$C$1</f>
        <v>0</v>
      </c>
      <c r="F239" s="6">
        <f>+Sheet1!F237*Sheet1!$C$1</f>
        <v>0</v>
      </c>
      <c r="G239" s="6">
        <f>+Sheet1!G237*Sheet1!$C$1</f>
        <v>0</v>
      </c>
      <c r="H239" s="6">
        <f>+Sheet1!H237*Sheet1!$C$1</f>
        <v>0</v>
      </c>
      <c r="I239" s="6">
        <f>+Sheet1!I237*Sheet1!$C$1</f>
        <v>0</v>
      </c>
    </row>
    <row r="240" spans="1:9" x14ac:dyDescent="0.2">
      <c r="A240" s="11">
        <v>36939</v>
      </c>
      <c r="B240" s="6">
        <f>+Sheet1!B238*Sheet1!$C$1</f>
        <v>-381770</v>
      </c>
      <c r="C240" s="6">
        <f>+Sheet1!C238*Sheet1!$C$1</f>
        <v>-72467</v>
      </c>
      <c r="D240" s="6">
        <f>+Sheet1!D238*Sheet1!$C$1</f>
        <v>-124847</v>
      </c>
      <c r="E240" s="6">
        <f>+Sheet1!E238*Sheet1!$C$1</f>
        <v>-70272</v>
      </c>
      <c r="F240" s="6">
        <f>+Sheet1!F238*Sheet1!$C$1</f>
        <v>-65180</v>
      </c>
      <c r="G240" s="6">
        <f>+Sheet1!G238*Sheet1!$C$1</f>
        <v>-40736</v>
      </c>
      <c r="H240" s="6">
        <f>+Sheet1!H238*Sheet1!$C$1</f>
        <v>0</v>
      </c>
      <c r="I240" s="6">
        <f>+Sheet1!I238*Sheet1!$C$1</f>
        <v>0</v>
      </c>
    </row>
    <row r="241" spans="1:9" x14ac:dyDescent="0.2">
      <c r="A241" s="11">
        <v>36940</v>
      </c>
      <c r="B241" s="6">
        <f>+Sheet1!B239*Sheet1!$C$1</f>
        <v>-336300</v>
      </c>
      <c r="C241" s="6">
        <f>+Sheet1!C239*Sheet1!$C$1</f>
        <v>277</v>
      </c>
      <c r="D241" s="6">
        <f>+Sheet1!D239*Sheet1!$C$1</f>
        <v>-197787</v>
      </c>
      <c r="E241" s="6">
        <f>+Sheet1!E239*Sheet1!$C$1</f>
        <v>0</v>
      </c>
      <c r="F241" s="6">
        <f>+Sheet1!F239*Sheet1!$C$1</f>
        <v>0</v>
      </c>
      <c r="G241" s="6">
        <f>+Sheet1!G239*Sheet1!$C$1</f>
        <v>0</v>
      </c>
      <c r="H241" s="6">
        <f>+Sheet1!H239*Sheet1!$C$1</f>
        <v>0</v>
      </c>
      <c r="I241" s="6">
        <f>+Sheet1!I239*Sheet1!$C$1</f>
        <v>0</v>
      </c>
    </row>
    <row r="242" spans="1:9" x14ac:dyDescent="0.2">
      <c r="A242" s="11">
        <v>36941</v>
      </c>
      <c r="B242" s="6">
        <f>+Sheet1!B240*Sheet1!$C$1</f>
        <v>-315270</v>
      </c>
      <c r="C242" s="6">
        <f>+Sheet1!C240*Sheet1!$C$1</f>
        <v>323</v>
      </c>
      <c r="D242" s="6">
        <f>+Sheet1!D240*Sheet1!$C$1</f>
        <v>-59241</v>
      </c>
      <c r="E242" s="6">
        <f>+Sheet1!E240*Sheet1!$C$1</f>
        <v>0</v>
      </c>
      <c r="F242" s="6">
        <f>+Sheet1!F240*Sheet1!$C$1</f>
        <v>0</v>
      </c>
      <c r="G242" s="6">
        <f>+Sheet1!G240*Sheet1!$C$1</f>
        <v>0</v>
      </c>
      <c r="H242" s="6">
        <f>+Sheet1!H240*Sheet1!$C$1</f>
        <v>0</v>
      </c>
      <c r="I242" s="6">
        <f>+Sheet1!I240*Sheet1!$C$1</f>
        <v>0</v>
      </c>
    </row>
    <row r="243" spans="1:9" x14ac:dyDescent="0.2">
      <c r="A243" s="11">
        <v>36942</v>
      </c>
      <c r="B243" s="6">
        <f>+Sheet1!B241*Sheet1!$C$1</f>
        <v>-251621</v>
      </c>
      <c r="C243" s="6">
        <f>+Sheet1!C241*Sheet1!$C$1</f>
        <v>-45547</v>
      </c>
      <c r="D243" s="6">
        <f>+Sheet1!D241*Sheet1!$C$1</f>
        <v>-78993</v>
      </c>
      <c r="E243" s="6">
        <f>+Sheet1!E241*Sheet1!$C$1</f>
        <v>0</v>
      </c>
      <c r="F243" s="6">
        <f>+Sheet1!F241*Sheet1!$C$1</f>
        <v>0</v>
      </c>
      <c r="G243" s="6">
        <f>+Sheet1!G241*Sheet1!$C$1</f>
        <v>-84854</v>
      </c>
      <c r="H243" s="6">
        <f>+Sheet1!H241*Sheet1!$C$1</f>
        <v>-20000</v>
      </c>
      <c r="I243" s="6">
        <f>+Sheet1!I241*Sheet1!$C$1</f>
        <v>0</v>
      </c>
    </row>
    <row r="244" spans="1:9" x14ac:dyDescent="0.2">
      <c r="A244" s="11">
        <v>36943</v>
      </c>
      <c r="B244" s="6">
        <f>+Sheet1!B242*Sheet1!$C$1</f>
        <v>-307810</v>
      </c>
      <c r="C244" s="6">
        <f>+Sheet1!C242*Sheet1!$C$1</f>
        <v>-75162</v>
      </c>
      <c r="D244" s="6">
        <f>+Sheet1!D242*Sheet1!$C$1</f>
        <v>-97157</v>
      </c>
      <c r="E244" s="6">
        <f>+Sheet1!E242*Sheet1!$C$1</f>
        <v>0</v>
      </c>
      <c r="F244" s="6">
        <f>+Sheet1!F242*Sheet1!$C$1</f>
        <v>0</v>
      </c>
      <c r="G244" s="6">
        <f>+Sheet1!G242*Sheet1!$C$1</f>
        <v>0</v>
      </c>
      <c r="H244" s="6">
        <f>+Sheet1!H242*Sheet1!$C$1</f>
        <v>-20000</v>
      </c>
      <c r="I244" s="6">
        <f>+Sheet1!I242*Sheet1!$C$1</f>
        <v>-20000</v>
      </c>
    </row>
    <row r="245" spans="1:9" x14ac:dyDescent="0.2">
      <c r="A245" s="11">
        <v>36944</v>
      </c>
      <c r="B245" s="6">
        <f>+Sheet1!B243*Sheet1!$C$1</f>
        <v>-346200</v>
      </c>
      <c r="C245" s="6">
        <f>+Sheet1!C243*Sheet1!$C$1</f>
        <v>-601</v>
      </c>
      <c r="D245" s="6">
        <f>+Sheet1!D243*Sheet1!$C$1</f>
        <v>-162973</v>
      </c>
      <c r="E245" s="6">
        <f>+Sheet1!E243*Sheet1!$C$1</f>
        <v>0</v>
      </c>
      <c r="F245" s="6">
        <f>+Sheet1!F243*Sheet1!$C$1</f>
        <v>0</v>
      </c>
      <c r="G245" s="6">
        <f>+Sheet1!G243*Sheet1!$C$1</f>
        <v>0</v>
      </c>
      <c r="H245" s="6">
        <f>+Sheet1!H243*Sheet1!$C$1</f>
        <v>0</v>
      </c>
      <c r="I245" s="6">
        <f>+Sheet1!I243*Sheet1!$C$1</f>
        <v>0</v>
      </c>
    </row>
    <row r="246" spans="1:9" x14ac:dyDescent="0.2">
      <c r="A246" s="11">
        <v>36945</v>
      </c>
      <c r="B246" s="6">
        <f>+Sheet1!B244*Sheet1!$C$1</f>
        <v>-305451</v>
      </c>
      <c r="C246" s="6">
        <f>+Sheet1!C244*Sheet1!$C$1</f>
        <v>0</v>
      </c>
      <c r="D246" s="6">
        <f>+Sheet1!D244*Sheet1!$C$1</f>
        <v>-67577</v>
      </c>
      <c r="E246" s="6">
        <f>+Sheet1!E244*Sheet1!$C$1</f>
        <v>0</v>
      </c>
      <c r="F246" s="6">
        <f>+Sheet1!F244*Sheet1!$C$1</f>
        <v>0</v>
      </c>
      <c r="G246" s="6">
        <f>+Sheet1!G244*Sheet1!$C$1</f>
        <v>0</v>
      </c>
      <c r="H246" s="6">
        <f>+Sheet1!H244*Sheet1!$C$1</f>
        <v>0</v>
      </c>
      <c r="I246" s="6">
        <f>+Sheet1!I244*Sheet1!$C$1</f>
        <v>0</v>
      </c>
    </row>
    <row r="247" spans="1:9" x14ac:dyDescent="0.2">
      <c r="A247" s="11">
        <v>36946</v>
      </c>
      <c r="B247" s="6">
        <f>+Sheet1!B245*Sheet1!$C$1</f>
        <v>-261211</v>
      </c>
      <c r="C247" s="6">
        <f>+Sheet1!C245*Sheet1!$C$1</f>
        <v>-11</v>
      </c>
      <c r="D247" s="6">
        <f>+Sheet1!D245*Sheet1!$C$1</f>
        <v>-95963</v>
      </c>
      <c r="E247" s="6">
        <f>+Sheet1!E245*Sheet1!$C$1</f>
        <v>0</v>
      </c>
      <c r="F247" s="6">
        <f>+Sheet1!F245*Sheet1!$C$1</f>
        <v>0</v>
      </c>
      <c r="G247" s="6">
        <f>+Sheet1!G245*Sheet1!$C$1</f>
        <v>0</v>
      </c>
      <c r="H247" s="6">
        <f>+Sheet1!H245*Sheet1!$C$1</f>
        <v>0</v>
      </c>
      <c r="I247" s="6">
        <f>+Sheet1!I245*Sheet1!$C$1</f>
        <v>0</v>
      </c>
    </row>
    <row r="248" spans="1:9" x14ac:dyDescent="0.2">
      <c r="A248" s="11">
        <v>36947</v>
      </c>
      <c r="B248" s="6">
        <f>+Sheet1!B246*Sheet1!$C$1</f>
        <v>-309991</v>
      </c>
      <c r="C248" s="6">
        <f>+Sheet1!C246*Sheet1!$C$1</f>
        <v>-75669</v>
      </c>
      <c r="D248" s="6">
        <f>+Sheet1!D246*Sheet1!$C$1</f>
        <v>-113481</v>
      </c>
      <c r="E248" s="6">
        <f>+Sheet1!E246*Sheet1!$C$1</f>
        <v>0</v>
      </c>
      <c r="F248" s="6">
        <f>+Sheet1!F246*Sheet1!$C$1</f>
        <v>0</v>
      </c>
      <c r="G248" s="6">
        <f>+Sheet1!G246*Sheet1!$C$1</f>
        <v>0</v>
      </c>
      <c r="H248" s="6">
        <f>+Sheet1!H246*Sheet1!$C$1</f>
        <v>0</v>
      </c>
      <c r="I248" s="6">
        <f>+Sheet1!I246*Sheet1!$C$1</f>
        <v>0</v>
      </c>
    </row>
    <row r="249" spans="1:9" x14ac:dyDescent="0.2">
      <c r="A249" s="11">
        <v>36948</v>
      </c>
      <c r="B249" s="6">
        <f>+Sheet1!B247*Sheet1!$C$1</f>
        <v>-307425</v>
      </c>
      <c r="C249" s="6">
        <f>+Sheet1!C247*Sheet1!$C$1</f>
        <v>-74981</v>
      </c>
      <c r="D249" s="6">
        <f>+Sheet1!D247*Sheet1!$C$1</f>
        <v>-21751</v>
      </c>
      <c r="E249" s="6">
        <f>+Sheet1!E247*Sheet1!$C$1</f>
        <v>0</v>
      </c>
      <c r="F249" s="6">
        <f>+Sheet1!F247*Sheet1!$C$1</f>
        <v>0</v>
      </c>
      <c r="G249" s="6">
        <f>+Sheet1!G247*Sheet1!$C$1</f>
        <v>0</v>
      </c>
      <c r="H249" s="6">
        <f>+Sheet1!H247*Sheet1!$C$1</f>
        <v>0</v>
      </c>
      <c r="I249" s="6">
        <f>+Sheet1!I247*Sheet1!$C$1</f>
        <v>0</v>
      </c>
    </row>
    <row r="250" spans="1:9" x14ac:dyDescent="0.2">
      <c r="A250" s="11">
        <v>36949</v>
      </c>
      <c r="B250" s="6">
        <f>+Sheet1!B248*Sheet1!$C$1</f>
        <v>-292710</v>
      </c>
      <c r="C250" s="6">
        <f>+Sheet1!C248*Sheet1!$C$1</f>
        <v>4906</v>
      </c>
      <c r="D250" s="6">
        <f>+Sheet1!D248*Sheet1!$C$1</f>
        <v>-139122</v>
      </c>
      <c r="E250" s="6">
        <f>+Sheet1!E248*Sheet1!$C$1</f>
        <v>0</v>
      </c>
      <c r="F250" s="6">
        <f>+Sheet1!F248*Sheet1!$C$1</f>
        <v>0</v>
      </c>
      <c r="G250" s="6">
        <f>+Sheet1!G248*Sheet1!$C$1</f>
        <v>0</v>
      </c>
      <c r="H250" s="6">
        <f>+Sheet1!H248*Sheet1!$C$1</f>
        <v>0</v>
      </c>
      <c r="I250" s="6">
        <f>+Sheet1!I248*Sheet1!$C$1</f>
        <v>0</v>
      </c>
    </row>
    <row r="251" spans="1:9" x14ac:dyDescent="0.2">
      <c r="A251" s="11">
        <v>36950</v>
      </c>
      <c r="B251" s="6">
        <f>+Sheet1!B249*Sheet1!$C$1</f>
        <v>-223337</v>
      </c>
      <c r="C251" s="6">
        <f>+Sheet1!C249*Sheet1!$C$1</f>
        <v>-36670</v>
      </c>
      <c r="D251" s="6">
        <f>+Sheet1!D249*Sheet1!$C$1</f>
        <v>-174376</v>
      </c>
      <c r="E251" s="6">
        <f>+Sheet1!E249*Sheet1!$C$1</f>
        <v>0</v>
      </c>
      <c r="F251" s="6">
        <f>+Sheet1!F249*Sheet1!$C$1</f>
        <v>0</v>
      </c>
      <c r="G251" s="6">
        <f>+Sheet1!G249*Sheet1!$C$1</f>
        <v>0</v>
      </c>
      <c r="H251" s="6">
        <f>+Sheet1!H249*Sheet1!$C$1</f>
        <v>0</v>
      </c>
      <c r="I251" s="6">
        <f>+Sheet1!I249*Sheet1!$C$1</f>
        <v>0</v>
      </c>
    </row>
    <row r="252" spans="1:9" x14ac:dyDescent="0.2">
      <c r="A252" s="11">
        <v>36951</v>
      </c>
      <c r="B252" s="6">
        <f>+Sheet1!B250*Sheet1!$C$1</f>
        <v>-217090</v>
      </c>
      <c r="C252" s="6">
        <f>+Sheet1!C250*Sheet1!$C$1</f>
        <v>-41353</v>
      </c>
      <c r="D252" s="6">
        <f>+Sheet1!D250*Sheet1!$C$1</f>
        <v>-8043</v>
      </c>
      <c r="E252" s="6">
        <f>+Sheet1!E250*Sheet1!$C$1</f>
        <v>0</v>
      </c>
      <c r="F252" s="6">
        <f>+Sheet1!F250*Sheet1!$C$1</f>
        <v>0</v>
      </c>
      <c r="G252" s="6">
        <f>+Sheet1!G250*Sheet1!$C$1</f>
        <v>-50000</v>
      </c>
      <c r="H252" s="6">
        <f>+Sheet1!H250*Sheet1!$C$1</f>
        <v>0</v>
      </c>
      <c r="I252" s="6">
        <f>+Sheet1!I250*Sheet1!$C$1</f>
        <v>-20000</v>
      </c>
    </row>
    <row r="253" spans="1:9" x14ac:dyDescent="0.2">
      <c r="A253" s="11">
        <v>36952</v>
      </c>
      <c r="B253" s="6">
        <f>+Sheet1!B251*Sheet1!$C$1</f>
        <v>-193522</v>
      </c>
      <c r="C253" s="6">
        <f>+Sheet1!C251*Sheet1!$C$1</f>
        <v>-8212</v>
      </c>
      <c r="D253" s="6">
        <f>+Sheet1!D251*Sheet1!$C$1</f>
        <v>-18488</v>
      </c>
      <c r="E253" s="6">
        <f>+Sheet1!E251*Sheet1!$C$1</f>
        <v>0</v>
      </c>
      <c r="F253" s="6">
        <f>+Sheet1!F251*Sheet1!$C$1</f>
        <v>0</v>
      </c>
      <c r="G253" s="6">
        <f>+Sheet1!G251*Sheet1!$C$1</f>
        <v>0</v>
      </c>
      <c r="H253" s="6">
        <f>+Sheet1!H251*Sheet1!$C$1</f>
        <v>0</v>
      </c>
      <c r="I253" s="6">
        <f>+Sheet1!I251*Sheet1!$C$1</f>
        <v>-20000</v>
      </c>
    </row>
    <row r="254" spans="1:9" x14ac:dyDescent="0.2">
      <c r="A254" s="11">
        <v>36953</v>
      </c>
      <c r="B254" s="6">
        <f>+Sheet1!B252*Sheet1!$C$1</f>
        <v>-92234</v>
      </c>
      <c r="C254" s="6">
        <f>+Sheet1!C252*Sheet1!$C$1</f>
        <v>19793</v>
      </c>
      <c r="D254" s="6">
        <f>+Sheet1!D252*Sheet1!$C$1</f>
        <v>-71227</v>
      </c>
      <c r="E254" s="6">
        <f>+Sheet1!E252*Sheet1!$C$1</f>
        <v>0</v>
      </c>
      <c r="F254" s="6">
        <f>+Sheet1!F252*Sheet1!$C$1</f>
        <v>0</v>
      </c>
      <c r="G254" s="6">
        <f>+Sheet1!G252*Sheet1!$C$1</f>
        <v>27000</v>
      </c>
      <c r="H254" s="6">
        <f>+Sheet1!H252*Sheet1!$C$1</f>
        <v>-20000</v>
      </c>
      <c r="I254" s="6">
        <f>+Sheet1!I252*Sheet1!$C$1</f>
        <v>-20000</v>
      </c>
    </row>
    <row r="255" spans="1:9" x14ac:dyDescent="0.2">
      <c r="A255" s="11">
        <v>36954</v>
      </c>
      <c r="B255" s="6">
        <f>+Sheet1!B253*Sheet1!$C$1</f>
        <v>-169180</v>
      </c>
      <c r="C255" s="6">
        <f>+Sheet1!C253*Sheet1!$C$1</f>
        <v>-49505</v>
      </c>
      <c r="D255" s="6">
        <f>+Sheet1!D253*Sheet1!$C$1</f>
        <v>-89074</v>
      </c>
      <c r="E255" s="6">
        <f>+Sheet1!E253*Sheet1!$C$1</f>
        <v>0</v>
      </c>
      <c r="F255" s="6">
        <f>+Sheet1!F253*Sheet1!$C$1</f>
        <v>0</v>
      </c>
      <c r="G255" s="6">
        <f>+Sheet1!G253*Sheet1!$C$1</f>
        <v>0</v>
      </c>
      <c r="H255" s="6">
        <f>+Sheet1!H253*Sheet1!$C$1</f>
        <v>-20000</v>
      </c>
      <c r="I255" s="6">
        <f>+Sheet1!I253*Sheet1!$C$1</f>
        <v>-20000</v>
      </c>
    </row>
    <row r="256" spans="1:9" x14ac:dyDescent="0.2">
      <c r="A256" s="11">
        <v>36955</v>
      </c>
      <c r="B256" s="6">
        <f>+Sheet1!B254*Sheet1!$C$1</f>
        <v>-234770</v>
      </c>
      <c r="C256" s="6">
        <f>+Sheet1!C254*Sheet1!$C$1</f>
        <v>-74619</v>
      </c>
      <c r="D256" s="6">
        <f>+Sheet1!D254*Sheet1!$C$1</f>
        <v>-127027</v>
      </c>
      <c r="E256" s="6">
        <f>+Sheet1!E254*Sheet1!$C$1</f>
        <v>0</v>
      </c>
      <c r="F256" s="6">
        <f>+Sheet1!F254*Sheet1!$C$1</f>
        <v>0</v>
      </c>
      <c r="G256" s="6">
        <f>+Sheet1!G254*Sheet1!$C$1</f>
        <v>-84854</v>
      </c>
      <c r="H256" s="6">
        <f>+Sheet1!H254*Sheet1!$C$1</f>
        <v>-20000</v>
      </c>
      <c r="I256" s="6">
        <f>+Sheet1!I254*Sheet1!$C$1</f>
        <v>-20000</v>
      </c>
    </row>
    <row r="257" spans="1:9" x14ac:dyDescent="0.2">
      <c r="A257" s="11">
        <v>36956</v>
      </c>
      <c r="B257" s="6">
        <f>+Sheet1!B255*Sheet1!$C$1</f>
        <v>-215350</v>
      </c>
      <c r="C257" s="6">
        <f>+Sheet1!C255*Sheet1!$C$1</f>
        <v>-50014</v>
      </c>
      <c r="D257" s="6">
        <f>+Sheet1!D255*Sheet1!$C$1</f>
        <v>-21414</v>
      </c>
      <c r="E257" s="6">
        <f>+Sheet1!E255*Sheet1!$C$1</f>
        <v>0</v>
      </c>
      <c r="F257" s="6">
        <f>+Sheet1!F255*Sheet1!$C$1</f>
        <v>0</v>
      </c>
      <c r="G257" s="6">
        <f>+Sheet1!G255*Sheet1!$C$1</f>
        <v>0</v>
      </c>
      <c r="H257" s="6">
        <f>+Sheet1!H255*Sheet1!$C$1</f>
        <v>-20000</v>
      </c>
      <c r="I257" s="6">
        <f>+Sheet1!I255*Sheet1!$C$1</f>
        <v>-20000</v>
      </c>
    </row>
    <row r="258" spans="1:9" x14ac:dyDescent="0.2">
      <c r="A258" s="11">
        <v>36957</v>
      </c>
      <c r="B258" s="6">
        <f>+Sheet1!B256*Sheet1!$C$1</f>
        <v>-3249</v>
      </c>
      <c r="C258" s="6">
        <f>+Sheet1!C256*Sheet1!$C$1</f>
        <v>-49923</v>
      </c>
      <c r="D258" s="6">
        <f>+Sheet1!D256*Sheet1!$C$1</f>
        <v>24800</v>
      </c>
      <c r="E258" s="6">
        <f>+Sheet1!E256*Sheet1!$C$1</f>
        <v>-45000</v>
      </c>
      <c r="F258" s="6">
        <f>+Sheet1!F256*Sheet1!$C$1</f>
        <v>-634</v>
      </c>
      <c r="G258" s="6">
        <f>+Sheet1!G256*Sheet1!$C$1</f>
        <v>0</v>
      </c>
      <c r="H258" s="6">
        <f>+Sheet1!H256*Sheet1!$C$1</f>
        <v>-20000</v>
      </c>
      <c r="I258" s="6">
        <f>+Sheet1!I256*Sheet1!$C$1</f>
        <v>-20000</v>
      </c>
    </row>
    <row r="259" spans="1:9" x14ac:dyDescent="0.2">
      <c r="A259" s="11">
        <v>36958</v>
      </c>
      <c r="B259" s="6">
        <f>+Sheet1!B257*Sheet1!$C$1</f>
        <v>6940</v>
      </c>
      <c r="C259" s="6">
        <f>+Sheet1!C257*Sheet1!$C$1</f>
        <v>-30213</v>
      </c>
      <c r="D259" s="6">
        <f>+Sheet1!D257*Sheet1!$C$1</f>
        <v>-68660</v>
      </c>
      <c r="E259" s="6">
        <f>+Sheet1!E257*Sheet1!$C$1</f>
        <v>-20000</v>
      </c>
      <c r="F259" s="6">
        <f>+Sheet1!F257*Sheet1!$C$1</f>
        <v>-30000</v>
      </c>
      <c r="G259" s="6">
        <f>+Sheet1!G257*Sheet1!$C$1</f>
        <v>-40000</v>
      </c>
      <c r="H259" s="6">
        <f>+Sheet1!H257*Sheet1!$C$1</f>
        <v>-5000</v>
      </c>
      <c r="I259" s="6">
        <f>+Sheet1!I257*Sheet1!$C$1</f>
        <v>-10000</v>
      </c>
    </row>
    <row r="260" spans="1:9" x14ac:dyDescent="0.2">
      <c r="A260" s="11">
        <v>36959</v>
      </c>
      <c r="B260" s="6">
        <f>+Sheet1!B258*Sheet1!$C$1</f>
        <v>252580</v>
      </c>
      <c r="C260" s="6">
        <f>+Sheet1!C258*Sheet1!$C$1</f>
        <v>-24871</v>
      </c>
      <c r="D260" s="6">
        <f>+Sheet1!D258*Sheet1!$C$1</f>
        <v>-85504</v>
      </c>
      <c r="E260" s="6">
        <f>+Sheet1!E258*Sheet1!$C$1</f>
        <v>-15000</v>
      </c>
      <c r="F260" s="6">
        <f>+Sheet1!F258*Sheet1!$C$1</f>
        <v>-30000</v>
      </c>
      <c r="G260" s="6">
        <f>+Sheet1!G258*Sheet1!$C$1</f>
        <v>0</v>
      </c>
      <c r="H260" s="6">
        <f>+Sheet1!H258*Sheet1!$C$1</f>
        <v>-5000</v>
      </c>
      <c r="I260" s="6">
        <f>+Sheet1!I258*Sheet1!$C$1</f>
        <v>-13000</v>
      </c>
    </row>
    <row r="261" spans="1:9" x14ac:dyDescent="0.2">
      <c r="A261" s="11">
        <v>36960</v>
      </c>
      <c r="B261" s="6">
        <f>+Sheet1!B259*Sheet1!$C$1</f>
        <v>255492</v>
      </c>
      <c r="C261" s="6">
        <f>+Sheet1!C259*Sheet1!$C$1</f>
        <v>-39994</v>
      </c>
      <c r="D261" s="6">
        <f>+Sheet1!D259*Sheet1!$C$1</f>
        <v>-47067</v>
      </c>
      <c r="E261" s="6">
        <f>+Sheet1!E259*Sheet1!$C$1</f>
        <v>-15000</v>
      </c>
      <c r="F261" s="6">
        <f>+Sheet1!F259*Sheet1!$C$1</f>
        <v>-30000</v>
      </c>
      <c r="G261" s="6">
        <f>+Sheet1!G259*Sheet1!$C$1</f>
        <v>-35000</v>
      </c>
      <c r="H261" s="6">
        <f>+Sheet1!H259*Sheet1!$C$1</f>
        <v>-5000</v>
      </c>
      <c r="I261" s="6">
        <f>+Sheet1!I259*Sheet1!$C$1</f>
        <v>-13000</v>
      </c>
    </row>
    <row r="262" spans="1:9" x14ac:dyDescent="0.2">
      <c r="A262" s="11">
        <v>36961</v>
      </c>
      <c r="B262" s="6">
        <f>+Sheet1!B260*Sheet1!$C$1</f>
        <v>276353</v>
      </c>
      <c r="C262" s="6">
        <f>+Sheet1!C260*Sheet1!$C$1</f>
        <v>-39995</v>
      </c>
      <c r="D262" s="6">
        <f>+Sheet1!D260*Sheet1!$C$1</f>
        <v>-129588</v>
      </c>
      <c r="E262" s="6">
        <f>+Sheet1!E260*Sheet1!$C$1</f>
        <v>-15000</v>
      </c>
      <c r="F262" s="6">
        <f>+Sheet1!F260*Sheet1!$C$1</f>
        <v>-30000</v>
      </c>
      <c r="G262" s="6">
        <f>+Sheet1!G260*Sheet1!$C$1</f>
        <v>-35000</v>
      </c>
      <c r="H262" s="6">
        <f>+Sheet1!H260*Sheet1!$C$1</f>
        <v>-5000</v>
      </c>
      <c r="I262" s="6">
        <f>+Sheet1!I260*Sheet1!$C$1</f>
        <v>-13000</v>
      </c>
    </row>
    <row r="263" spans="1:9" x14ac:dyDescent="0.2">
      <c r="A263" s="11">
        <v>36962</v>
      </c>
      <c r="B263" s="6">
        <f>+Sheet1!B261*Sheet1!$C$1</f>
        <v>270766</v>
      </c>
      <c r="C263" s="6">
        <f>+Sheet1!C261*Sheet1!$C$1</f>
        <v>-40004</v>
      </c>
      <c r="D263" s="6">
        <f>+Sheet1!D261*Sheet1!$C$1</f>
        <v>-125489</v>
      </c>
      <c r="E263" s="6">
        <f>+Sheet1!E261*Sheet1!$C$1</f>
        <v>-15000</v>
      </c>
      <c r="F263" s="6">
        <f>+Sheet1!F261*Sheet1!$C$1</f>
        <v>-30000</v>
      </c>
      <c r="G263" s="6">
        <f>+Sheet1!G261*Sheet1!$C$1</f>
        <v>-35000</v>
      </c>
      <c r="H263" s="6">
        <f>+Sheet1!H261*Sheet1!$C$1</f>
        <v>-5000</v>
      </c>
      <c r="I263" s="6">
        <f>+Sheet1!I261*Sheet1!$C$1</f>
        <v>-13000</v>
      </c>
    </row>
    <row r="264" spans="1:9" x14ac:dyDescent="0.2">
      <c r="A264" s="11">
        <v>36963</v>
      </c>
      <c r="B264" s="6">
        <f>+Sheet1!B262*Sheet1!$C$1</f>
        <v>260300</v>
      </c>
      <c r="C264" s="6">
        <f>+Sheet1!C262*Sheet1!$C$1</f>
        <v>-49763</v>
      </c>
      <c r="D264" s="6">
        <f>+Sheet1!D262*Sheet1!$C$1</f>
        <v>-81553</v>
      </c>
      <c r="E264" s="6">
        <f>+Sheet1!E262*Sheet1!$C$1</f>
        <v>-55000</v>
      </c>
      <c r="F264" s="6">
        <f>+Sheet1!F262*Sheet1!$C$1</f>
        <v>-30000</v>
      </c>
      <c r="G264" s="6">
        <f>+Sheet1!G262*Sheet1!$C$1</f>
        <v>-84854</v>
      </c>
      <c r="H264" s="6">
        <f>+Sheet1!H262*Sheet1!$C$1</f>
        <v>-20000</v>
      </c>
      <c r="I264" s="6">
        <f>+Sheet1!I262*Sheet1!$C$1</f>
        <v>-20000</v>
      </c>
    </row>
    <row r="265" spans="1:9" x14ac:dyDescent="0.2">
      <c r="A265" s="11">
        <v>36964</v>
      </c>
      <c r="B265" s="6">
        <f>+Sheet1!B263*Sheet1!$C$1</f>
        <v>241184</v>
      </c>
      <c r="C265" s="6">
        <f>+Sheet1!C263*Sheet1!$C$1</f>
        <v>-10457</v>
      </c>
      <c r="D265" s="6">
        <f>+Sheet1!D263*Sheet1!$C$1</f>
        <v>-60000</v>
      </c>
      <c r="E265" s="6">
        <f>+Sheet1!E263*Sheet1!$C$1</f>
        <v>20780</v>
      </c>
      <c r="F265" s="6">
        <f>+Sheet1!F263*Sheet1!$C$1</f>
        <v>46150</v>
      </c>
      <c r="G265" s="6">
        <f>+Sheet1!G263*Sheet1!$C$1</f>
        <v>-35000</v>
      </c>
      <c r="H265" s="6">
        <f>+Sheet1!H263*Sheet1!$C$1</f>
        <v>-5000</v>
      </c>
      <c r="I265" s="6">
        <f>+Sheet1!I263*Sheet1!$C$1</f>
        <v>-12000</v>
      </c>
    </row>
    <row r="266" spans="1:9" x14ac:dyDescent="0.2">
      <c r="A266" s="11">
        <v>36965</v>
      </c>
      <c r="B266" s="6">
        <f>+Sheet1!B264*Sheet1!$C$1</f>
        <v>269614</v>
      </c>
      <c r="C266" s="6">
        <f>+Sheet1!C264*Sheet1!$C$1</f>
        <v>-50010</v>
      </c>
      <c r="D266" s="6">
        <f>+Sheet1!D264*Sheet1!$C$1</f>
        <v>-85926</v>
      </c>
      <c r="E266" s="6">
        <f>+Sheet1!E264*Sheet1!$C$1</f>
        <v>-45000</v>
      </c>
      <c r="F266" s="6">
        <f>+Sheet1!F264*Sheet1!$C$1</f>
        <v>-30000</v>
      </c>
      <c r="G266" s="6">
        <f>+Sheet1!G264*Sheet1!$C$1</f>
        <v>-35000</v>
      </c>
      <c r="H266" s="6">
        <f>+Sheet1!H264*Sheet1!$C$1</f>
        <v>-5000</v>
      </c>
      <c r="I266" s="6">
        <f>+Sheet1!I264*Sheet1!$C$1</f>
        <v>-12000</v>
      </c>
    </row>
    <row r="267" spans="1:9" x14ac:dyDescent="0.2">
      <c r="A267" s="11">
        <v>36966</v>
      </c>
      <c r="B267" s="6">
        <f>+Sheet1!B265*Sheet1!$C$1</f>
        <v>254582</v>
      </c>
      <c r="C267" s="6">
        <f>+Sheet1!C265*Sheet1!$C$1</f>
        <v>-61711</v>
      </c>
      <c r="D267" s="6">
        <f>+Sheet1!D265*Sheet1!$C$1</f>
        <v>-138171</v>
      </c>
      <c r="E267" s="6">
        <f>+Sheet1!E265*Sheet1!$C$1</f>
        <v>-45000</v>
      </c>
      <c r="F267" s="6">
        <f>+Sheet1!F265*Sheet1!$C$1</f>
        <v>-45000</v>
      </c>
      <c r="G267" s="6">
        <f>+Sheet1!G265*Sheet1!$C$1</f>
        <v>-84854</v>
      </c>
      <c r="H267" s="6">
        <f>+Sheet1!H265*Sheet1!$C$1</f>
        <v>-20000</v>
      </c>
      <c r="I267" s="6">
        <f>+Sheet1!I265*Sheet1!$C$1</f>
        <v>-20000</v>
      </c>
    </row>
    <row r="268" spans="1:9" x14ac:dyDescent="0.2">
      <c r="A268" s="11">
        <v>36967</v>
      </c>
      <c r="B268" s="6">
        <f>+Sheet1!B266*Sheet1!$C$1</f>
        <v>247084</v>
      </c>
      <c r="C268" s="6">
        <f>+Sheet1!C266*Sheet1!$C$1</f>
        <v>-49967</v>
      </c>
      <c r="D268" s="6">
        <f>+Sheet1!D266*Sheet1!$C$1</f>
        <v>-60000</v>
      </c>
      <c r="E268" s="6">
        <f>+Sheet1!E266*Sheet1!$C$1</f>
        <v>-45000</v>
      </c>
      <c r="F268" s="6">
        <f>+Sheet1!F266*Sheet1!$C$1</f>
        <v>-39430</v>
      </c>
      <c r="G268" s="6">
        <f>+Sheet1!G266*Sheet1!$C$1</f>
        <v>-84854</v>
      </c>
      <c r="H268" s="6">
        <f>+Sheet1!H266*Sheet1!$C$1</f>
        <v>-20000</v>
      </c>
      <c r="I268" s="6">
        <f>+Sheet1!I266*Sheet1!$C$1</f>
        <v>-20000</v>
      </c>
    </row>
    <row r="269" spans="1:9" x14ac:dyDescent="0.2">
      <c r="A269" s="21">
        <v>36968</v>
      </c>
      <c r="B269" s="6">
        <f>+Sheet1!B267*Sheet1!$C$1</f>
        <v>239290</v>
      </c>
      <c r="C269" s="6">
        <f>+Sheet1!C267*Sheet1!$C$1</f>
        <v>-50002</v>
      </c>
      <c r="D269" s="6">
        <f>+Sheet1!D267*Sheet1!$C$1</f>
        <v>-60000</v>
      </c>
      <c r="E269" s="6">
        <f>+Sheet1!E267*Sheet1!$C$1</f>
        <v>-45000</v>
      </c>
      <c r="F269" s="6">
        <f>+Sheet1!F267*Sheet1!$C$1</f>
        <v>-22145</v>
      </c>
      <c r="G269" s="6">
        <f>+Sheet1!G267*Sheet1!$C$1</f>
        <v>-35000</v>
      </c>
      <c r="H269" s="6">
        <f>+Sheet1!H267*Sheet1!$C$1</f>
        <v>-20000</v>
      </c>
      <c r="I269" s="6">
        <f>+Sheet1!I267*Sheet1!$C$1</f>
        <v>-20000</v>
      </c>
    </row>
    <row r="270" spans="1:9" x14ac:dyDescent="0.2">
      <c r="A270" s="21">
        <v>36969</v>
      </c>
      <c r="B270" s="6">
        <f>+Sheet1!B268*Sheet1!$C$1</f>
        <v>256910</v>
      </c>
      <c r="C270" s="6">
        <f>+Sheet1!C268*Sheet1!$C$1</f>
        <v>-43545</v>
      </c>
      <c r="D270" s="6">
        <f>+Sheet1!D268*Sheet1!$C$1</f>
        <v>-83237</v>
      </c>
      <c r="E270" s="6">
        <f>+Sheet1!E268*Sheet1!$C$1</f>
        <v>0</v>
      </c>
      <c r="F270" s="6">
        <f>+Sheet1!F268*Sheet1!$C$1</f>
        <v>-30000</v>
      </c>
      <c r="G270" s="6">
        <f>+Sheet1!G268*Sheet1!$C$1</f>
        <v>-35000</v>
      </c>
      <c r="H270" s="6">
        <f>+Sheet1!H268*Sheet1!$C$1</f>
        <v>-20000</v>
      </c>
      <c r="I270" s="6">
        <f>+Sheet1!I268*Sheet1!$C$1</f>
        <v>-20000</v>
      </c>
    </row>
    <row r="271" spans="1:9" x14ac:dyDescent="0.2">
      <c r="A271" s="21">
        <v>36970</v>
      </c>
      <c r="B271" s="6">
        <f>+Sheet1!B269*Sheet1!$C$1</f>
        <v>234218</v>
      </c>
      <c r="C271" s="6">
        <f>+Sheet1!C269*Sheet1!$C$1</f>
        <v>-17945</v>
      </c>
      <c r="D271" s="6">
        <f>+Sheet1!D269*Sheet1!$C$1</f>
        <v>-100453</v>
      </c>
      <c r="E271" s="6">
        <f>+Sheet1!E269*Sheet1!$C$1</f>
        <v>0</v>
      </c>
      <c r="F271" s="6">
        <f>+Sheet1!F269*Sheet1!$C$1</f>
        <v>-30000</v>
      </c>
      <c r="G271" s="6">
        <f>+Sheet1!G269*Sheet1!$C$1</f>
        <v>-84854</v>
      </c>
      <c r="H271" s="6">
        <f>+Sheet1!H269*Sheet1!$C$1</f>
        <v>0</v>
      </c>
      <c r="I271" s="6">
        <f>+Sheet1!I269*Sheet1!$C$1</f>
        <v>0</v>
      </c>
    </row>
    <row r="272" spans="1:9" x14ac:dyDescent="0.2">
      <c r="A272" s="21">
        <v>36971</v>
      </c>
      <c r="B272" s="6">
        <f>+Sheet1!B270*Sheet1!$C$1</f>
        <v>229103</v>
      </c>
      <c r="C272" s="6">
        <f>+Sheet1!C270*Sheet1!$C$1</f>
        <v>-222</v>
      </c>
      <c r="D272" s="6">
        <f>+Sheet1!D270*Sheet1!$C$1</f>
        <v>-60000</v>
      </c>
      <c r="E272" s="6">
        <f>+Sheet1!E270*Sheet1!$C$1</f>
        <v>0</v>
      </c>
      <c r="F272" s="6">
        <f>+Sheet1!F270*Sheet1!$C$1</f>
        <v>-11621</v>
      </c>
      <c r="G272" s="6">
        <f>+Sheet1!G270*Sheet1!$C$1</f>
        <v>0</v>
      </c>
      <c r="H272" s="6">
        <f>+Sheet1!H270*Sheet1!$C$1</f>
        <v>0</v>
      </c>
      <c r="I272" s="6">
        <f>+Sheet1!I270*Sheet1!$C$1</f>
        <v>0</v>
      </c>
    </row>
    <row r="273" spans="1:9" x14ac:dyDescent="0.2">
      <c r="A273" s="21">
        <v>36972</v>
      </c>
      <c r="B273" s="6">
        <f>+Sheet1!B271*Sheet1!$C$1</f>
        <v>245222</v>
      </c>
      <c r="C273" s="6">
        <f>+Sheet1!C271*Sheet1!$C$1</f>
        <v>0</v>
      </c>
      <c r="D273" s="6">
        <f>+Sheet1!D271*Sheet1!$C$1</f>
        <v>-60000</v>
      </c>
      <c r="E273" s="6">
        <f>+Sheet1!E271*Sheet1!$C$1</f>
        <v>0</v>
      </c>
      <c r="F273" s="6">
        <f>+Sheet1!F271*Sheet1!$C$1</f>
        <v>-3381</v>
      </c>
      <c r="G273" s="6">
        <f>+Sheet1!G271*Sheet1!$C$1</f>
        <v>0</v>
      </c>
      <c r="H273" s="6">
        <f>+Sheet1!H271*Sheet1!$C$1</f>
        <v>0</v>
      </c>
      <c r="I273" s="6">
        <f>+Sheet1!I271*Sheet1!$C$1</f>
        <v>0</v>
      </c>
    </row>
    <row r="274" spans="1:9" x14ac:dyDescent="0.2">
      <c r="A274" s="21">
        <v>36973</v>
      </c>
      <c r="B274" s="6">
        <f>+Sheet1!B272*Sheet1!$C$1</f>
        <v>196959</v>
      </c>
      <c r="C274" s="6">
        <f>+Sheet1!C272*Sheet1!$C$1</f>
        <v>-13</v>
      </c>
      <c r="D274" s="6">
        <f>+Sheet1!D272*Sheet1!$C$1</f>
        <v>-16010</v>
      </c>
      <c r="E274" s="6">
        <f>+Sheet1!E272*Sheet1!$C$1</f>
        <v>0</v>
      </c>
      <c r="F274" s="6">
        <f>+Sheet1!F272*Sheet1!$C$1</f>
        <v>-30000</v>
      </c>
      <c r="G274" s="6">
        <f>+Sheet1!G272*Sheet1!$C$1</f>
        <v>0</v>
      </c>
      <c r="H274" s="6">
        <f>+Sheet1!H272*Sheet1!$C$1</f>
        <v>0</v>
      </c>
      <c r="I274" s="6">
        <f>+Sheet1!I272*Sheet1!$C$1</f>
        <v>0</v>
      </c>
    </row>
    <row r="275" spans="1:9" x14ac:dyDescent="0.2">
      <c r="A275" s="21">
        <v>36974</v>
      </c>
      <c r="B275" s="6">
        <f>+Sheet1!B273*Sheet1!$C$1</f>
        <v>181659</v>
      </c>
      <c r="C275" s="6">
        <f>+Sheet1!C273*Sheet1!$C$1</f>
        <v>-39813</v>
      </c>
      <c r="D275" s="6">
        <f>+Sheet1!D273*Sheet1!$C$1</f>
        <v>-90781</v>
      </c>
      <c r="E275" s="6">
        <f>+Sheet1!E273*Sheet1!$C$1</f>
        <v>-30000</v>
      </c>
      <c r="F275" s="6">
        <f>+Sheet1!F273*Sheet1!$C$1</f>
        <v>-30000</v>
      </c>
      <c r="G275" s="6">
        <f>+Sheet1!G273*Sheet1!$C$1</f>
        <v>-84854</v>
      </c>
      <c r="H275" s="6">
        <f>+Sheet1!H273*Sheet1!$C$1</f>
        <v>0</v>
      </c>
      <c r="I275" s="6">
        <f>+Sheet1!I273*Sheet1!$C$1</f>
        <v>0</v>
      </c>
    </row>
    <row r="276" spans="1:9" x14ac:dyDescent="0.2">
      <c r="A276" s="21">
        <v>36975</v>
      </c>
      <c r="B276" s="6">
        <f>+Sheet1!B274*Sheet1!$C$1</f>
        <v>113700</v>
      </c>
      <c r="C276" s="6">
        <f>+Sheet1!C274*Sheet1!$C$1</f>
        <v>-70175</v>
      </c>
      <c r="D276" s="6">
        <f>+Sheet1!D274*Sheet1!$C$1</f>
        <v>-116134</v>
      </c>
      <c r="E276" s="6">
        <f>+Sheet1!E274*Sheet1!$C$1</f>
        <v>-65000</v>
      </c>
      <c r="F276" s="6">
        <f>+Sheet1!F274*Sheet1!$C$1</f>
        <v>-60000</v>
      </c>
      <c r="G276" s="6">
        <f>+Sheet1!G274*Sheet1!$C$1</f>
        <v>-84854</v>
      </c>
      <c r="H276" s="6">
        <f>+Sheet1!H274*Sheet1!$C$1</f>
        <v>0</v>
      </c>
      <c r="I276" s="6">
        <f>+Sheet1!I274*Sheet1!$C$1</f>
        <v>0</v>
      </c>
    </row>
    <row r="277" spans="1:9" x14ac:dyDescent="0.2">
      <c r="A277" s="21">
        <v>36976</v>
      </c>
      <c r="B277" s="6">
        <f>+Sheet1!B275*Sheet1!$C$1</f>
        <v>57770</v>
      </c>
      <c r="C277" s="6">
        <f>+Sheet1!C275*Sheet1!$C$1</f>
        <v>-90245</v>
      </c>
      <c r="D277" s="6">
        <f>+Sheet1!D275*Sheet1!$C$1</f>
        <v>-10353</v>
      </c>
      <c r="E277" s="6">
        <f>+Sheet1!E275*Sheet1!$C$1</f>
        <v>-65000</v>
      </c>
      <c r="F277" s="6">
        <f>+Sheet1!F275*Sheet1!$C$1</f>
        <v>-60000</v>
      </c>
      <c r="G277" s="6">
        <f>+Sheet1!G275*Sheet1!$C$1</f>
        <v>-47976</v>
      </c>
      <c r="H277" s="6">
        <f>+Sheet1!H275*Sheet1!$C$1</f>
        <v>0</v>
      </c>
      <c r="I277" s="6">
        <f>+Sheet1!I275*Sheet1!$C$1</f>
        <v>0</v>
      </c>
    </row>
    <row r="278" spans="1:9" x14ac:dyDescent="0.2">
      <c r="A278" s="21">
        <v>36977</v>
      </c>
      <c r="B278" s="6">
        <f>+Sheet1!B276*Sheet1!$C$1</f>
        <v>153358</v>
      </c>
      <c r="C278" s="6">
        <f>+Sheet1!C276*Sheet1!$C$1</f>
        <v>41</v>
      </c>
      <c r="D278" s="6">
        <f>+Sheet1!D276*Sheet1!$C$1</f>
        <v>-47963</v>
      </c>
      <c r="E278" s="6">
        <f>+Sheet1!E276*Sheet1!$C$1</f>
        <v>0</v>
      </c>
      <c r="F278" s="6">
        <f>+Sheet1!F276*Sheet1!$C$1</f>
        <v>0</v>
      </c>
      <c r="G278" s="6">
        <f>+Sheet1!G276*Sheet1!$C$1</f>
        <v>0</v>
      </c>
      <c r="H278" s="6">
        <f>+Sheet1!H276*Sheet1!$C$1</f>
        <v>0</v>
      </c>
      <c r="I278" s="6">
        <f>+Sheet1!I276*Sheet1!$C$1</f>
        <v>-20000</v>
      </c>
    </row>
    <row r="279" spans="1:9" x14ac:dyDescent="0.2">
      <c r="A279" s="21">
        <v>36978</v>
      </c>
      <c r="B279" s="6">
        <f>+Sheet1!B277*Sheet1!$C$1</f>
        <v>250036</v>
      </c>
      <c r="C279" s="6">
        <f>+Sheet1!C277*Sheet1!$C$1</f>
        <v>814</v>
      </c>
      <c r="D279" s="6">
        <f>+Sheet1!D277*Sheet1!$C$1</f>
        <v>-670</v>
      </c>
      <c r="E279" s="6">
        <f>+Sheet1!E277*Sheet1!$C$1</f>
        <v>0</v>
      </c>
      <c r="F279" s="6">
        <f>+Sheet1!F277*Sheet1!$C$1</f>
        <v>0</v>
      </c>
      <c r="G279" s="6">
        <f>+Sheet1!G277*Sheet1!$C$1</f>
        <v>0</v>
      </c>
      <c r="H279" s="6">
        <f>+Sheet1!H277*Sheet1!$C$1</f>
        <v>-814</v>
      </c>
      <c r="I279" s="6">
        <f>+Sheet1!I277*Sheet1!$C$1</f>
        <v>-20000</v>
      </c>
    </row>
    <row r="280" spans="1:9" x14ac:dyDescent="0.2">
      <c r="A280" s="21">
        <v>36979</v>
      </c>
      <c r="B280" s="6">
        <f>+Sheet1!B278*Sheet1!$C$1</f>
        <v>243404</v>
      </c>
      <c r="C280" s="6">
        <f>+Sheet1!C278*Sheet1!$C$1</f>
        <v>0</v>
      </c>
      <c r="D280" s="6">
        <f>+Sheet1!D278*Sheet1!$C$1</f>
        <v>-56425</v>
      </c>
      <c r="E280" s="6">
        <f>+Sheet1!E278*Sheet1!$C$1</f>
        <v>0</v>
      </c>
      <c r="F280" s="6">
        <f>+Sheet1!F278*Sheet1!$C$1</f>
        <v>0</v>
      </c>
      <c r="G280" s="6">
        <f>+Sheet1!G278*Sheet1!$C$1</f>
        <v>0</v>
      </c>
      <c r="H280" s="6">
        <f>+Sheet1!H278*Sheet1!$C$1</f>
        <v>0</v>
      </c>
      <c r="I280" s="6">
        <f>+Sheet1!I278*Sheet1!$C$1</f>
        <v>0</v>
      </c>
    </row>
    <row r="281" spans="1:9" x14ac:dyDescent="0.2">
      <c r="A281" s="21">
        <v>36980</v>
      </c>
      <c r="B281" s="6">
        <f>+Sheet1!B279*Sheet1!$C$1</f>
        <v>190800</v>
      </c>
      <c r="C281" s="6">
        <f>+Sheet1!C279*Sheet1!$C$1</f>
        <v>0</v>
      </c>
      <c r="D281" s="6">
        <f>+Sheet1!D279*Sheet1!$C$1</f>
        <v>-4629</v>
      </c>
      <c r="E281" s="6">
        <f>+Sheet1!E279*Sheet1!$C$1</f>
        <v>0</v>
      </c>
      <c r="F281" s="6">
        <f>+Sheet1!F279*Sheet1!$C$1</f>
        <v>0</v>
      </c>
      <c r="G281" s="6">
        <f>+Sheet1!G279*Sheet1!$C$1</f>
        <v>0</v>
      </c>
      <c r="H281" s="6">
        <f>+Sheet1!H279*Sheet1!$C$1</f>
        <v>0</v>
      </c>
      <c r="I281" s="6">
        <f>+Sheet1!I279*Sheet1!$C$1</f>
        <v>0</v>
      </c>
    </row>
    <row r="282" spans="1:9" x14ac:dyDescent="0.2">
      <c r="A282" s="21">
        <v>36981</v>
      </c>
      <c r="B282" s="6">
        <f>+Sheet1!B280*Sheet1!$C$1</f>
        <v>182410</v>
      </c>
      <c r="C282" s="6">
        <f>+Sheet1!C280*Sheet1!$C$1</f>
        <v>0</v>
      </c>
      <c r="D282" s="6">
        <f>+Sheet1!D280*Sheet1!$C$1</f>
        <v>-60000</v>
      </c>
      <c r="E282" s="6">
        <f>+Sheet1!E280*Sheet1!$C$1</f>
        <v>0</v>
      </c>
      <c r="F282" s="6">
        <f>+Sheet1!F280*Sheet1!$C$1</f>
        <v>0</v>
      </c>
      <c r="G282" s="6">
        <f>+Sheet1!G280*Sheet1!$C$1</f>
        <v>0</v>
      </c>
      <c r="H282" s="6">
        <f>+Sheet1!H280*Sheet1!$C$1</f>
        <v>0</v>
      </c>
      <c r="I282" s="6">
        <f>+Sheet1!I280*Sheet1!$C$1</f>
        <v>0</v>
      </c>
    </row>
    <row r="283" spans="1:9" x14ac:dyDescent="0.2">
      <c r="A283" s="21">
        <v>36982</v>
      </c>
      <c r="B283" s="6">
        <f>+Sheet1!B281*Sheet1!$C$1</f>
        <v>173087</v>
      </c>
      <c r="C283" s="6">
        <f>+Sheet1!C281*Sheet1!$C$1</f>
        <v>39000</v>
      </c>
      <c r="D283" s="6">
        <f>+Sheet1!D281*Sheet1!$C$1</f>
        <v>-57596</v>
      </c>
      <c r="E283" s="6">
        <f>+Sheet1!E281*Sheet1!$C$1</f>
        <v>0</v>
      </c>
      <c r="F283" s="6">
        <f>+Sheet1!F281*Sheet1!$C$1</f>
        <v>0</v>
      </c>
      <c r="G283" s="6">
        <f>+Sheet1!G281*Sheet1!$C$1</f>
        <v>0</v>
      </c>
      <c r="H283" s="6">
        <f>+Sheet1!H281*Sheet1!$C$1</f>
        <v>0</v>
      </c>
      <c r="I283" s="6">
        <f>+Sheet1!I281*Sheet1!$C$1</f>
        <v>-20000</v>
      </c>
    </row>
    <row r="284" spans="1:9" x14ac:dyDescent="0.2">
      <c r="A284" s="21">
        <v>36983</v>
      </c>
      <c r="B284" s="6">
        <f>+Sheet1!B282*Sheet1!$C$1</f>
        <v>194557</v>
      </c>
      <c r="C284" s="6">
        <f>+Sheet1!C282*Sheet1!$C$1</f>
        <v>39000</v>
      </c>
      <c r="D284" s="6">
        <f>+Sheet1!D282*Sheet1!$C$1</f>
        <v>-62475</v>
      </c>
      <c r="E284" s="6">
        <f>+Sheet1!E282*Sheet1!$C$1</f>
        <v>0</v>
      </c>
      <c r="F284" s="6">
        <f>+Sheet1!F282*Sheet1!$C$1</f>
        <v>0</v>
      </c>
      <c r="G284" s="6">
        <f>+Sheet1!G282*Sheet1!$C$1</f>
        <v>0</v>
      </c>
      <c r="H284" s="6">
        <f>+Sheet1!H282*Sheet1!$C$1</f>
        <v>0</v>
      </c>
      <c r="I284" s="6">
        <f>+Sheet1!I282*Sheet1!$C$1</f>
        <v>-20000</v>
      </c>
    </row>
    <row r="285" spans="1:9" x14ac:dyDescent="0.2">
      <c r="A285" s="21">
        <v>36984</v>
      </c>
      <c r="B285" s="6">
        <f>+Sheet1!B283*Sheet1!$C$1</f>
        <v>194464</v>
      </c>
      <c r="C285" s="6">
        <f>+Sheet1!C283*Sheet1!$C$1</f>
        <v>39000</v>
      </c>
      <c r="D285" s="6">
        <f>+Sheet1!D283*Sheet1!$C$1</f>
        <v>-170000</v>
      </c>
      <c r="E285" s="6">
        <f>+Sheet1!E283*Sheet1!$C$1</f>
        <v>0</v>
      </c>
      <c r="F285" s="6">
        <f>+Sheet1!F283*Sheet1!$C$1</f>
        <v>-12181</v>
      </c>
      <c r="G285" s="6">
        <f>+Sheet1!G283*Sheet1!$C$1</f>
        <v>0</v>
      </c>
      <c r="H285" s="6">
        <f>+Sheet1!H283*Sheet1!$C$1</f>
        <v>0</v>
      </c>
      <c r="I285" s="6">
        <f>+Sheet1!I283*Sheet1!$C$1</f>
        <v>0</v>
      </c>
    </row>
    <row r="286" spans="1:9" x14ac:dyDescent="0.2">
      <c r="A286" s="21">
        <v>36985</v>
      </c>
      <c r="B286" s="6">
        <f>+Sheet1!B284*Sheet1!$C$1</f>
        <v>214726</v>
      </c>
      <c r="C286" s="6">
        <f>+Sheet1!C284*Sheet1!$C$1</f>
        <v>41145</v>
      </c>
      <c r="D286" s="6">
        <f>+Sheet1!D284*Sheet1!$C$1</f>
        <v>-170000</v>
      </c>
      <c r="E286" s="6">
        <f>+Sheet1!E284*Sheet1!$C$1</f>
        <v>7492</v>
      </c>
      <c r="F286" s="6">
        <f>+Sheet1!F284*Sheet1!$C$1</f>
        <v>0</v>
      </c>
      <c r="G286" s="6">
        <f>+Sheet1!G284*Sheet1!$C$1</f>
        <v>0</v>
      </c>
      <c r="H286" s="6">
        <f>+Sheet1!H284*Sheet1!$C$1</f>
        <v>0</v>
      </c>
      <c r="I286" s="6">
        <f>+Sheet1!I284*Sheet1!$C$1</f>
        <v>-20000</v>
      </c>
    </row>
    <row r="287" spans="1:9" x14ac:dyDescent="0.2">
      <c r="A287" s="21">
        <v>36986</v>
      </c>
      <c r="B287" s="6">
        <f>+Sheet1!B285*Sheet1!$C$1</f>
        <v>190920</v>
      </c>
      <c r="C287" s="6">
        <f>+Sheet1!C285*Sheet1!$C$1</f>
        <v>41145</v>
      </c>
      <c r="D287" s="6">
        <f>+Sheet1!D285*Sheet1!$C$1</f>
        <v>-25000</v>
      </c>
      <c r="E287" s="6">
        <f>+Sheet1!E285*Sheet1!$C$1</f>
        <v>21771</v>
      </c>
      <c r="F287" s="6">
        <f>+Sheet1!F285*Sheet1!$C$1</f>
        <v>0</v>
      </c>
      <c r="G287" s="6">
        <f>+Sheet1!G285*Sheet1!$C$1</f>
        <v>0</v>
      </c>
      <c r="H287" s="6">
        <f>+Sheet1!H285*Sheet1!$C$1</f>
        <v>0</v>
      </c>
      <c r="I287" s="6">
        <f>+Sheet1!I285*Sheet1!$C$1</f>
        <v>0</v>
      </c>
    </row>
    <row r="288" spans="1:9" x14ac:dyDescent="0.2">
      <c r="A288" s="21">
        <v>36987</v>
      </c>
      <c r="B288" s="6">
        <f>+Sheet1!B286*Sheet1!$C$1</f>
        <v>262480</v>
      </c>
      <c r="C288" s="6">
        <f>+Sheet1!C286*Sheet1!$C$1</f>
        <v>41145</v>
      </c>
      <c r="D288" s="6">
        <f>+Sheet1!D286*Sheet1!$C$1</f>
        <v>-34247</v>
      </c>
      <c r="E288" s="6">
        <f>+Sheet1!E286*Sheet1!$C$1</f>
        <v>0</v>
      </c>
      <c r="F288" s="6">
        <f>+Sheet1!F286*Sheet1!$C$1</f>
        <v>0</v>
      </c>
      <c r="G288" s="6">
        <f>+Sheet1!G286*Sheet1!$C$1</f>
        <v>0</v>
      </c>
      <c r="H288" s="6">
        <f>+Sheet1!H286*Sheet1!$C$1</f>
        <v>0</v>
      </c>
      <c r="I288" s="6">
        <f>+Sheet1!I286*Sheet1!$C$1</f>
        <v>0</v>
      </c>
    </row>
    <row r="289" spans="1:9" x14ac:dyDescent="0.2">
      <c r="A289" s="21">
        <v>36988</v>
      </c>
      <c r="B289" s="6">
        <f>+Sheet1!B287*Sheet1!$C$1</f>
        <v>175380</v>
      </c>
      <c r="C289" s="6">
        <f>+Sheet1!C287*Sheet1!$C$1</f>
        <v>41146</v>
      </c>
      <c r="D289" s="6">
        <f>+Sheet1!D287*Sheet1!$C$1</f>
        <v>-25000</v>
      </c>
      <c r="E289" s="6">
        <f>+Sheet1!E287*Sheet1!$C$1</f>
        <v>26139</v>
      </c>
      <c r="F289" s="6">
        <f>+Sheet1!F287*Sheet1!$C$1</f>
        <v>0</v>
      </c>
      <c r="G289" s="6">
        <f>+Sheet1!G287*Sheet1!$C$1</f>
        <v>0</v>
      </c>
      <c r="H289" s="6">
        <f>+Sheet1!H287*Sheet1!$C$1</f>
        <v>0</v>
      </c>
      <c r="I289" s="6">
        <f>+Sheet1!I287*Sheet1!$C$1</f>
        <v>0</v>
      </c>
    </row>
    <row r="290" spans="1:9" x14ac:dyDescent="0.2">
      <c r="A290" s="21">
        <v>36989</v>
      </c>
      <c r="B290" s="6">
        <f>+Sheet1!B288*Sheet1!$C$1</f>
        <v>153370</v>
      </c>
      <c r="C290" s="6">
        <f>+Sheet1!C288*Sheet1!$C$1</f>
        <v>41146</v>
      </c>
      <c r="D290" s="6">
        <f>+Sheet1!D288*Sheet1!$C$1</f>
        <v>-25000</v>
      </c>
      <c r="E290" s="6">
        <f>+Sheet1!E288*Sheet1!$C$1</f>
        <v>2967</v>
      </c>
      <c r="F290" s="6">
        <f>+Sheet1!F288*Sheet1!$C$1</f>
        <v>0</v>
      </c>
      <c r="G290" s="6">
        <f>+Sheet1!G288*Sheet1!$C$1</f>
        <v>0</v>
      </c>
      <c r="H290" s="6">
        <f>+Sheet1!H288*Sheet1!$C$1</f>
        <v>0</v>
      </c>
      <c r="I290" s="6">
        <f>+Sheet1!I288*Sheet1!$C$1</f>
        <v>0</v>
      </c>
    </row>
    <row r="291" spans="1:9" x14ac:dyDescent="0.2">
      <c r="A291" s="21">
        <v>36990</v>
      </c>
      <c r="B291" s="6">
        <f>+Sheet1!B289*Sheet1!$C$1</f>
        <v>123980</v>
      </c>
      <c r="C291" s="6">
        <f>+Sheet1!C289*Sheet1!$C$1</f>
        <v>11146</v>
      </c>
      <c r="D291" s="6">
        <f>+Sheet1!D289*Sheet1!$C$1</f>
        <v>-101600</v>
      </c>
      <c r="E291" s="6">
        <f>+Sheet1!E289*Sheet1!$C$1</f>
        <v>0</v>
      </c>
      <c r="F291" s="6">
        <f>+Sheet1!F289*Sheet1!$C$1</f>
        <v>-22271</v>
      </c>
      <c r="G291" s="6">
        <f>+Sheet1!G289*Sheet1!$C$1</f>
        <v>0</v>
      </c>
      <c r="H291" s="6">
        <f>+Sheet1!H289*Sheet1!$C$1</f>
        <v>0</v>
      </c>
      <c r="I291" s="6">
        <f>+Sheet1!I289*Sheet1!$C$1</f>
        <v>0</v>
      </c>
    </row>
    <row r="292" spans="1:9" x14ac:dyDescent="0.2">
      <c r="A292" s="21">
        <v>36991</v>
      </c>
      <c r="B292" s="6">
        <f>+Sheet1!B290*Sheet1!$C$1</f>
        <v>104223</v>
      </c>
      <c r="C292" s="6">
        <f>+Sheet1!C290*Sheet1!$C$1</f>
        <v>0</v>
      </c>
      <c r="D292" s="6">
        <f>+Sheet1!D290*Sheet1!$C$1</f>
        <v>-79348</v>
      </c>
      <c r="E292" s="6">
        <f>+Sheet1!E290*Sheet1!$C$1</f>
        <v>0</v>
      </c>
      <c r="F292" s="6">
        <f>+Sheet1!F290*Sheet1!$C$1</f>
        <v>0</v>
      </c>
      <c r="G292" s="6">
        <f>+Sheet1!G290*Sheet1!$C$1</f>
        <v>0</v>
      </c>
      <c r="H292" s="6">
        <f>+Sheet1!H290*Sheet1!$C$1</f>
        <v>0</v>
      </c>
      <c r="I292" s="6">
        <f>+Sheet1!I290*Sheet1!$C$1</f>
        <v>0</v>
      </c>
    </row>
    <row r="293" spans="1:9" x14ac:dyDescent="0.2">
      <c r="A293" s="21">
        <v>36992</v>
      </c>
      <c r="B293" s="6">
        <f>+Sheet1!B291*Sheet1!$C$1</f>
        <v>187879</v>
      </c>
      <c r="C293" s="6">
        <f>+Sheet1!C291*Sheet1!$C$1</f>
        <v>41560</v>
      </c>
      <c r="D293" s="6">
        <f>+Sheet1!D291*Sheet1!$C$1</f>
        <v>-25000</v>
      </c>
      <c r="E293" s="6">
        <f>+Sheet1!E291*Sheet1!$C$1</f>
        <v>21422</v>
      </c>
      <c r="F293" s="6">
        <f>+Sheet1!F291*Sheet1!$C$1</f>
        <v>0</v>
      </c>
      <c r="G293" s="6">
        <f>+Sheet1!G291*Sheet1!$C$1</f>
        <v>0</v>
      </c>
      <c r="H293" s="6">
        <f>+Sheet1!H291*Sheet1!$C$1</f>
        <v>0</v>
      </c>
      <c r="I293" s="6">
        <f>+Sheet1!I291*Sheet1!$C$1</f>
        <v>0</v>
      </c>
    </row>
    <row r="294" spans="1:9" x14ac:dyDescent="0.2">
      <c r="A294" s="21">
        <v>36993</v>
      </c>
      <c r="B294" s="6">
        <f>+Sheet1!B292*Sheet1!$C$1</f>
        <v>195330</v>
      </c>
      <c r="C294" s="6">
        <f>+Sheet1!C292*Sheet1!$C$1</f>
        <v>34771</v>
      </c>
      <c r="D294" s="6">
        <f>+Sheet1!D292*Sheet1!$C$1</f>
        <v>-21279</v>
      </c>
      <c r="E294" s="6">
        <f>+Sheet1!E292*Sheet1!$C$1</f>
        <v>4633</v>
      </c>
      <c r="F294" s="6">
        <f>+Sheet1!F292*Sheet1!$C$1</f>
        <v>21022</v>
      </c>
      <c r="G294" s="6">
        <f>+Sheet1!G292*Sheet1!$C$1</f>
        <v>0</v>
      </c>
      <c r="H294" s="6">
        <f>+Sheet1!H292*Sheet1!$C$1</f>
        <v>0</v>
      </c>
      <c r="I294" s="6">
        <f>+Sheet1!I292*Sheet1!$C$1</f>
        <v>0</v>
      </c>
    </row>
    <row r="295" spans="1:9" x14ac:dyDescent="0.2">
      <c r="A295" s="21">
        <v>36994</v>
      </c>
      <c r="B295" s="16">
        <f>+Sheet1!B293*Sheet1!$C$1</f>
        <v>261390</v>
      </c>
      <c r="C295" s="16">
        <f>+Sheet1!C293*Sheet1!$C$1</f>
        <v>24988</v>
      </c>
      <c r="D295" s="16">
        <f>+Sheet1!D293*Sheet1!$C$1</f>
        <v>9699</v>
      </c>
      <c r="E295" s="16">
        <f>+Sheet1!E293*Sheet1!$C$1</f>
        <v>19633</v>
      </c>
      <c r="F295" s="16">
        <f>+Sheet1!F293*Sheet1!$C$1</f>
        <v>20944</v>
      </c>
      <c r="G295" s="16">
        <f>+Sheet1!G293*Sheet1!$C$1</f>
        <v>0</v>
      </c>
      <c r="H295" s="16">
        <f>+Sheet1!H293*Sheet1!$C$1</f>
        <v>0</v>
      </c>
      <c r="I295" s="16">
        <f>+Sheet1!I293*Sheet1!$C$1</f>
        <v>0</v>
      </c>
    </row>
    <row r="296" spans="1:9" x14ac:dyDescent="0.2">
      <c r="A296" s="21">
        <v>36995</v>
      </c>
      <c r="B296" s="16">
        <f>+Sheet1!B294*Sheet1!$C$1</f>
        <v>276821</v>
      </c>
      <c r="C296" s="16">
        <f>+Sheet1!C294*Sheet1!$C$1</f>
        <v>40000</v>
      </c>
      <c r="D296" s="16">
        <f>+Sheet1!D294*Sheet1!$C$1</f>
        <v>3149</v>
      </c>
      <c r="E296" s="16">
        <f>+Sheet1!E294*Sheet1!$C$1</f>
        <v>19633</v>
      </c>
      <c r="F296" s="16">
        <f>+Sheet1!F294*Sheet1!$C$1</f>
        <v>20944</v>
      </c>
      <c r="G296" s="16">
        <f>+Sheet1!G294*Sheet1!$C$1</f>
        <v>0</v>
      </c>
      <c r="H296" s="16">
        <f>+Sheet1!H294*Sheet1!$C$1</f>
        <v>0</v>
      </c>
      <c r="I296" s="16">
        <f>+Sheet1!I294*Sheet1!$C$1</f>
        <v>0</v>
      </c>
    </row>
    <row r="297" spans="1:9" x14ac:dyDescent="0.2">
      <c r="A297" s="21">
        <v>36996</v>
      </c>
      <c r="B297" s="16">
        <f>+Sheet1!B295*Sheet1!$C$1</f>
        <v>57348</v>
      </c>
      <c r="C297" s="16">
        <f>+Sheet1!C295*Sheet1!$C$1</f>
        <v>39924</v>
      </c>
      <c r="D297" s="16">
        <f>+Sheet1!D295*Sheet1!$C$1</f>
        <v>-25000</v>
      </c>
      <c r="E297" s="16">
        <f>+Sheet1!E295*Sheet1!$C$1</f>
        <v>0</v>
      </c>
      <c r="F297" s="16">
        <f>+Sheet1!F295*Sheet1!$C$1</f>
        <v>0</v>
      </c>
      <c r="G297" s="16">
        <f>+Sheet1!G295*Sheet1!$C$1</f>
        <v>0</v>
      </c>
      <c r="H297" s="16">
        <f>+Sheet1!H295*Sheet1!$C$1</f>
        <v>0</v>
      </c>
      <c r="I297" s="16">
        <f>+Sheet1!I295*Sheet1!$C$1</f>
        <v>0</v>
      </c>
    </row>
    <row r="298" spans="1:9" x14ac:dyDescent="0.2">
      <c r="A298" s="21">
        <v>36997</v>
      </c>
      <c r="B298" s="16">
        <f>+Sheet1!B296*Sheet1!$C$1</f>
        <v>127560</v>
      </c>
      <c r="C298" s="16">
        <f>+Sheet1!C296*Sheet1!$C$1</f>
        <v>13316</v>
      </c>
      <c r="D298" s="16">
        <f>+Sheet1!D296*Sheet1!$C$1</f>
        <v>-25000</v>
      </c>
      <c r="E298" s="16">
        <f>+Sheet1!E296*Sheet1!$C$1</f>
        <v>0</v>
      </c>
      <c r="F298" s="16">
        <f>+Sheet1!F296*Sheet1!$C$1</f>
        <v>0</v>
      </c>
      <c r="G298" s="16">
        <f>+Sheet1!G296*Sheet1!$C$1</f>
        <v>0</v>
      </c>
      <c r="H298" s="16">
        <f>+Sheet1!H296*Sheet1!$C$1</f>
        <v>0</v>
      </c>
      <c r="I298" s="16">
        <f>+Sheet1!I296*Sheet1!$C$1</f>
        <v>0</v>
      </c>
    </row>
    <row r="299" spans="1:9" x14ac:dyDescent="0.2">
      <c r="A299" s="21">
        <v>36998</v>
      </c>
      <c r="B299" s="16">
        <f>+Sheet1!B297*Sheet1!$C$1</f>
        <v>186800</v>
      </c>
      <c r="C299" s="16">
        <f>+Sheet1!C297*Sheet1!$C$1</f>
        <v>-8582</v>
      </c>
      <c r="D299" s="16">
        <f>+Sheet1!D297*Sheet1!$C$1</f>
        <v>-200000</v>
      </c>
      <c r="E299" s="16">
        <f>+Sheet1!E297*Sheet1!$C$1</f>
        <v>0</v>
      </c>
      <c r="F299" s="16">
        <f>+Sheet1!F297*Sheet1!$C$1</f>
        <v>0</v>
      </c>
      <c r="G299" s="16">
        <f>+Sheet1!G297*Sheet1!$C$1</f>
        <v>0</v>
      </c>
      <c r="H299" s="16">
        <f>+Sheet1!H297*Sheet1!$C$1</f>
        <v>0</v>
      </c>
      <c r="I299" s="16">
        <f>+Sheet1!I297*Sheet1!$C$1</f>
        <v>-20000</v>
      </c>
    </row>
    <row r="300" spans="1:9" x14ac:dyDescent="0.2">
      <c r="A300" s="21">
        <v>36999</v>
      </c>
      <c r="B300" s="16">
        <f>+Sheet1!B298*Sheet1!$C$1</f>
        <v>156410</v>
      </c>
      <c r="C300" s="16">
        <f>+Sheet1!C298*Sheet1!$C$1</f>
        <v>-99</v>
      </c>
      <c r="D300" s="16">
        <f>+Sheet1!D298*Sheet1!$C$1</f>
        <v>0</v>
      </c>
      <c r="E300" s="16">
        <f>+Sheet1!E298*Sheet1!$C$1</f>
        <v>0</v>
      </c>
      <c r="F300" s="16">
        <f>+Sheet1!F298*Sheet1!$C$1</f>
        <v>0</v>
      </c>
      <c r="G300" s="16">
        <f>+Sheet1!G298*Sheet1!$C$1</f>
        <v>0</v>
      </c>
      <c r="H300" s="16">
        <f>+Sheet1!H298*Sheet1!$C$1</f>
        <v>0</v>
      </c>
      <c r="I300" s="16">
        <f>+Sheet1!I298*Sheet1!$C$1</f>
        <v>-3000</v>
      </c>
    </row>
    <row r="301" spans="1:9" x14ac:dyDescent="0.2">
      <c r="A301" s="21">
        <v>37000</v>
      </c>
      <c r="B301" s="16">
        <f>+Sheet1!B299*Sheet1!$C$1</f>
        <v>179950</v>
      </c>
      <c r="C301" s="16">
        <f>+Sheet1!C299*Sheet1!$C$1</f>
        <v>40042</v>
      </c>
      <c r="D301" s="16">
        <f>+Sheet1!D299*Sheet1!$C$1</f>
        <v>-25000</v>
      </c>
      <c r="E301" s="16">
        <f>+Sheet1!E299*Sheet1!$C$1</f>
        <v>-25000</v>
      </c>
      <c r="F301" s="16">
        <f>+Sheet1!F299*Sheet1!$C$1</f>
        <v>-20000</v>
      </c>
      <c r="G301" s="16">
        <f>+Sheet1!G299*Sheet1!$C$1</f>
        <v>0</v>
      </c>
      <c r="H301" s="16">
        <f>+Sheet1!H299*Sheet1!$C$1</f>
        <v>0</v>
      </c>
      <c r="I301" s="16">
        <f>+Sheet1!I299*Sheet1!$C$1</f>
        <v>0</v>
      </c>
    </row>
    <row r="302" spans="1:9" x14ac:dyDescent="0.2">
      <c r="A302" s="26">
        <v>37001</v>
      </c>
      <c r="B302" s="27">
        <f>+Sheet1!B300*Sheet1!$C$1</f>
        <v>250000</v>
      </c>
      <c r="C302" s="27">
        <f>+Sheet1!C300*Sheet1!$C$1</f>
        <v>40000</v>
      </c>
      <c r="D302" s="27">
        <f>+Sheet1!D300*Sheet1!$C$1</f>
        <v>-25000</v>
      </c>
      <c r="E302" s="27">
        <f>+Sheet1!E300*Sheet1!$C$1</f>
        <v>-25000</v>
      </c>
      <c r="F302" s="27">
        <f>+Sheet1!F300*Sheet1!$C$1</f>
        <v>-20000</v>
      </c>
      <c r="G302" s="27">
        <f>+Sheet1!G300*Sheet1!$C$1</f>
        <v>0</v>
      </c>
      <c r="H302" s="27">
        <f>+Sheet1!H300*Sheet1!$C$1</f>
        <v>0</v>
      </c>
      <c r="I302" s="27">
        <f>+Sheet1!I300*Sheet1!$C$1</f>
        <v>0</v>
      </c>
    </row>
    <row r="303" spans="1:9" ht="12" customHeight="1" x14ac:dyDescent="0.2">
      <c r="A303" s="19" t="s">
        <v>6</v>
      </c>
      <c r="B303" s="20">
        <f>SUM(B6:B302)</f>
        <v>-17637384</v>
      </c>
      <c r="C303" s="20">
        <f t="shared" ref="C303:I303" si="0">SUM(C6:C302)</f>
        <v>177059</v>
      </c>
      <c r="D303" s="20">
        <f t="shared" si="0"/>
        <v>-2341008</v>
      </c>
      <c r="E303" s="20">
        <f t="shared" si="0"/>
        <v>575557</v>
      </c>
      <c r="F303" s="20">
        <f t="shared" si="0"/>
        <v>-288688</v>
      </c>
      <c r="G303" s="20">
        <f t="shared" si="0"/>
        <v>-388870</v>
      </c>
      <c r="H303" s="20">
        <f t="shared" si="0"/>
        <v>-40000</v>
      </c>
      <c r="I303" s="20">
        <f t="shared" si="0"/>
        <v>101000</v>
      </c>
    </row>
    <row r="304" spans="1:9" x14ac:dyDescent="0.2">
      <c r="B304" s="4"/>
      <c r="C304" s="4"/>
      <c r="D304" s="15"/>
      <c r="E304" s="4"/>
      <c r="F304" s="4"/>
    </row>
    <row r="305" spans="1:9" x14ac:dyDescent="0.2">
      <c r="C305" s="15"/>
      <c r="D305" s="15"/>
      <c r="E305" s="4"/>
      <c r="F305" s="4"/>
      <c r="G305" s="4"/>
    </row>
    <row r="306" spans="1:9" x14ac:dyDescent="0.2">
      <c r="A306" s="28" t="s">
        <v>8</v>
      </c>
      <c r="B306" s="28"/>
      <c r="C306" s="28"/>
      <c r="D306" s="28"/>
      <c r="F306" s="4"/>
      <c r="G306" s="4"/>
    </row>
    <row r="307" spans="1:9" x14ac:dyDescent="0.2">
      <c r="A307" s="10"/>
      <c r="B307" s="9" t="s">
        <v>0</v>
      </c>
      <c r="C307" s="9" t="s">
        <v>1</v>
      </c>
      <c r="D307" s="9" t="s">
        <v>2</v>
      </c>
      <c r="E307" s="9" t="s">
        <v>15</v>
      </c>
    </row>
    <row r="308" spans="1:9" x14ac:dyDescent="0.2">
      <c r="A308" s="12" t="s">
        <v>9</v>
      </c>
      <c r="B308" s="24">
        <v>1566000</v>
      </c>
      <c r="C308" s="24">
        <v>6250000</v>
      </c>
      <c r="D308" s="24">
        <v>1750000</v>
      </c>
      <c r="E308" s="24">
        <v>400000</v>
      </c>
      <c r="G308" t="s">
        <v>11</v>
      </c>
    </row>
    <row r="309" spans="1:9" ht="25.5" x14ac:dyDescent="0.2">
      <c r="A309" s="14" t="s">
        <v>10</v>
      </c>
      <c r="B309" s="24">
        <f>671628+SUM(B588:B607)</f>
        <v>478611</v>
      </c>
      <c r="C309" s="24">
        <f>834779+SUM(C588:C607)</f>
        <v>1453471</v>
      </c>
      <c r="D309" s="24">
        <f>430225+SUM(D588:D607)</f>
        <v>302129</v>
      </c>
      <c r="E309" s="24">
        <f>0+SUM(E588:E607)</f>
        <v>48798</v>
      </c>
      <c r="G309" s="4"/>
      <c r="H309" s="15"/>
      <c r="I309" s="15"/>
    </row>
    <row r="310" spans="1:9" x14ac:dyDescent="0.2">
      <c r="A310" s="12"/>
      <c r="B310" s="24"/>
      <c r="C310" s="24"/>
      <c r="D310" s="24"/>
      <c r="E310" s="24"/>
    </row>
    <row r="311" spans="1:9" x14ac:dyDescent="0.2">
      <c r="A311" s="11">
        <v>36705</v>
      </c>
      <c r="B311" s="4">
        <f>+Sheet1!B307*Sheet1!$C$1</f>
        <v>0</v>
      </c>
      <c r="C311" s="4">
        <f>+Sheet1!C307*Sheet1!$C$1</f>
        <v>19945</v>
      </c>
      <c r="D311" s="4">
        <f>+Sheet1!D307*Sheet1!$C$1</f>
        <v>9646</v>
      </c>
    </row>
    <row r="312" spans="1:9" x14ac:dyDescent="0.2">
      <c r="A312" s="11">
        <v>36706</v>
      </c>
      <c r="B312" s="4">
        <f>+Sheet1!B308*Sheet1!$C$1</f>
        <v>0</v>
      </c>
      <c r="C312" s="4">
        <f>+Sheet1!C308*Sheet1!$C$1</f>
        <v>15345</v>
      </c>
      <c r="D312" s="4">
        <f>+Sheet1!D308*Sheet1!$C$1</f>
        <v>9646</v>
      </c>
    </row>
    <row r="313" spans="1:9" x14ac:dyDescent="0.2">
      <c r="A313" s="11">
        <v>36707</v>
      </c>
      <c r="B313" s="4">
        <f>+Sheet1!B309*Sheet1!$C$1</f>
        <v>0</v>
      </c>
      <c r="C313" s="4">
        <f>+Sheet1!C309*Sheet1!$C$1</f>
        <v>19845</v>
      </c>
      <c r="D313" s="4">
        <f>+Sheet1!D309*Sheet1!$C$1</f>
        <v>9646</v>
      </c>
    </row>
    <row r="314" spans="1:9" x14ac:dyDescent="0.2">
      <c r="A314" s="11">
        <v>36708</v>
      </c>
      <c r="B314" s="4">
        <f>+Sheet1!B310*Sheet1!$C$1</f>
        <v>-540</v>
      </c>
      <c r="C314" s="4">
        <f>+Sheet1!C310*Sheet1!$C$1</f>
        <v>18066</v>
      </c>
      <c r="D314" s="4">
        <f>+Sheet1!D310*Sheet1!$C$1</f>
        <v>9646</v>
      </c>
    </row>
    <row r="315" spans="1:9" x14ac:dyDescent="0.2">
      <c r="A315" s="11">
        <v>36709</v>
      </c>
      <c r="B315" s="4">
        <f>+Sheet1!B311*Sheet1!$C$1</f>
        <v>-303</v>
      </c>
      <c r="C315" s="4">
        <f>+Sheet1!C311*Sheet1!$C$1</f>
        <v>19398</v>
      </c>
      <c r="D315" s="4">
        <f>+Sheet1!D311*Sheet1!$C$1</f>
        <v>9646</v>
      </c>
    </row>
    <row r="316" spans="1:9" x14ac:dyDescent="0.2">
      <c r="A316" s="11">
        <v>36710</v>
      </c>
      <c r="B316" s="4">
        <f>+Sheet1!B312*Sheet1!$C$1</f>
        <v>-3123</v>
      </c>
      <c r="C316" s="4">
        <f>+Sheet1!C312*Sheet1!$C$1</f>
        <v>19507</v>
      </c>
      <c r="D316" s="4">
        <f>+Sheet1!D312*Sheet1!$C$1</f>
        <v>9646</v>
      </c>
    </row>
    <row r="317" spans="1:9" x14ac:dyDescent="0.2">
      <c r="A317" s="11">
        <v>36711</v>
      </c>
      <c r="B317" s="4">
        <f>+Sheet1!B313*Sheet1!$C$1</f>
        <v>-4277</v>
      </c>
      <c r="C317" s="4">
        <f>+Sheet1!C313*Sheet1!$C$1</f>
        <v>19484</v>
      </c>
      <c r="D317" s="4">
        <f>+Sheet1!D313*Sheet1!$C$1</f>
        <v>9646</v>
      </c>
    </row>
    <row r="318" spans="1:9" x14ac:dyDescent="0.2">
      <c r="A318" s="11">
        <v>36712</v>
      </c>
      <c r="B318" s="4">
        <f>+Sheet1!B314*Sheet1!$C$1</f>
        <v>-11182</v>
      </c>
      <c r="C318" s="4">
        <f>+Sheet1!C314*Sheet1!$C$1</f>
        <v>19333</v>
      </c>
      <c r="D318" s="4">
        <f>+Sheet1!D314*Sheet1!$C$1</f>
        <v>9646</v>
      </c>
    </row>
    <row r="319" spans="1:9" x14ac:dyDescent="0.2">
      <c r="A319" s="11">
        <v>36713</v>
      </c>
      <c r="B319" s="4">
        <f>+Sheet1!B315*Sheet1!$C$1</f>
        <v>-4389</v>
      </c>
      <c r="C319" s="4">
        <f>+Sheet1!C315*Sheet1!$C$1</f>
        <v>19597</v>
      </c>
      <c r="D319" s="4">
        <f>+Sheet1!D315*Sheet1!$C$1</f>
        <v>9646</v>
      </c>
    </row>
    <row r="320" spans="1:9" x14ac:dyDescent="0.2">
      <c r="A320" s="11">
        <v>36714</v>
      </c>
      <c r="B320" s="4">
        <f>+Sheet1!B316*Sheet1!$C$1</f>
        <v>-212</v>
      </c>
      <c r="C320" s="4">
        <f>+Sheet1!C316*Sheet1!$C$1</f>
        <v>19494</v>
      </c>
      <c r="D320" s="4">
        <f>+Sheet1!D316*Sheet1!$C$1</f>
        <v>9646</v>
      </c>
    </row>
    <row r="321" spans="1:4" x14ac:dyDescent="0.2">
      <c r="A321" s="11">
        <v>36715</v>
      </c>
      <c r="B321" s="4">
        <f>+Sheet1!B317*Sheet1!$C$1</f>
        <v>0</v>
      </c>
      <c r="C321" s="4">
        <f>+Sheet1!C317*Sheet1!$C$1</f>
        <v>19486</v>
      </c>
      <c r="D321" s="4">
        <f>+Sheet1!D317*Sheet1!$C$1</f>
        <v>9770</v>
      </c>
    </row>
    <row r="322" spans="1:4" x14ac:dyDescent="0.2">
      <c r="A322" s="11">
        <v>36716</v>
      </c>
      <c r="B322" s="4">
        <f>+Sheet1!B318*Sheet1!$C$1</f>
        <v>-107</v>
      </c>
      <c r="C322" s="4">
        <f>+Sheet1!C318*Sheet1!$C$1</f>
        <v>20808</v>
      </c>
      <c r="D322" s="4">
        <f>+Sheet1!D318*Sheet1!$C$1</f>
        <v>9646</v>
      </c>
    </row>
    <row r="323" spans="1:4" x14ac:dyDescent="0.2">
      <c r="A323" s="11">
        <v>36717</v>
      </c>
      <c r="B323" s="4">
        <f>+Sheet1!B319*Sheet1!$C$1</f>
        <v>-612</v>
      </c>
      <c r="C323" s="4">
        <f>+Sheet1!C319*Sheet1!$C$1</f>
        <v>12335</v>
      </c>
      <c r="D323" s="4">
        <f>+Sheet1!D319*Sheet1!$C$1</f>
        <v>9646</v>
      </c>
    </row>
    <row r="324" spans="1:4" x14ac:dyDescent="0.2">
      <c r="A324" s="11">
        <v>36718</v>
      </c>
      <c r="B324" s="4">
        <f>+Sheet1!B320*Sheet1!$C$1</f>
        <v>-426</v>
      </c>
      <c r="C324" s="4">
        <f>+Sheet1!C320*Sheet1!$C$1</f>
        <v>20400</v>
      </c>
      <c r="D324" s="4">
        <f>+Sheet1!D320*Sheet1!$C$1</f>
        <v>9646</v>
      </c>
    </row>
    <row r="325" spans="1:4" x14ac:dyDescent="0.2">
      <c r="A325" s="11">
        <v>36719</v>
      </c>
      <c r="B325" s="4">
        <f>+Sheet1!B321*Sheet1!$C$1</f>
        <v>-1631</v>
      </c>
      <c r="C325" s="4">
        <f>+Sheet1!C321*Sheet1!$C$1</f>
        <v>19845</v>
      </c>
      <c r="D325" s="4">
        <f>+Sheet1!D321*Sheet1!$C$1</f>
        <v>9646</v>
      </c>
    </row>
    <row r="326" spans="1:4" x14ac:dyDescent="0.2">
      <c r="A326" s="11">
        <v>36720</v>
      </c>
      <c r="B326" s="4">
        <f>+Sheet1!B322*Sheet1!$C$1</f>
        <v>-1302</v>
      </c>
      <c r="C326" s="4">
        <f>+Sheet1!C322*Sheet1!$C$1</f>
        <v>19338</v>
      </c>
      <c r="D326" s="4">
        <f>+Sheet1!D322*Sheet1!$C$1</f>
        <v>9646</v>
      </c>
    </row>
    <row r="327" spans="1:4" x14ac:dyDescent="0.2">
      <c r="A327" s="11">
        <v>36721</v>
      </c>
      <c r="B327" s="4">
        <f>+Sheet1!B323*Sheet1!$C$1</f>
        <v>0</v>
      </c>
      <c r="C327" s="4">
        <f>+Sheet1!C323*Sheet1!$C$1</f>
        <v>23000</v>
      </c>
      <c r="D327" s="4">
        <f>+Sheet1!D323*Sheet1!$C$1</f>
        <v>9646</v>
      </c>
    </row>
    <row r="328" spans="1:4" x14ac:dyDescent="0.2">
      <c r="A328" s="11">
        <v>36722</v>
      </c>
      <c r="B328" s="4">
        <f>+Sheet1!B324*Sheet1!$C$1</f>
        <v>-159</v>
      </c>
      <c r="C328" s="4">
        <f>+Sheet1!C324*Sheet1!$C$1</f>
        <v>22035</v>
      </c>
      <c r="D328" s="4">
        <f>+Sheet1!D324*Sheet1!$C$1</f>
        <v>9579</v>
      </c>
    </row>
    <row r="329" spans="1:4" x14ac:dyDescent="0.2">
      <c r="A329" s="11">
        <v>36723</v>
      </c>
      <c r="B329" s="4">
        <f>+Sheet1!B325*Sheet1!$C$1</f>
        <v>-556</v>
      </c>
      <c r="C329" s="4">
        <f>+Sheet1!C325*Sheet1!$C$1</f>
        <v>21974</v>
      </c>
      <c r="D329" s="4">
        <f>+Sheet1!D325*Sheet1!$C$1</f>
        <v>9646</v>
      </c>
    </row>
    <row r="330" spans="1:4" x14ac:dyDescent="0.2">
      <c r="A330" s="11">
        <v>36724</v>
      </c>
      <c r="B330" s="4">
        <f>+Sheet1!B326*Sheet1!$C$1</f>
        <v>-866</v>
      </c>
      <c r="C330" s="4">
        <f>+Sheet1!C326*Sheet1!$C$1</f>
        <v>19845</v>
      </c>
      <c r="D330" s="4">
        <f>+Sheet1!D326*Sheet1!$C$1</f>
        <v>9646</v>
      </c>
    </row>
    <row r="331" spans="1:4" x14ac:dyDescent="0.2">
      <c r="A331" s="11">
        <v>36725</v>
      </c>
      <c r="B331" s="4">
        <f>+Sheet1!B327*Sheet1!$C$1</f>
        <v>-4660</v>
      </c>
      <c r="C331" s="4">
        <f>+Sheet1!C327*Sheet1!$C$1</f>
        <v>19164</v>
      </c>
      <c r="D331" s="4">
        <f>+Sheet1!D327*Sheet1!$C$1</f>
        <v>9646</v>
      </c>
    </row>
    <row r="332" spans="1:4" x14ac:dyDescent="0.2">
      <c r="A332" s="11">
        <v>36726</v>
      </c>
      <c r="B332" s="4">
        <f>+Sheet1!B328*Sheet1!$C$1</f>
        <v>-1112</v>
      </c>
      <c r="C332" s="4">
        <f>+Sheet1!C328*Sheet1!$C$1</f>
        <v>17366</v>
      </c>
      <c r="D332" s="4">
        <f>+Sheet1!D328*Sheet1!$C$1</f>
        <v>9646</v>
      </c>
    </row>
    <row r="333" spans="1:4" x14ac:dyDescent="0.2">
      <c r="A333" s="11">
        <v>36727</v>
      </c>
      <c r="B333" s="6">
        <f>+Sheet1!B329*Sheet1!$C$1</f>
        <v>-4442</v>
      </c>
      <c r="C333" s="6">
        <f>+Sheet1!C329*Sheet1!$C$1</f>
        <v>19775</v>
      </c>
      <c r="D333" s="6">
        <f>+Sheet1!D329*Sheet1!$C$1</f>
        <v>9646</v>
      </c>
    </row>
    <row r="334" spans="1:4" x14ac:dyDescent="0.2">
      <c r="A334" s="11">
        <v>36728</v>
      </c>
      <c r="B334" s="6">
        <f>+Sheet1!B330*Sheet1!$C$1</f>
        <v>-1881</v>
      </c>
      <c r="C334" s="6">
        <f>+Sheet1!C330*Sheet1!$C$1</f>
        <v>21753</v>
      </c>
      <c r="D334" s="6">
        <f>+Sheet1!D330*Sheet1!$C$1</f>
        <v>9646</v>
      </c>
    </row>
    <row r="335" spans="1:4" x14ac:dyDescent="0.2">
      <c r="A335" s="11">
        <v>36729</v>
      </c>
      <c r="B335" s="6">
        <f>+Sheet1!B331*Sheet1!$C$1</f>
        <v>-1645</v>
      </c>
      <c r="C335" s="6">
        <f>+Sheet1!C331*Sheet1!$C$1</f>
        <v>23732</v>
      </c>
      <c r="D335" s="6">
        <f>+Sheet1!D331*Sheet1!$C$1</f>
        <v>9646</v>
      </c>
    </row>
    <row r="336" spans="1:4" x14ac:dyDescent="0.2">
      <c r="A336" s="11">
        <v>36730</v>
      </c>
      <c r="B336" s="6">
        <f>+Sheet1!B332*Sheet1!$C$1</f>
        <v>-1765</v>
      </c>
      <c r="C336" s="6">
        <f>+Sheet1!C332*Sheet1!$C$1</f>
        <v>21692</v>
      </c>
      <c r="D336" s="6">
        <f>+Sheet1!D332*Sheet1!$C$1</f>
        <v>9646</v>
      </c>
    </row>
    <row r="337" spans="1:4" x14ac:dyDescent="0.2">
      <c r="A337" s="11">
        <v>36731</v>
      </c>
      <c r="B337" s="6">
        <f>+Sheet1!B333*Sheet1!$C$1</f>
        <v>-1983</v>
      </c>
      <c r="C337" s="6">
        <f>+Sheet1!C333*Sheet1!$C$1</f>
        <v>17862</v>
      </c>
      <c r="D337" s="6">
        <f>+Sheet1!D333*Sheet1!$C$1</f>
        <v>9646</v>
      </c>
    </row>
    <row r="338" spans="1:4" x14ac:dyDescent="0.2">
      <c r="A338" s="11">
        <v>36732</v>
      </c>
      <c r="B338" s="6">
        <f>+Sheet1!B334*Sheet1!$C$1</f>
        <v>-329</v>
      </c>
      <c r="C338" s="6">
        <f>+Sheet1!C334*Sheet1!$C$1</f>
        <v>18204</v>
      </c>
      <c r="D338" s="6">
        <f>+Sheet1!D334*Sheet1!$C$1</f>
        <v>9646</v>
      </c>
    </row>
    <row r="339" spans="1:4" x14ac:dyDescent="0.2">
      <c r="A339" s="11">
        <v>36733</v>
      </c>
      <c r="B339" s="6">
        <f>+Sheet1!B335*Sheet1!$C$1</f>
        <v>-378</v>
      </c>
      <c r="C339" s="6">
        <f>+Sheet1!C335*Sheet1!$C$1</f>
        <v>16551</v>
      </c>
      <c r="D339" s="6">
        <f>+Sheet1!D335*Sheet1!$C$1</f>
        <v>9646</v>
      </c>
    </row>
    <row r="340" spans="1:4" x14ac:dyDescent="0.2">
      <c r="A340" s="11">
        <v>36734</v>
      </c>
      <c r="B340" s="6">
        <f>+Sheet1!B336*Sheet1!$C$1</f>
        <v>0</v>
      </c>
      <c r="C340" s="6">
        <f>+Sheet1!C336*Sheet1!$C$1</f>
        <v>19106</v>
      </c>
      <c r="D340" s="6">
        <f>+Sheet1!D336*Sheet1!$C$1</f>
        <v>9313</v>
      </c>
    </row>
    <row r="341" spans="1:4" x14ac:dyDescent="0.2">
      <c r="A341" s="11">
        <v>36735</v>
      </c>
      <c r="B341" s="6">
        <f>+Sheet1!B337*Sheet1!$C$1</f>
        <v>0</v>
      </c>
      <c r="C341" s="6">
        <f>+Sheet1!C337*Sheet1!$C$1</f>
        <v>18135</v>
      </c>
      <c r="D341" s="6">
        <f>+Sheet1!D337*Sheet1!$C$1</f>
        <v>9646</v>
      </c>
    </row>
    <row r="342" spans="1:4" x14ac:dyDescent="0.2">
      <c r="A342" s="11">
        <v>36736</v>
      </c>
      <c r="B342" s="6">
        <f>+Sheet1!B338*Sheet1!$C$1</f>
        <v>0</v>
      </c>
      <c r="C342" s="6">
        <f>+Sheet1!C338*Sheet1!$C$1</f>
        <v>19484</v>
      </c>
      <c r="D342" s="6">
        <f>+Sheet1!D338*Sheet1!$C$1</f>
        <v>9646</v>
      </c>
    </row>
    <row r="343" spans="1:4" x14ac:dyDescent="0.2">
      <c r="A343" s="11">
        <v>36737</v>
      </c>
      <c r="B343" s="6">
        <f>+Sheet1!B339*Sheet1!$C$1</f>
        <v>0</v>
      </c>
      <c r="C343" s="6">
        <f>+Sheet1!C339*Sheet1!$C$1</f>
        <v>19845</v>
      </c>
      <c r="D343" s="6">
        <f>+Sheet1!D339*Sheet1!$C$1</f>
        <v>9646</v>
      </c>
    </row>
    <row r="344" spans="1:4" x14ac:dyDescent="0.2">
      <c r="A344" s="11">
        <v>36738</v>
      </c>
      <c r="B344" s="6">
        <f>+Sheet1!B340*Sheet1!$C$1</f>
        <v>0</v>
      </c>
      <c r="C344" s="6">
        <f>+Sheet1!C340*Sheet1!$C$1</f>
        <v>19845</v>
      </c>
      <c r="D344" s="6">
        <f>+Sheet1!D340*Sheet1!$C$1</f>
        <v>9646</v>
      </c>
    </row>
    <row r="345" spans="1:4" x14ac:dyDescent="0.2">
      <c r="A345" s="11">
        <v>36739</v>
      </c>
      <c r="B345" s="6">
        <f>+Sheet1!B341*Sheet1!$C$1</f>
        <v>-1602</v>
      </c>
      <c r="C345" s="6">
        <f>+Sheet1!C341*Sheet1!$C$1</f>
        <v>20083</v>
      </c>
      <c r="D345" s="6">
        <f>+Sheet1!D341*Sheet1!$C$1</f>
        <v>11902</v>
      </c>
    </row>
    <row r="346" spans="1:4" x14ac:dyDescent="0.2">
      <c r="A346" s="11">
        <v>36740</v>
      </c>
      <c r="B346" s="6">
        <f>+Sheet1!B342*Sheet1!$C$1</f>
        <v>-2751</v>
      </c>
      <c r="C346" s="6">
        <f>+Sheet1!C342*Sheet1!$C$1</f>
        <v>19909</v>
      </c>
      <c r="D346" s="6">
        <f>+Sheet1!D342*Sheet1!$C$1</f>
        <v>10753</v>
      </c>
    </row>
    <row r="347" spans="1:4" x14ac:dyDescent="0.2">
      <c r="A347" s="11">
        <v>36741</v>
      </c>
      <c r="B347" s="6">
        <f>+Sheet1!B343*Sheet1!$C$1</f>
        <v>-4634</v>
      </c>
      <c r="C347" s="6">
        <f>+Sheet1!C343*Sheet1!$C$1</f>
        <v>19911</v>
      </c>
      <c r="D347" s="6">
        <f>+Sheet1!D343*Sheet1!$C$1</f>
        <v>8870</v>
      </c>
    </row>
    <row r="348" spans="1:4" x14ac:dyDescent="0.2">
      <c r="A348" s="11">
        <v>36742</v>
      </c>
      <c r="B348" s="6">
        <f>+Sheet1!B344*Sheet1!$C$1</f>
        <v>-933</v>
      </c>
      <c r="C348" s="6">
        <f>+Sheet1!C344*Sheet1!$C$1</f>
        <v>21103</v>
      </c>
      <c r="D348" s="6">
        <f>+Sheet1!D344*Sheet1!$C$1</f>
        <v>12571</v>
      </c>
    </row>
    <row r="349" spans="1:4" x14ac:dyDescent="0.2">
      <c r="A349" s="11">
        <v>36743</v>
      </c>
      <c r="B349" s="6">
        <f>+Sheet1!B345*Sheet1!$C$1</f>
        <v>-63</v>
      </c>
      <c r="C349" s="6">
        <f>+Sheet1!C345*Sheet1!$C$1</f>
        <v>23391</v>
      </c>
      <c r="D349" s="6">
        <f>+Sheet1!D345*Sheet1!$C$1</f>
        <v>13441</v>
      </c>
    </row>
    <row r="350" spans="1:4" x14ac:dyDescent="0.2">
      <c r="A350" s="11">
        <v>36744</v>
      </c>
      <c r="B350" s="6">
        <f>+Sheet1!B346*Sheet1!$C$1</f>
        <v>0</v>
      </c>
      <c r="C350" s="6">
        <f>+Sheet1!C346*Sheet1!$C$1</f>
        <v>23429</v>
      </c>
      <c r="D350" s="6">
        <f>+Sheet1!D346*Sheet1!$C$1</f>
        <v>13504</v>
      </c>
    </row>
    <row r="351" spans="1:4" x14ac:dyDescent="0.2">
      <c r="A351" s="11">
        <v>36745</v>
      </c>
      <c r="B351" s="6">
        <f>+Sheet1!B347*Sheet1!$C$1</f>
        <v>-3128</v>
      </c>
      <c r="C351" s="6">
        <f>+Sheet1!C347*Sheet1!$C$1</f>
        <v>19983</v>
      </c>
      <c r="D351" s="6">
        <f>+Sheet1!D347*Sheet1!$C$1</f>
        <v>10376</v>
      </c>
    </row>
    <row r="352" spans="1:4" x14ac:dyDescent="0.2">
      <c r="A352" s="11">
        <v>36746</v>
      </c>
      <c r="B352" s="6">
        <f>+Sheet1!B348*Sheet1!$C$1</f>
        <v>-3853</v>
      </c>
      <c r="C352" s="6">
        <f>+Sheet1!C348*Sheet1!$C$1</f>
        <v>19982</v>
      </c>
      <c r="D352" s="6">
        <f>+Sheet1!D348*Sheet1!$C$1</f>
        <v>9651</v>
      </c>
    </row>
    <row r="353" spans="1:4" x14ac:dyDescent="0.2">
      <c r="A353" s="11">
        <v>36747</v>
      </c>
      <c r="B353" s="6">
        <f>+Sheet1!B349*Sheet1!$C$1</f>
        <v>-4417</v>
      </c>
      <c r="C353" s="6">
        <f>+Sheet1!C349*Sheet1!$C$1</f>
        <v>19925</v>
      </c>
      <c r="D353" s="6">
        <f>+Sheet1!D349*Sheet1!$C$1</f>
        <v>9087</v>
      </c>
    </row>
    <row r="354" spans="1:4" x14ac:dyDescent="0.2">
      <c r="A354" s="11">
        <v>36748</v>
      </c>
      <c r="B354" s="6">
        <f>+Sheet1!B350*Sheet1!$C$1</f>
        <v>-3582</v>
      </c>
      <c r="C354" s="6">
        <f>+Sheet1!C350*Sheet1!$C$1</f>
        <v>19791</v>
      </c>
      <c r="D354" s="6">
        <f>+Sheet1!D350*Sheet1!$C$1</f>
        <v>9922</v>
      </c>
    </row>
    <row r="355" spans="1:4" x14ac:dyDescent="0.2">
      <c r="A355" s="11">
        <v>36749</v>
      </c>
      <c r="B355" s="6">
        <f>+Sheet1!B351*Sheet1!$C$1</f>
        <v>-1232</v>
      </c>
      <c r="C355" s="6">
        <f>+Sheet1!C351*Sheet1!$C$1</f>
        <v>19926</v>
      </c>
      <c r="D355" s="6">
        <f>+Sheet1!D351*Sheet1!$C$1</f>
        <v>12987</v>
      </c>
    </row>
    <row r="356" spans="1:4" x14ac:dyDescent="0.2">
      <c r="A356" s="11">
        <v>36750</v>
      </c>
      <c r="B356" s="6">
        <f>+Sheet1!B352*Sheet1!$C$1</f>
        <v>-517</v>
      </c>
      <c r="C356" s="6">
        <f>+Sheet1!C352*Sheet1!$C$1</f>
        <v>21973</v>
      </c>
      <c r="D356" s="6">
        <f>+Sheet1!D352*Sheet1!$C$1</f>
        <v>13504</v>
      </c>
    </row>
    <row r="357" spans="1:4" x14ac:dyDescent="0.2">
      <c r="A357" s="11">
        <v>36751</v>
      </c>
      <c r="B357" s="6">
        <f>+Sheet1!B353*Sheet1!$C$1</f>
        <v>0</v>
      </c>
      <c r="C357" s="6">
        <f>+Sheet1!C353*Sheet1!$C$1</f>
        <v>20068</v>
      </c>
      <c r="D357" s="6">
        <f>+Sheet1!D353*Sheet1!$C$1</f>
        <v>13504</v>
      </c>
    </row>
    <row r="358" spans="1:4" x14ac:dyDescent="0.2">
      <c r="A358" s="11">
        <v>36752</v>
      </c>
      <c r="B358" s="6">
        <f>+Sheet1!B354*Sheet1!$C$1</f>
        <v>-8037</v>
      </c>
      <c r="C358" s="6">
        <f>+Sheet1!C354*Sheet1!$C$1</f>
        <v>19856</v>
      </c>
      <c r="D358" s="6">
        <f>+Sheet1!D354*Sheet1!$C$1</f>
        <v>5467</v>
      </c>
    </row>
    <row r="359" spans="1:4" x14ac:dyDescent="0.2">
      <c r="A359" s="11">
        <v>36753</v>
      </c>
      <c r="B359" s="6">
        <f>+Sheet1!B355*Sheet1!$C$1</f>
        <v>224</v>
      </c>
      <c r="C359" s="6">
        <f>+Sheet1!C355*Sheet1!$C$1</f>
        <v>18181</v>
      </c>
      <c r="D359" s="6">
        <f>+Sheet1!D355*Sheet1!$C$1</f>
        <v>13728</v>
      </c>
    </row>
    <row r="360" spans="1:4" x14ac:dyDescent="0.2">
      <c r="A360" s="11">
        <v>36754</v>
      </c>
      <c r="B360" s="6">
        <f>+Sheet1!B356*Sheet1!$C$1</f>
        <v>0</v>
      </c>
      <c r="C360" s="6">
        <f>+Sheet1!C356*Sheet1!$C$1</f>
        <v>23221</v>
      </c>
      <c r="D360" s="6">
        <f>+Sheet1!D356*Sheet1!$C$1</f>
        <v>13504</v>
      </c>
    </row>
    <row r="361" spans="1:4" x14ac:dyDescent="0.2">
      <c r="A361" s="11">
        <v>36755</v>
      </c>
      <c r="B361" s="6">
        <f>+Sheet1!B357*Sheet1!$C$1</f>
        <v>-1033</v>
      </c>
      <c r="C361" s="6">
        <f>+Sheet1!C357*Sheet1!$C$1</f>
        <v>24631</v>
      </c>
      <c r="D361" s="6">
        <f>+Sheet1!D357*Sheet1!$C$1</f>
        <v>13504</v>
      </c>
    </row>
    <row r="362" spans="1:4" x14ac:dyDescent="0.2">
      <c r="A362" s="11">
        <v>36756</v>
      </c>
      <c r="B362" s="6">
        <f>+Sheet1!B358*Sheet1!$C$1</f>
        <v>-494</v>
      </c>
      <c r="C362" s="6">
        <f>+Sheet1!C358*Sheet1!$C$1</f>
        <v>20154</v>
      </c>
      <c r="D362" s="6">
        <f>+Sheet1!D358*Sheet1!$C$1</f>
        <v>14537</v>
      </c>
    </row>
    <row r="363" spans="1:4" x14ac:dyDescent="0.2">
      <c r="A363" s="11">
        <v>36757</v>
      </c>
      <c r="B363" s="6">
        <f>+Sheet1!B359*Sheet1!$C$1</f>
        <v>-1467</v>
      </c>
      <c r="C363" s="6">
        <f>+Sheet1!C359*Sheet1!$C$1</f>
        <v>20026</v>
      </c>
      <c r="D363" s="6">
        <f>+Sheet1!D359*Sheet1!$C$1</f>
        <v>13998</v>
      </c>
    </row>
    <row r="364" spans="1:4" x14ac:dyDescent="0.2">
      <c r="A364" s="11">
        <v>36758</v>
      </c>
      <c r="B364" s="6">
        <f>+Sheet1!B360*Sheet1!$C$1</f>
        <v>-1583</v>
      </c>
      <c r="C364" s="6">
        <f>+Sheet1!C360*Sheet1!$C$1</f>
        <v>20032</v>
      </c>
      <c r="D364" s="6">
        <f>+Sheet1!D360*Sheet1!$C$1</f>
        <v>15087</v>
      </c>
    </row>
    <row r="365" spans="1:4" x14ac:dyDescent="0.2">
      <c r="A365" s="11">
        <v>36759</v>
      </c>
      <c r="B365" s="6">
        <f>+Sheet1!B361*Sheet1!$C$1</f>
        <v>0</v>
      </c>
      <c r="C365" s="6">
        <f>+Sheet1!C361*Sheet1!$C$1</f>
        <v>19922</v>
      </c>
      <c r="D365" s="6">
        <f>+Sheet1!D361*Sheet1!$C$1</f>
        <v>13504</v>
      </c>
    </row>
    <row r="366" spans="1:4" x14ac:dyDescent="0.2">
      <c r="A366" s="11">
        <v>36760</v>
      </c>
      <c r="B366" s="6">
        <f>+Sheet1!B362*Sheet1!$C$1</f>
        <v>0</v>
      </c>
      <c r="C366" s="6">
        <f>+Sheet1!C362*Sheet1!$C$1</f>
        <v>20408</v>
      </c>
      <c r="D366" s="6">
        <f>+Sheet1!D362*Sheet1!$C$1</f>
        <v>13504</v>
      </c>
    </row>
    <row r="367" spans="1:4" x14ac:dyDescent="0.2">
      <c r="A367" s="11">
        <v>36761</v>
      </c>
      <c r="B367" s="6">
        <f>+Sheet1!B363*Sheet1!$C$1</f>
        <v>0</v>
      </c>
      <c r="C367" s="6">
        <f>+Sheet1!C363*Sheet1!$C$1</f>
        <v>19905</v>
      </c>
      <c r="D367" s="6">
        <f>+Sheet1!D363*Sheet1!$C$1</f>
        <v>13504</v>
      </c>
    </row>
    <row r="368" spans="1:4" x14ac:dyDescent="0.2">
      <c r="A368" s="11">
        <v>36762</v>
      </c>
      <c r="B368" s="6">
        <f>+Sheet1!B364*Sheet1!$C$1</f>
        <v>0</v>
      </c>
      <c r="C368" s="6">
        <f>+Sheet1!C364*Sheet1!$C$1</f>
        <v>20042</v>
      </c>
      <c r="D368" s="6">
        <f>+Sheet1!D364*Sheet1!$C$1</f>
        <v>13504</v>
      </c>
    </row>
    <row r="369" spans="1:4" x14ac:dyDescent="0.2">
      <c r="A369" s="11">
        <v>36763</v>
      </c>
      <c r="B369" s="6">
        <f>+Sheet1!B365*Sheet1!$C$1</f>
        <v>0</v>
      </c>
      <c r="C369" s="6">
        <f>+Sheet1!C365*Sheet1!$C$1</f>
        <v>19995</v>
      </c>
      <c r="D369" s="6">
        <f>+Sheet1!D365*Sheet1!$C$1</f>
        <v>13504</v>
      </c>
    </row>
    <row r="370" spans="1:4" x14ac:dyDescent="0.2">
      <c r="A370" s="11">
        <v>36764</v>
      </c>
      <c r="B370" s="6">
        <f>+Sheet1!B366*Sheet1!$C$1</f>
        <v>0</v>
      </c>
      <c r="C370" s="6">
        <f>+Sheet1!C366*Sheet1!$C$1</f>
        <v>21562</v>
      </c>
      <c r="D370" s="6">
        <f>+Sheet1!D366*Sheet1!$C$1</f>
        <v>13504</v>
      </c>
    </row>
    <row r="371" spans="1:4" x14ac:dyDescent="0.2">
      <c r="A371" s="11">
        <v>36765</v>
      </c>
      <c r="B371" s="6">
        <f>+Sheet1!B367*Sheet1!$C$1</f>
        <v>0</v>
      </c>
      <c r="C371" s="6">
        <f>+Sheet1!C367*Sheet1!$C$1</f>
        <v>21363</v>
      </c>
      <c r="D371" s="6">
        <f>+Sheet1!D367*Sheet1!$C$1</f>
        <v>13504</v>
      </c>
    </row>
    <row r="372" spans="1:4" x14ac:dyDescent="0.2">
      <c r="A372" s="11">
        <v>36766</v>
      </c>
      <c r="B372" s="6">
        <f>+Sheet1!B368*Sheet1!$C$1</f>
        <v>0</v>
      </c>
      <c r="C372" s="6">
        <f>+Sheet1!C368*Sheet1!$C$1</f>
        <v>20000</v>
      </c>
      <c r="D372" s="6">
        <f>+Sheet1!D368*Sheet1!$C$1</f>
        <v>13504</v>
      </c>
    </row>
    <row r="373" spans="1:4" x14ac:dyDescent="0.2">
      <c r="A373" s="11">
        <v>36767</v>
      </c>
      <c r="B373" s="6">
        <f>+Sheet1!B369*Sheet1!$C$1</f>
        <v>0</v>
      </c>
      <c r="C373" s="6">
        <f>+Sheet1!C369*Sheet1!$C$1</f>
        <v>20000</v>
      </c>
      <c r="D373" s="6">
        <f>+Sheet1!D369*Sheet1!$C$1</f>
        <v>13504</v>
      </c>
    </row>
    <row r="374" spans="1:4" x14ac:dyDescent="0.2">
      <c r="A374" s="11">
        <v>36768</v>
      </c>
      <c r="B374" s="6">
        <f>+Sheet1!B370*Sheet1!$C$1</f>
        <v>0</v>
      </c>
      <c r="C374" s="6">
        <f>+Sheet1!C370*Sheet1!$C$1</f>
        <v>20000</v>
      </c>
      <c r="D374" s="6">
        <f>+Sheet1!D370*Sheet1!$C$1</f>
        <v>13504</v>
      </c>
    </row>
    <row r="375" spans="1:4" x14ac:dyDescent="0.2">
      <c r="A375" s="11">
        <v>36769</v>
      </c>
      <c r="B375" s="6">
        <f>+Sheet1!B371*Sheet1!$C$1</f>
        <v>0</v>
      </c>
      <c r="C375" s="6">
        <f>+Sheet1!C371*Sheet1!$C$1</f>
        <v>20000</v>
      </c>
      <c r="D375" s="6">
        <f>+Sheet1!D371*Sheet1!$C$1</f>
        <v>13504</v>
      </c>
    </row>
    <row r="376" spans="1:4" x14ac:dyDescent="0.2">
      <c r="A376" s="11">
        <v>36770</v>
      </c>
      <c r="B376" s="6">
        <f>+Sheet1!B372*Sheet1!$C$1</f>
        <v>3318</v>
      </c>
      <c r="C376" s="6">
        <f>+Sheet1!C372*Sheet1!$C$1</f>
        <v>15273</v>
      </c>
      <c r="D376" s="6">
        <f>+Sheet1!D372*Sheet1!$C$1</f>
        <v>14000</v>
      </c>
    </row>
    <row r="377" spans="1:4" x14ac:dyDescent="0.2">
      <c r="A377" s="11">
        <v>36771</v>
      </c>
      <c r="B377" s="6">
        <f>+Sheet1!B373*Sheet1!$C$1</f>
        <v>9402</v>
      </c>
      <c r="C377" s="6">
        <f>+Sheet1!C373*Sheet1!$C$1</f>
        <v>24855</v>
      </c>
      <c r="D377" s="6">
        <f>+Sheet1!D373*Sheet1!$C$1</f>
        <v>14000</v>
      </c>
    </row>
    <row r="378" spans="1:4" x14ac:dyDescent="0.2">
      <c r="A378" s="11">
        <v>36772</v>
      </c>
      <c r="B378" s="6">
        <f>+Sheet1!B374*Sheet1!$C$1</f>
        <v>8590</v>
      </c>
      <c r="C378" s="6">
        <f>+Sheet1!C374*Sheet1!$C$1</f>
        <v>26478</v>
      </c>
      <c r="D378" s="6">
        <f>+Sheet1!D374*Sheet1!$C$1</f>
        <v>14000</v>
      </c>
    </row>
    <row r="379" spans="1:4" x14ac:dyDescent="0.2">
      <c r="A379" s="11">
        <v>36773</v>
      </c>
      <c r="B379" s="6">
        <f>+Sheet1!B375*Sheet1!$C$1</f>
        <v>5788</v>
      </c>
      <c r="C379" s="6">
        <f>+Sheet1!C375*Sheet1!$C$1</f>
        <v>19937</v>
      </c>
      <c r="D379" s="6">
        <f>+Sheet1!D375*Sheet1!$C$1</f>
        <v>14000</v>
      </c>
    </row>
    <row r="380" spans="1:4" x14ac:dyDescent="0.2">
      <c r="A380" s="11">
        <v>36774</v>
      </c>
      <c r="B380" s="6">
        <f>+Sheet1!B376*Sheet1!$C$1</f>
        <v>4808</v>
      </c>
      <c r="C380" s="6">
        <f>+Sheet1!C376*Sheet1!$C$1</f>
        <v>16033</v>
      </c>
      <c r="D380" s="6">
        <f>+Sheet1!D376*Sheet1!$C$1</f>
        <v>14000</v>
      </c>
    </row>
    <row r="381" spans="1:4" x14ac:dyDescent="0.2">
      <c r="A381" s="11">
        <v>36775</v>
      </c>
      <c r="B381" s="6">
        <f>+Sheet1!B377*Sheet1!$C$1</f>
        <v>7614</v>
      </c>
      <c r="C381" s="6">
        <f>+Sheet1!C377*Sheet1!$C$1</f>
        <v>18614</v>
      </c>
      <c r="D381" s="6">
        <f>+Sheet1!D377*Sheet1!$C$1</f>
        <v>14000</v>
      </c>
    </row>
    <row r="382" spans="1:4" x14ac:dyDescent="0.2">
      <c r="A382" s="11">
        <v>36776</v>
      </c>
      <c r="B382" s="6">
        <f>+Sheet1!B378*Sheet1!$C$1</f>
        <v>7093</v>
      </c>
      <c r="C382" s="6">
        <f>+Sheet1!C378*Sheet1!$C$1</f>
        <v>20930</v>
      </c>
      <c r="D382" s="6">
        <f>+Sheet1!D378*Sheet1!$C$1</f>
        <v>14000</v>
      </c>
    </row>
    <row r="383" spans="1:4" x14ac:dyDescent="0.2">
      <c r="A383" s="11">
        <v>36777</v>
      </c>
      <c r="B383" s="6">
        <f>+Sheet1!B379*Sheet1!$C$1</f>
        <v>6788</v>
      </c>
      <c r="C383" s="6">
        <f>+Sheet1!C379*Sheet1!$C$1</f>
        <v>22804</v>
      </c>
      <c r="D383" s="6">
        <f>+Sheet1!D379*Sheet1!$C$1</f>
        <v>14000</v>
      </c>
    </row>
    <row r="384" spans="1:4" x14ac:dyDescent="0.2">
      <c r="A384" s="11">
        <v>36778</v>
      </c>
      <c r="B384" s="6">
        <f>+Sheet1!B380*Sheet1!$C$1</f>
        <v>7572</v>
      </c>
      <c r="C384" s="6">
        <f>+Sheet1!C380*Sheet1!$C$1</f>
        <v>26023</v>
      </c>
      <c r="D384" s="6">
        <f>+Sheet1!D380*Sheet1!$C$1</f>
        <v>14000</v>
      </c>
    </row>
    <row r="385" spans="1:4" x14ac:dyDescent="0.2">
      <c r="A385" s="11">
        <v>36779</v>
      </c>
      <c r="B385" s="6">
        <f>+Sheet1!B381*Sheet1!$C$1</f>
        <v>6817</v>
      </c>
      <c r="C385" s="6">
        <f>+Sheet1!C381*Sheet1!$C$1</f>
        <v>27026</v>
      </c>
      <c r="D385" s="6">
        <f>+Sheet1!D381*Sheet1!$C$1</f>
        <v>14000</v>
      </c>
    </row>
    <row r="386" spans="1:4" x14ac:dyDescent="0.2">
      <c r="A386" s="11">
        <v>36780</v>
      </c>
      <c r="B386" s="6">
        <f>+Sheet1!B382*Sheet1!$C$1</f>
        <v>7380</v>
      </c>
      <c r="C386" s="6">
        <f>+Sheet1!C382*Sheet1!$C$1</f>
        <v>20209</v>
      </c>
      <c r="D386" s="6">
        <f>+Sheet1!D382*Sheet1!$C$1</f>
        <v>14000</v>
      </c>
    </row>
    <row r="387" spans="1:4" x14ac:dyDescent="0.2">
      <c r="A387" s="11">
        <v>36781</v>
      </c>
      <c r="B387" s="6">
        <f>+Sheet1!B383*Sheet1!$C$1</f>
        <v>5882</v>
      </c>
      <c r="C387" s="6">
        <f>+Sheet1!C383*Sheet1!$C$1</f>
        <v>19946</v>
      </c>
      <c r="D387" s="6">
        <f>+Sheet1!D383*Sheet1!$C$1</f>
        <v>14000</v>
      </c>
    </row>
    <row r="388" spans="1:4" x14ac:dyDescent="0.2">
      <c r="A388" s="11">
        <v>36782</v>
      </c>
      <c r="B388" s="6">
        <f>+Sheet1!B384*Sheet1!$C$1</f>
        <v>7639</v>
      </c>
      <c r="C388" s="6">
        <f>+Sheet1!C384*Sheet1!$C$1</f>
        <v>20471</v>
      </c>
      <c r="D388" s="6">
        <f>+Sheet1!D384*Sheet1!$C$1</f>
        <v>14000</v>
      </c>
    </row>
    <row r="389" spans="1:4" x14ac:dyDescent="0.2">
      <c r="A389" s="11">
        <v>36783</v>
      </c>
      <c r="B389" s="6">
        <f>+Sheet1!B385*Sheet1!$C$1</f>
        <v>6441</v>
      </c>
      <c r="C389" s="6">
        <f>+Sheet1!C385*Sheet1!$C$1</f>
        <v>20525</v>
      </c>
      <c r="D389" s="6">
        <f>+Sheet1!D385*Sheet1!$C$1</f>
        <v>14000</v>
      </c>
    </row>
    <row r="390" spans="1:4" x14ac:dyDescent="0.2">
      <c r="A390" s="11">
        <v>36784</v>
      </c>
      <c r="B390" s="6">
        <f>+Sheet1!B386*Sheet1!$C$1</f>
        <v>6787</v>
      </c>
      <c r="C390" s="6">
        <f>+Sheet1!C386*Sheet1!$C$1</f>
        <v>16278</v>
      </c>
      <c r="D390" s="6">
        <f>+Sheet1!D386*Sheet1!$C$1</f>
        <v>14000</v>
      </c>
    </row>
    <row r="391" spans="1:4" x14ac:dyDescent="0.2">
      <c r="A391" s="11">
        <v>36785</v>
      </c>
      <c r="B391" s="6">
        <f>+Sheet1!B387*Sheet1!$C$1</f>
        <v>6905</v>
      </c>
      <c r="C391" s="6">
        <f>+Sheet1!C387*Sheet1!$C$1</f>
        <v>21257</v>
      </c>
      <c r="D391" s="6">
        <f>+Sheet1!D387*Sheet1!$C$1</f>
        <v>14000</v>
      </c>
    </row>
    <row r="392" spans="1:4" x14ac:dyDescent="0.2">
      <c r="A392" s="11">
        <v>36786</v>
      </c>
      <c r="B392" s="6">
        <f>+Sheet1!B388*Sheet1!$C$1</f>
        <v>5621</v>
      </c>
      <c r="C392" s="6">
        <f>+Sheet1!C388*Sheet1!$C$1</f>
        <v>23737</v>
      </c>
      <c r="D392" s="6">
        <f>+Sheet1!D388*Sheet1!$C$1</f>
        <v>14000</v>
      </c>
    </row>
    <row r="393" spans="1:4" x14ac:dyDescent="0.2">
      <c r="A393" s="11">
        <v>36787</v>
      </c>
      <c r="B393" s="6">
        <f>+Sheet1!B389*Sheet1!$C$1</f>
        <v>6916</v>
      </c>
      <c r="C393" s="6">
        <f>+Sheet1!C389*Sheet1!$C$1</f>
        <v>22297</v>
      </c>
      <c r="D393" s="6">
        <f>+Sheet1!D389*Sheet1!$C$1</f>
        <v>14000</v>
      </c>
    </row>
    <row r="394" spans="1:4" x14ac:dyDescent="0.2">
      <c r="A394" s="11">
        <v>36788</v>
      </c>
      <c r="B394" s="6">
        <f>+Sheet1!B390*Sheet1!$C$1</f>
        <v>6813</v>
      </c>
      <c r="C394" s="6">
        <f>+Sheet1!C390*Sheet1!$C$1</f>
        <v>23370</v>
      </c>
      <c r="D394" s="6">
        <f>+Sheet1!D390*Sheet1!$C$1</f>
        <v>14000</v>
      </c>
    </row>
    <row r="395" spans="1:4" x14ac:dyDescent="0.2">
      <c r="A395" s="11">
        <v>36789</v>
      </c>
      <c r="B395" s="6">
        <f>+Sheet1!B391*Sheet1!$C$1</f>
        <v>2533</v>
      </c>
      <c r="C395" s="6">
        <f>+Sheet1!C391*Sheet1!$C$1</f>
        <v>14257</v>
      </c>
      <c r="D395" s="6">
        <f>+Sheet1!D391*Sheet1!$C$1</f>
        <v>14000</v>
      </c>
    </row>
    <row r="396" spans="1:4" x14ac:dyDescent="0.2">
      <c r="A396" s="11">
        <v>36790</v>
      </c>
      <c r="B396" s="6">
        <f>+Sheet1!B392*Sheet1!$C$1</f>
        <v>9868</v>
      </c>
      <c r="C396" s="6">
        <f>+Sheet1!C392*Sheet1!$C$1</f>
        <v>30960</v>
      </c>
      <c r="D396" s="6">
        <f>+Sheet1!D392*Sheet1!$C$1</f>
        <v>14000</v>
      </c>
    </row>
    <row r="397" spans="1:4" x14ac:dyDescent="0.2">
      <c r="A397" s="11">
        <v>36791</v>
      </c>
      <c r="B397" s="6">
        <f>+Sheet1!B393*Sheet1!$C$1</f>
        <v>6706</v>
      </c>
      <c r="C397" s="6">
        <f>+Sheet1!C393*Sheet1!$C$1</f>
        <v>26380</v>
      </c>
      <c r="D397" s="6">
        <f>+Sheet1!D393*Sheet1!$C$1</f>
        <v>14000</v>
      </c>
    </row>
    <row r="398" spans="1:4" x14ac:dyDescent="0.2">
      <c r="A398" s="11">
        <v>36792</v>
      </c>
      <c r="B398" s="6">
        <f>+Sheet1!B394*Sheet1!$C$1</f>
        <v>7822</v>
      </c>
      <c r="C398" s="6">
        <f>+Sheet1!C394*Sheet1!$C$1</f>
        <v>25776</v>
      </c>
      <c r="D398" s="6">
        <f>+Sheet1!D394*Sheet1!$C$1</f>
        <v>14000</v>
      </c>
    </row>
    <row r="399" spans="1:4" x14ac:dyDescent="0.2">
      <c r="A399" s="11">
        <v>36793</v>
      </c>
      <c r="B399" s="6">
        <f>+Sheet1!B395*Sheet1!$C$1</f>
        <v>6229</v>
      </c>
      <c r="C399" s="6">
        <f>+Sheet1!C395*Sheet1!$C$1</f>
        <v>11134</v>
      </c>
      <c r="D399" s="6">
        <f>+Sheet1!D395*Sheet1!$C$1</f>
        <v>14000</v>
      </c>
    </row>
    <row r="400" spans="1:4" x14ac:dyDescent="0.2">
      <c r="A400" s="11">
        <v>36794</v>
      </c>
      <c r="B400" s="6">
        <f>+Sheet1!B396*Sheet1!$C$1</f>
        <v>-6375</v>
      </c>
      <c r="C400" s="6">
        <f>+Sheet1!C396*Sheet1!$C$1</f>
        <v>4671</v>
      </c>
      <c r="D400" s="6">
        <f>+Sheet1!D396*Sheet1!$C$1</f>
        <v>14000</v>
      </c>
    </row>
    <row r="401" spans="1:4" x14ac:dyDescent="0.2">
      <c r="A401" s="11">
        <v>36795</v>
      </c>
      <c r="B401" s="6">
        <f>+Sheet1!B397*Sheet1!$C$1</f>
        <v>7000</v>
      </c>
      <c r="C401" s="6">
        <f>+Sheet1!C397*Sheet1!$C$1</f>
        <v>22470</v>
      </c>
      <c r="D401" s="6">
        <f>+Sheet1!D397*Sheet1!$C$1</f>
        <v>14000</v>
      </c>
    </row>
    <row r="402" spans="1:4" x14ac:dyDescent="0.2">
      <c r="A402" s="11">
        <v>36796</v>
      </c>
      <c r="B402" s="6">
        <f>+Sheet1!B398*Sheet1!$C$1</f>
        <v>7000</v>
      </c>
      <c r="C402" s="6">
        <f>+Sheet1!C398*Sheet1!$C$1</f>
        <v>20000</v>
      </c>
      <c r="D402" s="6">
        <f>+Sheet1!D398*Sheet1!$C$1</f>
        <v>14000</v>
      </c>
    </row>
    <row r="403" spans="1:4" x14ac:dyDescent="0.2">
      <c r="A403" s="11">
        <v>36797</v>
      </c>
      <c r="B403" s="6">
        <f>+Sheet1!B399*Sheet1!$C$1</f>
        <v>7000</v>
      </c>
      <c r="C403" s="6">
        <f>+Sheet1!C399*Sheet1!$C$1</f>
        <v>20000</v>
      </c>
      <c r="D403" s="6">
        <f>+Sheet1!D399*Sheet1!$C$1</f>
        <v>14000</v>
      </c>
    </row>
    <row r="404" spans="1:4" x14ac:dyDescent="0.2">
      <c r="A404" s="11">
        <v>36798</v>
      </c>
      <c r="B404" s="6">
        <f>+Sheet1!B400*Sheet1!$C$1</f>
        <v>7000</v>
      </c>
      <c r="C404" s="6">
        <f>+Sheet1!C400*Sheet1!$C$1</f>
        <v>20000</v>
      </c>
      <c r="D404" s="6">
        <f>+Sheet1!D400*Sheet1!$C$1</f>
        <v>14000</v>
      </c>
    </row>
    <row r="405" spans="1:4" x14ac:dyDescent="0.2">
      <c r="A405" s="11">
        <v>36799</v>
      </c>
      <c r="B405" s="6">
        <f>+Sheet1!B401*Sheet1!$C$1</f>
        <v>7000</v>
      </c>
      <c r="C405" s="6">
        <f>+Sheet1!C401*Sheet1!$C$1</f>
        <v>20000</v>
      </c>
      <c r="D405" s="6">
        <f>+Sheet1!D401*Sheet1!$C$1</f>
        <v>14000</v>
      </c>
    </row>
    <row r="406" spans="1:4" x14ac:dyDescent="0.2">
      <c r="A406" s="11">
        <v>36800</v>
      </c>
      <c r="B406" s="6">
        <f>+Sheet1!B402*Sheet1!$C$1</f>
        <v>20056</v>
      </c>
      <c r="C406" s="6">
        <f>+Sheet1!C402*Sheet1!$C$1</f>
        <v>19299</v>
      </c>
      <c r="D406" s="6">
        <f>+Sheet1!D402*Sheet1!$C$1</f>
        <v>0</v>
      </c>
    </row>
    <row r="407" spans="1:4" x14ac:dyDescent="0.2">
      <c r="A407" s="11">
        <v>36801</v>
      </c>
      <c r="B407" s="6">
        <f>+Sheet1!B403*Sheet1!$C$1</f>
        <v>15832</v>
      </c>
      <c r="C407" s="6">
        <f>+Sheet1!C403*Sheet1!$C$1</f>
        <v>19528</v>
      </c>
      <c r="D407" s="6">
        <f>+Sheet1!D403*Sheet1!$C$1</f>
        <v>0</v>
      </c>
    </row>
    <row r="408" spans="1:4" x14ac:dyDescent="0.2">
      <c r="A408" s="11">
        <v>36802</v>
      </c>
      <c r="B408" s="6">
        <f>+Sheet1!B404*Sheet1!$C$1</f>
        <v>37300</v>
      </c>
      <c r="C408" s="6">
        <f>+Sheet1!C404*Sheet1!$C$1</f>
        <v>19115</v>
      </c>
      <c r="D408" s="6">
        <f>+Sheet1!D404*Sheet1!$C$1</f>
        <v>0</v>
      </c>
    </row>
    <row r="409" spans="1:4" x14ac:dyDescent="0.2">
      <c r="A409" s="11">
        <v>36803</v>
      </c>
      <c r="B409" s="6">
        <f>+Sheet1!B405*Sheet1!$C$1</f>
        <v>44437</v>
      </c>
      <c r="C409" s="6">
        <f>+Sheet1!C405*Sheet1!$C$1</f>
        <v>9248</v>
      </c>
      <c r="D409" s="6">
        <f>+Sheet1!D405*Sheet1!$C$1</f>
        <v>0</v>
      </c>
    </row>
    <row r="410" spans="1:4" x14ac:dyDescent="0.2">
      <c r="A410" s="11">
        <v>36804</v>
      </c>
      <c r="B410" s="6">
        <f>+Sheet1!B406*Sheet1!$C$1</f>
        <v>38000</v>
      </c>
      <c r="C410" s="6">
        <f>+Sheet1!C406*Sheet1!$C$1</f>
        <v>34864</v>
      </c>
      <c r="D410" s="6">
        <f>+Sheet1!D406*Sheet1!$C$1</f>
        <v>1529</v>
      </c>
    </row>
    <row r="411" spans="1:4" x14ac:dyDescent="0.2">
      <c r="A411" s="11">
        <v>36805</v>
      </c>
      <c r="B411" s="6">
        <f>+Sheet1!B407*Sheet1!$C$1</f>
        <v>24111</v>
      </c>
      <c r="C411" s="6">
        <f>+Sheet1!C407*Sheet1!$C$1</f>
        <v>13593</v>
      </c>
      <c r="D411" s="6">
        <f>+Sheet1!D407*Sheet1!$C$1</f>
        <v>0</v>
      </c>
    </row>
    <row r="412" spans="1:4" x14ac:dyDescent="0.2">
      <c r="A412" s="11">
        <v>36806</v>
      </c>
      <c r="B412" s="6">
        <f>+Sheet1!B408*Sheet1!$C$1</f>
        <v>29468</v>
      </c>
      <c r="C412" s="6">
        <f>+Sheet1!C408*Sheet1!$C$1</f>
        <v>20450</v>
      </c>
      <c r="D412" s="6">
        <f>+Sheet1!D408*Sheet1!$C$1</f>
        <v>0</v>
      </c>
    </row>
    <row r="413" spans="1:4" x14ac:dyDescent="0.2">
      <c r="A413" s="11">
        <v>36807</v>
      </c>
      <c r="B413" s="6">
        <f>+Sheet1!B409*Sheet1!$C$1</f>
        <v>21559</v>
      </c>
      <c r="C413" s="6">
        <f>+Sheet1!C409*Sheet1!$C$1</f>
        <v>18570</v>
      </c>
      <c r="D413" s="6">
        <f>+Sheet1!D409*Sheet1!$C$1</f>
        <v>0</v>
      </c>
    </row>
    <row r="414" spans="1:4" x14ac:dyDescent="0.2">
      <c r="A414" s="11">
        <v>36808</v>
      </c>
      <c r="B414" s="6">
        <f>+Sheet1!B410*Sheet1!$C$1</f>
        <v>20135</v>
      </c>
      <c r="C414" s="6">
        <f>+Sheet1!C410*Sheet1!$C$1</f>
        <v>37177</v>
      </c>
      <c r="D414" s="6">
        <f>+Sheet1!D410*Sheet1!$C$1</f>
        <v>0</v>
      </c>
    </row>
    <row r="415" spans="1:4" x14ac:dyDescent="0.2">
      <c r="A415" s="11">
        <v>36809</v>
      </c>
      <c r="B415" s="6">
        <f>+Sheet1!B411*Sheet1!$C$1</f>
        <v>27354</v>
      </c>
      <c r="C415" s="6">
        <f>+Sheet1!C411*Sheet1!$C$1</f>
        <v>13008</v>
      </c>
      <c r="D415" s="6">
        <f>+Sheet1!D411*Sheet1!$C$1</f>
        <v>0</v>
      </c>
    </row>
    <row r="416" spans="1:4" x14ac:dyDescent="0.2">
      <c r="A416" s="11">
        <v>36810</v>
      </c>
      <c r="B416" s="6">
        <f>+Sheet1!B412*Sheet1!$C$1</f>
        <v>18045</v>
      </c>
      <c r="C416" s="6">
        <f>+Sheet1!C412*Sheet1!$C$1</f>
        <v>18601</v>
      </c>
      <c r="D416" s="6">
        <f>+Sheet1!D412*Sheet1!$C$1</f>
        <v>0</v>
      </c>
    </row>
    <row r="417" spans="1:4" x14ac:dyDescent="0.2">
      <c r="A417" s="11">
        <v>36811</v>
      </c>
      <c r="B417" s="6">
        <f>+Sheet1!B413*Sheet1!$C$1</f>
        <v>23999</v>
      </c>
      <c r="C417" s="6">
        <f>+Sheet1!C413*Sheet1!$C$1</f>
        <v>24554</v>
      </c>
      <c r="D417" s="6">
        <f>+Sheet1!D413*Sheet1!$C$1</f>
        <v>1486</v>
      </c>
    </row>
    <row r="418" spans="1:4" x14ac:dyDescent="0.2">
      <c r="A418" s="11">
        <v>36812</v>
      </c>
      <c r="B418" s="6">
        <f>+Sheet1!B414*Sheet1!$C$1</f>
        <v>19999</v>
      </c>
      <c r="C418" s="6">
        <f>+Sheet1!C414*Sheet1!$C$1</f>
        <v>33286</v>
      </c>
      <c r="D418" s="6">
        <f>+Sheet1!D414*Sheet1!$C$1</f>
        <v>0</v>
      </c>
    </row>
    <row r="419" spans="1:4" x14ac:dyDescent="0.2">
      <c r="A419" s="11">
        <v>36813</v>
      </c>
      <c r="B419" s="6">
        <f>+Sheet1!B415*Sheet1!$C$1</f>
        <v>21631</v>
      </c>
      <c r="C419" s="6">
        <f>+Sheet1!C415*Sheet1!$C$1</f>
        <v>30402</v>
      </c>
      <c r="D419" s="6">
        <f>+Sheet1!D415*Sheet1!$C$1</f>
        <v>0</v>
      </c>
    </row>
    <row r="420" spans="1:4" x14ac:dyDescent="0.2">
      <c r="A420" s="11">
        <v>36814</v>
      </c>
      <c r="B420" s="6">
        <f>+Sheet1!B416*Sheet1!$C$1</f>
        <v>14729</v>
      </c>
      <c r="C420" s="6">
        <f>+Sheet1!C416*Sheet1!$C$1</f>
        <v>15338</v>
      </c>
      <c r="D420" s="6">
        <f>+Sheet1!D416*Sheet1!$C$1</f>
        <v>0</v>
      </c>
    </row>
    <row r="421" spans="1:4" x14ac:dyDescent="0.2">
      <c r="A421" s="11">
        <v>36815</v>
      </c>
      <c r="B421" s="6">
        <f>+Sheet1!B417*Sheet1!$C$1</f>
        <v>13180</v>
      </c>
      <c r="C421" s="6">
        <f>+Sheet1!C417*Sheet1!$C$1</f>
        <v>4241</v>
      </c>
      <c r="D421" s="6">
        <f>+Sheet1!D417*Sheet1!$C$1</f>
        <v>0</v>
      </c>
    </row>
    <row r="422" spans="1:4" x14ac:dyDescent="0.2">
      <c r="A422" s="11">
        <v>36816</v>
      </c>
      <c r="B422" s="6">
        <f>+Sheet1!B418*Sheet1!$C$1</f>
        <v>13991</v>
      </c>
      <c r="C422" s="6">
        <f>+Sheet1!C418*Sheet1!$C$1</f>
        <v>13211</v>
      </c>
      <c r="D422" s="6">
        <f>+Sheet1!D418*Sheet1!$C$1</f>
        <v>0</v>
      </c>
    </row>
    <row r="423" spans="1:4" x14ac:dyDescent="0.2">
      <c r="A423" s="11">
        <v>36817</v>
      </c>
      <c r="B423" s="6">
        <f>+Sheet1!B419*Sheet1!$C$1</f>
        <v>20751</v>
      </c>
      <c r="C423" s="6">
        <f>+Sheet1!C419*Sheet1!$C$1</f>
        <v>18323</v>
      </c>
      <c r="D423" s="6">
        <f>+Sheet1!D419*Sheet1!$C$1</f>
        <v>0</v>
      </c>
    </row>
    <row r="424" spans="1:4" x14ac:dyDescent="0.2">
      <c r="A424" s="11">
        <v>36818</v>
      </c>
      <c r="B424" s="6">
        <f>+Sheet1!B420*Sheet1!$C$1</f>
        <v>20158</v>
      </c>
      <c r="C424" s="6">
        <f>+Sheet1!C420*Sheet1!$C$1</f>
        <v>23785</v>
      </c>
      <c r="D424" s="6">
        <f>+Sheet1!D420*Sheet1!$C$1</f>
        <v>0</v>
      </c>
    </row>
    <row r="425" spans="1:4" x14ac:dyDescent="0.2">
      <c r="A425" s="11">
        <v>36819</v>
      </c>
      <c r="B425" s="6">
        <f>+Sheet1!B421*Sheet1!$C$1</f>
        <v>19387</v>
      </c>
      <c r="C425" s="6">
        <f>+Sheet1!C421*Sheet1!$C$1</f>
        <v>35264</v>
      </c>
      <c r="D425" s="6">
        <f>+Sheet1!D421*Sheet1!$C$1</f>
        <v>0</v>
      </c>
    </row>
    <row r="426" spans="1:4" x14ac:dyDescent="0.2">
      <c r="A426" s="11">
        <v>36820</v>
      </c>
      <c r="B426" s="6">
        <f>+Sheet1!B422*Sheet1!$C$1</f>
        <v>-482</v>
      </c>
      <c r="C426" s="6">
        <f>+Sheet1!C422*Sheet1!$C$1</f>
        <v>29919</v>
      </c>
      <c r="D426" s="6">
        <f>+Sheet1!D422*Sheet1!$C$1</f>
        <v>0</v>
      </c>
    </row>
    <row r="427" spans="1:4" x14ac:dyDescent="0.2">
      <c r="A427" s="11">
        <v>36821</v>
      </c>
      <c r="B427" s="6">
        <f>+Sheet1!B423*Sheet1!$C$1</f>
        <v>1606</v>
      </c>
      <c r="C427" s="6">
        <f>+Sheet1!C423*Sheet1!$C$1</f>
        <v>27341</v>
      </c>
      <c r="D427" s="6">
        <f>+Sheet1!D423*Sheet1!$C$1</f>
        <v>0</v>
      </c>
    </row>
    <row r="428" spans="1:4" x14ac:dyDescent="0.2">
      <c r="A428" s="11">
        <v>36822</v>
      </c>
      <c r="B428" s="6">
        <f>+Sheet1!B424*Sheet1!$C$1</f>
        <v>783</v>
      </c>
      <c r="C428" s="6">
        <f>+Sheet1!C424*Sheet1!$C$1</f>
        <v>26703</v>
      </c>
      <c r="D428" s="6">
        <f>+Sheet1!D424*Sheet1!$C$1</f>
        <v>0</v>
      </c>
    </row>
    <row r="429" spans="1:4" x14ac:dyDescent="0.2">
      <c r="A429" s="11">
        <v>36823</v>
      </c>
      <c r="B429" s="6">
        <f>+Sheet1!B425*Sheet1!$C$1</f>
        <v>0</v>
      </c>
      <c r="C429" s="6">
        <f>+Sheet1!C425*Sheet1!$C$1</f>
        <v>29616</v>
      </c>
      <c r="D429" s="6">
        <f>+Sheet1!D425*Sheet1!$C$1</f>
        <v>0</v>
      </c>
    </row>
    <row r="430" spans="1:4" x14ac:dyDescent="0.2">
      <c r="A430" s="11">
        <v>36824</v>
      </c>
      <c r="B430" s="6">
        <f>+Sheet1!B426*Sheet1!$C$1</f>
        <v>9999</v>
      </c>
      <c r="C430" s="6">
        <f>+Sheet1!C426*Sheet1!$C$1</f>
        <v>32848</v>
      </c>
      <c r="D430" s="6">
        <f>+Sheet1!D426*Sheet1!$C$1</f>
        <v>0</v>
      </c>
    </row>
    <row r="431" spans="1:4" x14ac:dyDescent="0.2">
      <c r="A431" s="11">
        <v>36825</v>
      </c>
      <c r="B431" s="6">
        <f>+Sheet1!B427*Sheet1!$C$1</f>
        <v>9999</v>
      </c>
      <c r="C431" s="6">
        <f>+Sheet1!C427*Sheet1!$C$1</f>
        <v>19766</v>
      </c>
      <c r="D431" s="6">
        <f>+Sheet1!D427*Sheet1!$C$1</f>
        <v>0</v>
      </c>
    </row>
    <row r="432" spans="1:4" x14ac:dyDescent="0.2">
      <c r="A432" s="11">
        <v>36826</v>
      </c>
      <c r="B432" s="6">
        <f>+Sheet1!B428*Sheet1!$C$1</f>
        <v>19999</v>
      </c>
      <c r="C432" s="6">
        <f>+Sheet1!C428*Sheet1!$C$1</f>
        <v>19687</v>
      </c>
      <c r="D432" s="6">
        <f>+Sheet1!D428*Sheet1!$C$1</f>
        <v>0</v>
      </c>
    </row>
    <row r="433" spans="1:5" x14ac:dyDescent="0.2">
      <c r="A433" s="11">
        <v>36827</v>
      </c>
      <c r="B433" s="6">
        <f>+Sheet1!B429*Sheet1!$C$1</f>
        <v>19999</v>
      </c>
      <c r="C433" s="6">
        <f>+Sheet1!C429*Sheet1!$C$1</f>
        <v>8248</v>
      </c>
      <c r="D433" s="6">
        <f>+Sheet1!D429*Sheet1!$C$1</f>
        <v>0</v>
      </c>
    </row>
    <row r="434" spans="1:5" x14ac:dyDescent="0.2">
      <c r="A434" s="11">
        <v>36828</v>
      </c>
      <c r="B434" s="6">
        <f>+Sheet1!B430*Sheet1!$C$1</f>
        <v>19999</v>
      </c>
      <c r="C434" s="6">
        <f>+Sheet1!C430*Sheet1!$C$1</f>
        <v>9766</v>
      </c>
      <c r="D434" s="6">
        <f>+Sheet1!D430*Sheet1!$C$1</f>
        <v>0</v>
      </c>
    </row>
    <row r="435" spans="1:5" x14ac:dyDescent="0.2">
      <c r="A435" s="11">
        <v>36829</v>
      </c>
      <c r="B435" s="6">
        <f>+Sheet1!B431*Sheet1!$C$1</f>
        <v>19999</v>
      </c>
      <c r="C435" s="6">
        <f>+Sheet1!C431*Sheet1!$C$1</f>
        <v>19766</v>
      </c>
      <c r="D435" s="6">
        <f>+Sheet1!D431*Sheet1!$C$1</f>
        <v>0</v>
      </c>
    </row>
    <row r="436" spans="1:5" x14ac:dyDescent="0.2">
      <c r="A436" s="11">
        <v>36830</v>
      </c>
      <c r="B436" s="6">
        <f>+Sheet1!B432*Sheet1!$C$1</f>
        <v>19999</v>
      </c>
      <c r="C436" s="6">
        <f>+Sheet1!C432*Sheet1!$C$1</f>
        <v>19766</v>
      </c>
      <c r="D436" s="6">
        <f>+Sheet1!D432*Sheet1!$C$1</f>
        <v>0</v>
      </c>
    </row>
    <row r="437" spans="1:5" x14ac:dyDescent="0.2">
      <c r="A437" s="11">
        <v>36831</v>
      </c>
      <c r="B437" s="6">
        <f>+Sheet1!B433*Sheet1!$C$1</f>
        <v>23578</v>
      </c>
      <c r="C437" s="6">
        <f>+Sheet1!C433*Sheet1!$C$1</f>
        <v>19790</v>
      </c>
      <c r="D437" s="6">
        <f>+Sheet1!D433*Sheet1!$C$1</f>
        <v>-6000</v>
      </c>
      <c r="E437" s="6">
        <f>+Sheet1!E433*Sheet1!$C$1</f>
        <v>18033</v>
      </c>
    </row>
    <row r="438" spans="1:5" x14ac:dyDescent="0.2">
      <c r="A438" s="11">
        <v>36832</v>
      </c>
      <c r="B438" s="6">
        <f>+Sheet1!B434*Sheet1!$C$1</f>
        <v>10021</v>
      </c>
      <c r="C438" s="6">
        <f>+Sheet1!C434*Sheet1!$C$1</f>
        <v>19802</v>
      </c>
      <c r="D438" s="6">
        <f>+Sheet1!D434*Sheet1!$C$1</f>
        <v>-6000</v>
      </c>
      <c r="E438" s="6">
        <f>+Sheet1!E434*Sheet1!$C$1</f>
        <v>20163</v>
      </c>
    </row>
    <row r="439" spans="1:5" x14ac:dyDescent="0.2">
      <c r="A439" s="11">
        <v>36833</v>
      </c>
      <c r="B439" s="6">
        <f>+Sheet1!B435*Sheet1!$C$1</f>
        <v>7432</v>
      </c>
      <c r="C439" s="6">
        <f>+Sheet1!C435*Sheet1!$C$1</f>
        <v>54</v>
      </c>
      <c r="D439" s="6">
        <f>+Sheet1!D435*Sheet1!$C$1</f>
        <v>-6000</v>
      </c>
      <c r="E439" s="6">
        <f>+Sheet1!E435*Sheet1!$C$1</f>
        <v>20218</v>
      </c>
    </row>
    <row r="440" spans="1:5" x14ac:dyDescent="0.2">
      <c r="A440" s="11">
        <v>36834</v>
      </c>
      <c r="B440" s="6">
        <f>+Sheet1!B436*Sheet1!$C$1</f>
        <v>-2035</v>
      </c>
      <c r="C440" s="6">
        <f>+Sheet1!C436*Sheet1!$C$1</f>
        <v>-222</v>
      </c>
      <c r="D440" s="6">
        <f>+Sheet1!D436*Sheet1!$C$1</f>
        <v>-6000</v>
      </c>
      <c r="E440" s="6">
        <f>+Sheet1!E436*Sheet1!$C$1</f>
        <v>20510</v>
      </c>
    </row>
    <row r="441" spans="1:5" x14ac:dyDescent="0.2">
      <c r="A441" s="11">
        <v>36835</v>
      </c>
      <c r="B441" s="6">
        <f>+Sheet1!B437*Sheet1!$C$1</f>
        <v>12519</v>
      </c>
      <c r="C441" s="6">
        <f>+Sheet1!C437*Sheet1!$C$1</f>
        <v>-483</v>
      </c>
      <c r="D441" s="6">
        <f>+Sheet1!D437*Sheet1!$C$1</f>
        <v>-6000</v>
      </c>
      <c r="E441" s="6">
        <f>+Sheet1!E437*Sheet1!$C$1</f>
        <v>20797</v>
      </c>
    </row>
    <row r="442" spans="1:5" x14ac:dyDescent="0.2">
      <c r="A442" s="11">
        <v>36836</v>
      </c>
      <c r="B442" s="6">
        <f>+Sheet1!B438*Sheet1!$C$1</f>
        <v>5790</v>
      </c>
      <c r="C442" s="6">
        <f>+Sheet1!C438*Sheet1!$C$1</f>
        <v>-9172</v>
      </c>
      <c r="D442" s="6">
        <f>+Sheet1!D438*Sheet1!$C$1</f>
        <v>-6000</v>
      </c>
      <c r="E442" s="6">
        <f>+Sheet1!E438*Sheet1!$C$1</f>
        <v>19935</v>
      </c>
    </row>
    <row r="443" spans="1:5" x14ac:dyDescent="0.2">
      <c r="A443" s="11">
        <v>36837</v>
      </c>
      <c r="B443" s="6">
        <f>+Sheet1!B439*Sheet1!$C$1</f>
        <v>7528</v>
      </c>
      <c r="C443" s="6">
        <f>+Sheet1!C439*Sheet1!$C$1</f>
        <v>-7164</v>
      </c>
      <c r="D443" s="6">
        <f>+Sheet1!D439*Sheet1!$C$1</f>
        <v>-6000</v>
      </c>
      <c r="E443" s="6">
        <f>+Sheet1!E439*Sheet1!$C$1</f>
        <v>12489</v>
      </c>
    </row>
    <row r="444" spans="1:5" x14ac:dyDescent="0.2">
      <c r="A444" s="11">
        <v>36838</v>
      </c>
      <c r="B444" s="6">
        <f>+Sheet1!B440*Sheet1!$C$1</f>
        <v>4523</v>
      </c>
      <c r="C444" s="6">
        <f>+Sheet1!C440*Sheet1!$C$1</f>
        <v>-7407</v>
      </c>
      <c r="D444" s="6">
        <f>+Sheet1!D440*Sheet1!$C$1</f>
        <v>-6000</v>
      </c>
      <c r="E444" s="6">
        <f>+Sheet1!E440*Sheet1!$C$1</f>
        <v>7238</v>
      </c>
    </row>
    <row r="445" spans="1:5" x14ac:dyDescent="0.2">
      <c r="A445" s="11">
        <v>36839</v>
      </c>
      <c r="B445" s="6">
        <f>+Sheet1!B441*Sheet1!$C$1</f>
        <v>-23580</v>
      </c>
      <c r="C445" s="6">
        <f>+Sheet1!C441*Sheet1!$C$1</f>
        <v>-11562</v>
      </c>
      <c r="D445" s="6">
        <f>+Sheet1!D441*Sheet1!$C$1</f>
        <v>-6000</v>
      </c>
      <c r="E445" s="6">
        <f>+Sheet1!E441*Sheet1!$C$1</f>
        <v>10257</v>
      </c>
    </row>
    <row r="446" spans="1:5" x14ac:dyDescent="0.2">
      <c r="A446" s="11">
        <v>36840</v>
      </c>
      <c r="B446" s="6">
        <f>+Sheet1!B442*Sheet1!$C$1</f>
        <v>-847</v>
      </c>
      <c r="C446" s="6">
        <f>+Sheet1!C442*Sheet1!$C$1</f>
        <v>-31570</v>
      </c>
      <c r="D446" s="6">
        <f>+Sheet1!D442*Sheet1!$C$1</f>
        <v>-6000</v>
      </c>
      <c r="E446" s="6">
        <f>+Sheet1!E442*Sheet1!$C$1</f>
        <v>10000</v>
      </c>
    </row>
    <row r="447" spans="1:5" x14ac:dyDescent="0.2">
      <c r="A447" s="11">
        <v>36841</v>
      </c>
      <c r="B447" s="6">
        <f>+Sheet1!B443*Sheet1!$C$1</f>
        <v>29191</v>
      </c>
      <c r="C447" s="6">
        <f>+Sheet1!C443*Sheet1!$C$1</f>
        <v>-16532</v>
      </c>
      <c r="D447" s="6">
        <f>+Sheet1!D443*Sheet1!$C$1</f>
        <v>-6000</v>
      </c>
      <c r="E447" s="6">
        <f>+Sheet1!E443*Sheet1!$C$1</f>
        <v>0</v>
      </c>
    </row>
    <row r="448" spans="1:5" x14ac:dyDescent="0.2">
      <c r="A448" s="11">
        <v>36842</v>
      </c>
      <c r="B448" s="6">
        <f>+Sheet1!B444*Sheet1!$C$1</f>
        <v>28181</v>
      </c>
      <c r="C448" s="6">
        <f>+Sheet1!C444*Sheet1!$C$1</f>
        <v>-15571</v>
      </c>
      <c r="D448" s="6">
        <f>+Sheet1!D444*Sheet1!$C$1</f>
        <v>-6000</v>
      </c>
      <c r="E448" s="6">
        <f>+Sheet1!E444*Sheet1!$C$1</f>
        <v>0</v>
      </c>
    </row>
    <row r="449" spans="1:5" x14ac:dyDescent="0.2">
      <c r="A449" s="11">
        <v>36843</v>
      </c>
      <c r="B449" s="6">
        <f>+Sheet1!B445*Sheet1!$C$1</f>
        <v>-18580</v>
      </c>
      <c r="C449" s="6">
        <f>+Sheet1!C445*Sheet1!$C$1</f>
        <v>-24838</v>
      </c>
      <c r="D449" s="6">
        <f>+Sheet1!D445*Sheet1!$C$1</f>
        <v>-6000</v>
      </c>
      <c r="E449" s="6">
        <f>+Sheet1!E445*Sheet1!$C$1</f>
        <v>0</v>
      </c>
    </row>
    <row r="450" spans="1:5" x14ac:dyDescent="0.2">
      <c r="A450" s="11">
        <v>36844</v>
      </c>
      <c r="B450" s="6">
        <f>+Sheet1!B446*Sheet1!$C$1</f>
        <v>-17535</v>
      </c>
      <c r="C450" s="6">
        <f>+Sheet1!C446*Sheet1!$C$1</f>
        <v>-39552</v>
      </c>
      <c r="D450" s="6">
        <f>+Sheet1!D446*Sheet1!$C$1</f>
        <v>-6000</v>
      </c>
      <c r="E450" s="6">
        <f>+Sheet1!E446*Sheet1!$C$1</f>
        <v>14196</v>
      </c>
    </row>
    <row r="451" spans="1:5" x14ac:dyDescent="0.2">
      <c r="A451" s="11">
        <v>36845</v>
      </c>
      <c r="B451" s="6">
        <f>+Sheet1!B447*Sheet1!$C$1</f>
        <v>22469</v>
      </c>
      <c r="C451" s="6">
        <f>+Sheet1!C447*Sheet1!$C$1</f>
        <v>-25831</v>
      </c>
      <c r="D451" s="6">
        <f>+Sheet1!D447*Sheet1!$C$1</f>
        <v>-6000</v>
      </c>
      <c r="E451" s="6">
        <f>+Sheet1!E447*Sheet1!$C$1</f>
        <v>-20000</v>
      </c>
    </row>
    <row r="452" spans="1:5" x14ac:dyDescent="0.2">
      <c r="A452" s="11">
        <v>36846</v>
      </c>
      <c r="B452" s="6">
        <f>+Sheet1!B448*Sheet1!$C$1</f>
        <v>28797</v>
      </c>
      <c r="C452" s="6">
        <f>+Sheet1!C448*Sheet1!$C$1</f>
        <v>-23991</v>
      </c>
      <c r="D452" s="6">
        <f>+Sheet1!D448*Sheet1!$C$1</f>
        <v>-6000</v>
      </c>
      <c r="E452" s="6">
        <f>+Sheet1!E448*Sheet1!$C$1</f>
        <v>-18435</v>
      </c>
    </row>
    <row r="453" spans="1:5" x14ac:dyDescent="0.2">
      <c r="A453" s="11">
        <v>36847</v>
      </c>
      <c r="B453" s="6">
        <f>+Sheet1!B449*Sheet1!$C$1</f>
        <v>15468</v>
      </c>
      <c r="C453" s="6">
        <f>+Sheet1!C449*Sheet1!$C$1</f>
        <v>-29540</v>
      </c>
      <c r="D453" s="6">
        <f>+Sheet1!D449*Sheet1!$C$1</f>
        <v>-6000</v>
      </c>
      <c r="E453" s="6">
        <f>+Sheet1!E449*Sheet1!$C$1</f>
        <v>-20333</v>
      </c>
    </row>
    <row r="454" spans="1:5" x14ac:dyDescent="0.2">
      <c r="A454" s="11">
        <v>36848</v>
      </c>
      <c r="B454" s="6">
        <f>+Sheet1!B450*Sheet1!$C$1</f>
        <v>13000</v>
      </c>
      <c r="C454" s="6">
        <f>+Sheet1!C450*Sheet1!$C$1</f>
        <v>-40297</v>
      </c>
      <c r="D454" s="6">
        <f>+Sheet1!D450*Sheet1!$C$1</f>
        <v>-20166</v>
      </c>
      <c r="E454" s="6">
        <f>+Sheet1!E450*Sheet1!$C$1</f>
        <v>-19848</v>
      </c>
    </row>
    <row r="455" spans="1:5" x14ac:dyDescent="0.2">
      <c r="A455" s="11">
        <v>36849</v>
      </c>
      <c r="B455" s="6">
        <f>+Sheet1!B451*Sheet1!$C$1</f>
        <v>13151</v>
      </c>
      <c r="C455" s="6">
        <f>+Sheet1!C451*Sheet1!$C$1</f>
        <v>-48166</v>
      </c>
      <c r="D455" s="6">
        <f>+Sheet1!D451*Sheet1!$C$1</f>
        <v>-6000</v>
      </c>
      <c r="E455" s="6">
        <f>+Sheet1!E451*Sheet1!$C$1</f>
        <v>-20885</v>
      </c>
    </row>
    <row r="456" spans="1:5" x14ac:dyDescent="0.2">
      <c r="A456" s="11">
        <v>36850</v>
      </c>
      <c r="B456" s="6">
        <f>+Sheet1!B452*Sheet1!$C$1</f>
        <v>14658</v>
      </c>
      <c r="C456" s="6">
        <f>+Sheet1!C452*Sheet1!$C$1</f>
        <v>-91259</v>
      </c>
      <c r="D456" s="6">
        <f>+Sheet1!D452*Sheet1!$C$1</f>
        <v>-6000</v>
      </c>
      <c r="E456" s="6">
        <f>+Sheet1!E452*Sheet1!$C$1</f>
        <v>-20000</v>
      </c>
    </row>
    <row r="457" spans="1:5" x14ac:dyDescent="0.2">
      <c r="A457" s="11">
        <v>36851</v>
      </c>
      <c r="B457" s="6">
        <f>+Sheet1!B453*Sheet1!$C$1</f>
        <v>18295</v>
      </c>
      <c r="C457" s="6">
        <f>+Sheet1!C453*Sheet1!$C$1</f>
        <v>-72889</v>
      </c>
      <c r="D457" s="6">
        <f>+Sheet1!D453*Sheet1!$C$1</f>
        <v>-6000</v>
      </c>
      <c r="E457" s="6">
        <f>+Sheet1!E453*Sheet1!$C$1</f>
        <v>-20702</v>
      </c>
    </row>
    <row r="458" spans="1:5" x14ac:dyDescent="0.2">
      <c r="A458" s="11">
        <v>36852</v>
      </c>
      <c r="B458" s="6">
        <f>+Sheet1!B454*Sheet1!$C$1</f>
        <v>36979</v>
      </c>
      <c r="C458" s="6">
        <f>+Sheet1!C454*Sheet1!$C$1</f>
        <v>-45949</v>
      </c>
      <c r="D458" s="6">
        <f>+Sheet1!D454*Sheet1!$C$1</f>
        <v>-6000</v>
      </c>
      <c r="E458" s="6">
        <f>+Sheet1!E454*Sheet1!$C$1</f>
        <v>2130</v>
      </c>
    </row>
    <row r="459" spans="1:5" x14ac:dyDescent="0.2">
      <c r="A459" s="11">
        <v>36853</v>
      </c>
      <c r="B459" s="6">
        <f>+Sheet1!B455*Sheet1!$C$1</f>
        <v>13000</v>
      </c>
      <c r="C459" s="6">
        <f>+Sheet1!C455*Sheet1!$C$1</f>
        <v>-20112</v>
      </c>
      <c r="D459" s="6">
        <f>+Sheet1!D455*Sheet1!$C$1</f>
        <v>-7242</v>
      </c>
      <c r="E459" s="6">
        <f>+Sheet1!E455*Sheet1!$C$1</f>
        <v>-18115</v>
      </c>
    </row>
    <row r="460" spans="1:5" x14ac:dyDescent="0.2">
      <c r="A460" s="11">
        <v>36854</v>
      </c>
      <c r="B460" s="6">
        <f>+Sheet1!B456*Sheet1!$C$1</f>
        <v>13135</v>
      </c>
      <c r="C460" s="6">
        <f>+Sheet1!C456*Sheet1!$C$1</f>
        <v>-3170</v>
      </c>
      <c r="D460" s="6">
        <f>+Sheet1!D456*Sheet1!$C$1</f>
        <v>-6000</v>
      </c>
      <c r="E460" s="6">
        <f>+Sheet1!E456*Sheet1!$C$1</f>
        <v>-12825</v>
      </c>
    </row>
    <row r="461" spans="1:5" x14ac:dyDescent="0.2">
      <c r="A461" s="11">
        <v>36855</v>
      </c>
      <c r="B461" s="6">
        <f>+Sheet1!B457*Sheet1!$C$1</f>
        <v>14668</v>
      </c>
      <c r="C461" s="6">
        <f>+Sheet1!C457*Sheet1!$C$1</f>
        <v>-5006</v>
      </c>
      <c r="D461" s="6">
        <f>+Sheet1!D457*Sheet1!$C$1</f>
        <v>-6000</v>
      </c>
      <c r="E461" s="6">
        <f>+Sheet1!E457*Sheet1!$C$1</f>
        <v>1467</v>
      </c>
    </row>
    <row r="462" spans="1:5" x14ac:dyDescent="0.2">
      <c r="A462" s="11">
        <v>36856</v>
      </c>
      <c r="B462" s="6">
        <f>+Sheet1!B458*Sheet1!$C$1</f>
        <v>16015</v>
      </c>
      <c r="C462" s="6">
        <f>+Sheet1!C458*Sheet1!$C$1</f>
        <v>-20016</v>
      </c>
      <c r="D462" s="6">
        <f>+Sheet1!D458*Sheet1!$C$1</f>
        <v>-6000</v>
      </c>
      <c r="E462" s="6">
        <f>+Sheet1!E458*Sheet1!$C$1</f>
        <v>-527</v>
      </c>
    </row>
    <row r="463" spans="1:5" x14ac:dyDescent="0.2">
      <c r="A463" s="11">
        <v>36857</v>
      </c>
      <c r="B463" s="6">
        <f>+Sheet1!B459*Sheet1!$C$1</f>
        <v>6586</v>
      </c>
      <c r="C463" s="6">
        <f>+Sheet1!C459*Sheet1!$C$1</f>
        <v>-28586</v>
      </c>
      <c r="D463" s="6">
        <f>+Sheet1!D459*Sheet1!$C$1</f>
        <v>-6000</v>
      </c>
      <c r="E463" s="6">
        <f>+Sheet1!E459*Sheet1!$C$1</f>
        <v>590</v>
      </c>
    </row>
    <row r="464" spans="1:5" x14ac:dyDescent="0.2">
      <c r="A464" s="11">
        <v>36858</v>
      </c>
      <c r="B464" s="6">
        <f>+Sheet1!B460*Sheet1!$C$1</f>
        <v>48000</v>
      </c>
      <c r="C464" s="6">
        <f>+Sheet1!C460*Sheet1!$C$1</f>
        <v>-11707</v>
      </c>
      <c r="D464" s="6">
        <f>+Sheet1!D460*Sheet1!$C$1</f>
        <v>-6000</v>
      </c>
      <c r="E464" s="6">
        <f>+Sheet1!E460*Sheet1!$C$1</f>
        <v>127</v>
      </c>
    </row>
    <row r="465" spans="1:5" x14ac:dyDescent="0.2">
      <c r="A465" s="11">
        <v>36859</v>
      </c>
      <c r="B465" s="6">
        <f>+Sheet1!B461*Sheet1!$C$1</f>
        <v>48300</v>
      </c>
      <c r="C465" s="6">
        <f>+Sheet1!C461*Sheet1!$C$1</f>
        <v>-40000</v>
      </c>
      <c r="D465" s="6">
        <f>+Sheet1!D461*Sheet1!$C$1</f>
        <v>-6000</v>
      </c>
      <c r="E465" s="6">
        <f>+Sheet1!E461*Sheet1!$C$1</f>
        <v>0</v>
      </c>
    </row>
    <row r="466" spans="1:5" x14ac:dyDescent="0.2">
      <c r="A466" s="11">
        <v>36860</v>
      </c>
      <c r="B466" s="6">
        <f>+Sheet1!B462*Sheet1!$C$1</f>
        <v>43000</v>
      </c>
      <c r="C466" s="6">
        <f>+Sheet1!C462*Sheet1!$C$1</f>
        <v>-40000</v>
      </c>
      <c r="D466" s="6">
        <f>+Sheet1!D462*Sheet1!$C$1</f>
        <v>-6000</v>
      </c>
      <c r="E466" s="6">
        <f>+Sheet1!E462*Sheet1!$C$1</f>
        <v>0</v>
      </c>
    </row>
    <row r="467" spans="1:5" x14ac:dyDescent="0.2">
      <c r="A467" s="11">
        <v>36861</v>
      </c>
      <c r="B467" s="6">
        <f>+Sheet1!B463*Sheet1!$C$1</f>
        <v>-5858</v>
      </c>
      <c r="C467" s="6">
        <f>+Sheet1!C463*Sheet1!$C$1</f>
        <v>-45889</v>
      </c>
      <c r="D467" s="6">
        <f>+Sheet1!D463*Sheet1!$C$1</f>
        <v>-8000</v>
      </c>
      <c r="E467" s="6">
        <f>+Sheet1!E463*Sheet1!$C$1</f>
        <v>1000</v>
      </c>
    </row>
    <row r="468" spans="1:5" x14ac:dyDescent="0.2">
      <c r="A468" s="11">
        <v>36862</v>
      </c>
      <c r="B468" s="6">
        <f>+Sheet1!B464*Sheet1!$C$1</f>
        <v>-5858</v>
      </c>
      <c r="C468" s="6">
        <f>+Sheet1!C464*Sheet1!$C$1</f>
        <v>-41177</v>
      </c>
      <c r="D468" s="6">
        <f>+Sheet1!D464*Sheet1!$C$1</f>
        <v>-12921</v>
      </c>
      <c r="E468" s="6">
        <f>+Sheet1!E464*Sheet1!$C$1</f>
        <v>1000</v>
      </c>
    </row>
    <row r="469" spans="1:5" x14ac:dyDescent="0.2">
      <c r="A469" s="11">
        <v>36863</v>
      </c>
      <c r="B469" s="6">
        <f>+Sheet1!B465*Sheet1!$C$1</f>
        <v>-9000</v>
      </c>
      <c r="C469" s="6">
        <f>+Sheet1!C465*Sheet1!$C$1</f>
        <v>-43612</v>
      </c>
      <c r="D469" s="6">
        <f>+Sheet1!D465*Sheet1!$C$1</f>
        <v>-11803</v>
      </c>
      <c r="E469" s="6">
        <f>+Sheet1!E465*Sheet1!$C$1</f>
        <v>1000</v>
      </c>
    </row>
    <row r="470" spans="1:5" x14ac:dyDescent="0.2">
      <c r="A470" s="11">
        <v>36864</v>
      </c>
      <c r="B470" s="6">
        <f>+Sheet1!B466*Sheet1!$C$1</f>
        <v>-6515</v>
      </c>
      <c r="C470" s="6">
        <f>+Sheet1!C466*Sheet1!$C$1</f>
        <v>-71623</v>
      </c>
      <c r="D470" s="6">
        <f>+Sheet1!D466*Sheet1!$C$1</f>
        <v>-8000</v>
      </c>
      <c r="E470" s="6">
        <f>+Sheet1!E466*Sheet1!$C$1</f>
        <v>1000</v>
      </c>
    </row>
    <row r="471" spans="1:5" x14ac:dyDescent="0.2">
      <c r="A471" s="11">
        <v>36865</v>
      </c>
      <c r="B471" s="6">
        <f>+Sheet1!B467*Sheet1!$C$1</f>
        <v>-9000</v>
      </c>
      <c r="C471" s="6">
        <f>+Sheet1!C467*Sheet1!$C$1</f>
        <v>-116680</v>
      </c>
      <c r="D471" s="6">
        <f>+Sheet1!D467*Sheet1!$C$1</f>
        <v>-9832</v>
      </c>
      <c r="E471" s="6">
        <f>+Sheet1!E467*Sheet1!$C$1</f>
        <v>1000</v>
      </c>
    </row>
    <row r="472" spans="1:5" x14ac:dyDescent="0.2">
      <c r="A472" s="11">
        <v>36866</v>
      </c>
      <c r="B472" s="6">
        <f>+Sheet1!B468*Sheet1!$C$1</f>
        <v>-9000</v>
      </c>
      <c r="C472" s="6">
        <f>+Sheet1!C468*Sheet1!$C$1</f>
        <v>-97403</v>
      </c>
      <c r="D472" s="6">
        <f>+Sheet1!D468*Sheet1!$C$1</f>
        <v>-9394</v>
      </c>
      <c r="E472" s="6">
        <f>+Sheet1!E468*Sheet1!$C$1</f>
        <v>1000</v>
      </c>
    </row>
    <row r="473" spans="1:5" x14ac:dyDescent="0.2">
      <c r="A473" s="11">
        <v>36867</v>
      </c>
      <c r="B473" s="6">
        <f>+Sheet1!B469*Sheet1!$C$1</f>
        <v>-6620</v>
      </c>
      <c r="C473" s="6">
        <f>+Sheet1!C469*Sheet1!$C$1</f>
        <v>-82276</v>
      </c>
      <c r="D473" s="6">
        <f>+Sheet1!D469*Sheet1!$C$1</f>
        <v>-8000</v>
      </c>
      <c r="E473" s="6">
        <f>+Sheet1!E469*Sheet1!$C$1</f>
        <v>10119</v>
      </c>
    </row>
    <row r="474" spans="1:5" x14ac:dyDescent="0.2">
      <c r="A474" s="11">
        <v>36868</v>
      </c>
      <c r="B474" s="6">
        <f>+Sheet1!B470*Sheet1!$C$1</f>
        <v>-24000</v>
      </c>
      <c r="C474" s="6">
        <f>+Sheet1!C470*Sheet1!$C$1</f>
        <v>-78526</v>
      </c>
      <c r="D474" s="6">
        <f>+Sheet1!D470*Sheet1!$C$1</f>
        <v>-16963</v>
      </c>
      <c r="E474" s="6">
        <f>+Sheet1!E470*Sheet1!$C$1</f>
        <v>1000</v>
      </c>
    </row>
    <row r="475" spans="1:5" x14ac:dyDescent="0.2">
      <c r="A475" s="11">
        <v>36869</v>
      </c>
      <c r="B475" s="6">
        <f>+Sheet1!B471*Sheet1!$C$1</f>
        <v>-12795</v>
      </c>
      <c r="C475" s="6">
        <f>+Sheet1!C471*Sheet1!$C$1</f>
        <v>-63103</v>
      </c>
      <c r="D475" s="6">
        <f>+Sheet1!D471*Sheet1!$C$1</f>
        <v>-8000</v>
      </c>
      <c r="E475" s="6">
        <f>+Sheet1!E471*Sheet1!$C$1</f>
        <v>1000</v>
      </c>
    </row>
    <row r="476" spans="1:5" x14ac:dyDescent="0.2">
      <c r="A476" s="11">
        <v>36870</v>
      </c>
      <c r="B476" s="6">
        <f>+Sheet1!B472*Sheet1!$C$1</f>
        <v>-24000</v>
      </c>
      <c r="C476" s="6">
        <f>+Sheet1!C472*Sheet1!$C$1</f>
        <v>-31071</v>
      </c>
      <c r="D476" s="6">
        <f>+Sheet1!D472*Sheet1!$C$1</f>
        <v>-22064</v>
      </c>
      <c r="E476" s="6">
        <f>+Sheet1!E472*Sheet1!$C$1</f>
        <v>1000</v>
      </c>
    </row>
    <row r="477" spans="1:5" x14ac:dyDescent="0.2">
      <c r="A477" s="11">
        <v>36871</v>
      </c>
      <c r="B477" s="6">
        <f>+Sheet1!B473*Sheet1!$C$1</f>
        <v>-7019</v>
      </c>
      <c r="C477" s="6">
        <f>+Sheet1!C473*Sheet1!$C$1</f>
        <v>-117871</v>
      </c>
      <c r="D477" s="6">
        <f>+Sheet1!D473*Sheet1!$C$1</f>
        <v>-8000</v>
      </c>
      <c r="E477" s="6">
        <f>+Sheet1!E473*Sheet1!$C$1</f>
        <v>1000</v>
      </c>
    </row>
    <row r="478" spans="1:5" x14ac:dyDescent="0.2">
      <c r="A478" s="11">
        <v>36872</v>
      </c>
      <c r="B478" s="6">
        <f>+Sheet1!B474*Sheet1!$C$1</f>
        <v>19637</v>
      </c>
      <c r="C478" s="6">
        <f>+Sheet1!C474*Sheet1!$C$1</f>
        <v>-116893</v>
      </c>
      <c r="D478" s="6">
        <f>+Sheet1!D474*Sheet1!$C$1</f>
        <v>-8000</v>
      </c>
      <c r="E478" s="6">
        <f>+Sheet1!E474*Sheet1!$C$1</f>
        <v>1000</v>
      </c>
    </row>
    <row r="479" spans="1:5" x14ac:dyDescent="0.2">
      <c r="A479" s="11">
        <v>36873</v>
      </c>
      <c r="B479" s="6">
        <f>+Sheet1!B475*Sheet1!$C$1</f>
        <v>13966</v>
      </c>
      <c r="C479" s="6">
        <f>+Sheet1!C475*Sheet1!$C$1</f>
        <v>-81226</v>
      </c>
      <c r="D479" s="6">
        <f>+Sheet1!D475*Sheet1!$C$1</f>
        <v>-8000</v>
      </c>
      <c r="E479" s="6">
        <f>+Sheet1!E475*Sheet1!$C$1</f>
        <v>0</v>
      </c>
    </row>
    <row r="480" spans="1:5" x14ac:dyDescent="0.2">
      <c r="A480" s="11">
        <v>36874</v>
      </c>
      <c r="B480" s="6">
        <f>+Sheet1!B476*Sheet1!$C$1</f>
        <v>11430</v>
      </c>
      <c r="C480" s="6">
        <f>+Sheet1!C476*Sheet1!$C$1</f>
        <v>-61569</v>
      </c>
      <c r="D480" s="6">
        <f>+Sheet1!D476*Sheet1!$C$1</f>
        <v>-8000</v>
      </c>
      <c r="E480" s="6">
        <f>+Sheet1!E476*Sheet1!$C$1</f>
        <v>0</v>
      </c>
    </row>
    <row r="481" spans="1:5" x14ac:dyDescent="0.2">
      <c r="A481" s="11">
        <v>36875</v>
      </c>
      <c r="B481" s="6">
        <f>+Sheet1!B477*Sheet1!$C$1</f>
        <v>-6005</v>
      </c>
      <c r="C481" s="6">
        <f>+Sheet1!C477*Sheet1!$C$1</f>
        <v>-24539</v>
      </c>
      <c r="D481" s="6">
        <f>+Sheet1!D477*Sheet1!$C$1</f>
        <v>-8000</v>
      </c>
      <c r="E481" s="6">
        <f>+Sheet1!E477*Sheet1!$C$1</f>
        <v>0</v>
      </c>
    </row>
    <row r="482" spans="1:5" x14ac:dyDescent="0.2">
      <c r="A482" s="11">
        <v>36876</v>
      </c>
      <c r="B482" s="6">
        <f>+Sheet1!B478*Sheet1!$C$1</f>
        <v>16926</v>
      </c>
      <c r="C482" s="6">
        <f>+Sheet1!C478*Sheet1!$C$1</f>
        <v>-53881</v>
      </c>
      <c r="D482" s="6">
        <f>+Sheet1!D478*Sheet1!$C$1</f>
        <v>-8000</v>
      </c>
      <c r="E482" s="6">
        <f>+Sheet1!E478*Sheet1!$C$1</f>
        <v>0</v>
      </c>
    </row>
    <row r="483" spans="1:5" x14ac:dyDescent="0.2">
      <c r="A483" s="11">
        <v>36877</v>
      </c>
      <c r="B483" s="6">
        <f>+Sheet1!B479*Sheet1!$C$1</f>
        <v>1017</v>
      </c>
      <c r="C483" s="6">
        <f>+Sheet1!C479*Sheet1!$C$1</f>
        <v>-119037</v>
      </c>
      <c r="D483" s="6">
        <f>+Sheet1!D479*Sheet1!$C$1</f>
        <v>-8000</v>
      </c>
      <c r="E483" s="6">
        <f>+Sheet1!E479*Sheet1!$C$1</f>
        <v>0</v>
      </c>
    </row>
    <row r="484" spans="1:5" x14ac:dyDescent="0.2">
      <c r="A484" s="11">
        <v>36878</v>
      </c>
      <c r="B484" s="6">
        <f>+Sheet1!B480*Sheet1!$C$1</f>
        <v>3487</v>
      </c>
      <c r="C484" s="6">
        <f>+Sheet1!C480*Sheet1!$C$1</f>
        <v>-97289</v>
      </c>
      <c r="D484" s="6">
        <f>+Sheet1!D480*Sheet1!$C$1</f>
        <v>-8000</v>
      </c>
      <c r="E484" s="6">
        <f>+Sheet1!E480*Sheet1!$C$1</f>
        <v>0</v>
      </c>
    </row>
    <row r="485" spans="1:5" x14ac:dyDescent="0.2">
      <c r="A485" s="11">
        <v>36879</v>
      </c>
      <c r="B485" s="6">
        <f>+Sheet1!B481*Sheet1!$C$1</f>
        <v>4583</v>
      </c>
      <c r="C485" s="6">
        <f>+Sheet1!C481*Sheet1!$C$1</f>
        <v>-74380</v>
      </c>
      <c r="D485" s="6">
        <f>+Sheet1!D481*Sheet1!$C$1</f>
        <v>-8000</v>
      </c>
      <c r="E485" s="6">
        <f>+Sheet1!E481*Sheet1!$C$1</f>
        <v>0</v>
      </c>
    </row>
    <row r="486" spans="1:5" x14ac:dyDescent="0.2">
      <c r="A486" s="11">
        <v>36880</v>
      </c>
      <c r="B486" s="6">
        <f>+Sheet1!B482*Sheet1!$C$1</f>
        <v>-24000</v>
      </c>
      <c r="C486" s="6">
        <f>+Sheet1!C482*Sheet1!$C$1</f>
        <v>-36559</v>
      </c>
      <c r="D486" s="6">
        <f>+Sheet1!D482*Sheet1!$C$1</f>
        <v>4500</v>
      </c>
      <c r="E486" s="6">
        <f>+Sheet1!E482*Sheet1!$C$1</f>
        <v>0</v>
      </c>
    </row>
    <row r="487" spans="1:5" x14ac:dyDescent="0.2">
      <c r="A487" s="11">
        <v>36881</v>
      </c>
      <c r="B487" s="6">
        <f>+Sheet1!B483*Sheet1!$C$1</f>
        <v>-21206</v>
      </c>
      <c r="C487" s="6">
        <f>+Sheet1!C483*Sheet1!$C$1</f>
        <v>-105414</v>
      </c>
      <c r="D487" s="6">
        <f>+Sheet1!D483*Sheet1!$C$1</f>
        <v>-8532</v>
      </c>
      <c r="E487" s="6">
        <f>+Sheet1!E483*Sheet1!$C$1</f>
        <v>0</v>
      </c>
    </row>
    <row r="488" spans="1:5" x14ac:dyDescent="0.2">
      <c r="A488" s="11">
        <v>36882</v>
      </c>
      <c r="B488" s="6">
        <f>+Sheet1!B484*Sheet1!$C$1</f>
        <v>-9000</v>
      </c>
      <c r="C488" s="6">
        <f>+Sheet1!C484*Sheet1!$C$1</f>
        <v>-57444</v>
      </c>
      <c r="D488" s="6">
        <f>+Sheet1!D484*Sheet1!$C$1</f>
        <v>-8000</v>
      </c>
      <c r="E488" s="6">
        <f>+Sheet1!E484*Sheet1!$C$1</f>
        <v>0</v>
      </c>
    </row>
    <row r="489" spans="1:5" x14ac:dyDescent="0.2">
      <c r="A489" s="11">
        <v>36883</v>
      </c>
      <c r="B489" s="6">
        <f>+Sheet1!B485*Sheet1!$C$1</f>
        <v>-9000</v>
      </c>
      <c r="C489" s="6">
        <f>+Sheet1!C485*Sheet1!$C$1</f>
        <v>-7040</v>
      </c>
      <c r="D489" s="6">
        <f>+Sheet1!D485*Sheet1!$C$1</f>
        <v>-8000</v>
      </c>
      <c r="E489" s="6">
        <f>+Sheet1!E485*Sheet1!$C$1</f>
        <v>0</v>
      </c>
    </row>
    <row r="490" spans="1:5" x14ac:dyDescent="0.2">
      <c r="A490" s="11">
        <v>36884</v>
      </c>
      <c r="B490" s="6">
        <f>+Sheet1!B486*Sheet1!$C$1</f>
        <v>-9000</v>
      </c>
      <c r="C490" s="6">
        <f>+Sheet1!C486*Sheet1!$C$1</f>
        <v>-47579</v>
      </c>
      <c r="D490" s="6">
        <f>+Sheet1!D486*Sheet1!$C$1</f>
        <v>-8000</v>
      </c>
      <c r="E490" s="6">
        <f>+Sheet1!E486*Sheet1!$C$1</f>
        <v>0</v>
      </c>
    </row>
    <row r="491" spans="1:5" x14ac:dyDescent="0.2">
      <c r="A491" s="11">
        <v>36885</v>
      </c>
      <c r="B491" s="6">
        <f>+Sheet1!B487*Sheet1!$C$1</f>
        <v>-9000</v>
      </c>
      <c r="C491" s="6">
        <f>+Sheet1!C487*Sheet1!$C$1</f>
        <v>-60000</v>
      </c>
      <c r="D491" s="6">
        <f>+Sheet1!D487*Sheet1!$C$1</f>
        <v>-8000</v>
      </c>
      <c r="E491" s="6">
        <f>+Sheet1!E487*Sheet1!$C$1</f>
        <v>0</v>
      </c>
    </row>
    <row r="492" spans="1:5" x14ac:dyDescent="0.2">
      <c r="A492" s="11">
        <v>36886</v>
      </c>
      <c r="B492" s="6">
        <f>+Sheet1!B488*Sheet1!$C$1</f>
        <v>-9000</v>
      </c>
      <c r="C492" s="6">
        <f>+Sheet1!C488*Sheet1!$C$1</f>
        <v>-16713</v>
      </c>
      <c r="D492" s="6">
        <f>+Sheet1!D488*Sheet1!$C$1</f>
        <v>-8000</v>
      </c>
      <c r="E492" s="6">
        <f>+Sheet1!E488*Sheet1!$C$1</f>
        <v>0</v>
      </c>
    </row>
    <row r="493" spans="1:5" x14ac:dyDescent="0.2">
      <c r="A493" s="11">
        <v>36887</v>
      </c>
      <c r="B493" s="6">
        <f>+Sheet1!B489*Sheet1!$C$1</f>
        <v>-9000</v>
      </c>
      <c r="C493" s="6">
        <f>+Sheet1!C489*Sheet1!$C$1</f>
        <v>-30000</v>
      </c>
      <c r="D493" s="6">
        <f>+Sheet1!D489*Sheet1!$C$1</f>
        <v>-8000</v>
      </c>
      <c r="E493" s="6">
        <f>+Sheet1!E489*Sheet1!$C$1</f>
        <v>0</v>
      </c>
    </row>
    <row r="494" spans="1:5" x14ac:dyDescent="0.2">
      <c r="A494" s="11">
        <v>36888</v>
      </c>
      <c r="B494" s="6">
        <f>+Sheet1!B490*Sheet1!$C$1</f>
        <v>-9000</v>
      </c>
      <c r="C494" s="6">
        <f>+Sheet1!C490*Sheet1!$C$1</f>
        <v>-30000</v>
      </c>
      <c r="D494" s="6">
        <f>+Sheet1!D490*Sheet1!$C$1</f>
        <v>-8000</v>
      </c>
      <c r="E494" s="6">
        <f>+Sheet1!E490*Sheet1!$C$1</f>
        <v>0</v>
      </c>
    </row>
    <row r="495" spans="1:5" x14ac:dyDescent="0.2">
      <c r="A495" s="11">
        <v>36889</v>
      </c>
      <c r="B495" s="6">
        <f>+Sheet1!B491*Sheet1!$C$1</f>
        <v>-9000</v>
      </c>
      <c r="C495" s="6">
        <f>+Sheet1!C491*Sheet1!$C$1</f>
        <v>-10000</v>
      </c>
      <c r="D495" s="6">
        <f>+Sheet1!D491*Sheet1!$C$1</f>
        <v>-8000</v>
      </c>
      <c r="E495" s="6">
        <f>+Sheet1!E491*Sheet1!$C$1</f>
        <v>0</v>
      </c>
    </row>
    <row r="496" spans="1:5" x14ac:dyDescent="0.2">
      <c r="A496" s="11">
        <v>36890</v>
      </c>
      <c r="B496" s="6">
        <f>+Sheet1!B492*Sheet1!$C$1</f>
        <v>-9000</v>
      </c>
      <c r="C496" s="6">
        <f>+Sheet1!C492*Sheet1!$C$1</f>
        <v>0</v>
      </c>
      <c r="D496" s="6">
        <f>+Sheet1!D492*Sheet1!$C$1</f>
        <v>-8000</v>
      </c>
      <c r="E496" s="6">
        <f>+Sheet1!E492*Sheet1!$C$1</f>
        <v>0</v>
      </c>
    </row>
    <row r="497" spans="1:5" x14ac:dyDescent="0.2">
      <c r="A497" s="11">
        <v>36891</v>
      </c>
      <c r="B497" s="6">
        <f>+Sheet1!B493*Sheet1!$C$1</f>
        <v>-9000</v>
      </c>
      <c r="C497" s="6">
        <f>+Sheet1!C493*Sheet1!$C$1</f>
        <v>0</v>
      </c>
      <c r="D497" s="6">
        <f>+Sheet1!D493*Sheet1!$C$1</f>
        <v>-8000</v>
      </c>
      <c r="E497" s="6">
        <f>+Sheet1!E493*Sheet1!$C$1</f>
        <v>0</v>
      </c>
    </row>
    <row r="498" spans="1:5" x14ac:dyDescent="0.2">
      <c r="A498" s="11">
        <v>36892</v>
      </c>
      <c r="B498" s="6">
        <f>+Sheet1!B494*Sheet1!$C$1</f>
        <v>-517</v>
      </c>
      <c r="C498" s="6">
        <f>+Sheet1!C494*Sheet1!$C$1</f>
        <v>-37450</v>
      </c>
      <c r="D498" s="6">
        <f>+Sheet1!D494*Sheet1!$C$1</f>
        <v>-8000</v>
      </c>
      <c r="E498" s="6">
        <f>+Sheet1!E494*Sheet1!$C$1</f>
        <v>0</v>
      </c>
    </row>
    <row r="499" spans="1:5" x14ac:dyDescent="0.2">
      <c r="A499" s="11">
        <v>36893</v>
      </c>
      <c r="B499" s="6">
        <f>+Sheet1!B495*Sheet1!$C$1</f>
        <v>-24000</v>
      </c>
      <c r="C499" s="6">
        <f>+Sheet1!C495*Sheet1!$C$1</f>
        <v>-19972</v>
      </c>
      <c r="D499" s="6">
        <f>+Sheet1!D495*Sheet1!$C$1</f>
        <v>-22176</v>
      </c>
      <c r="E499" s="6">
        <f>+Sheet1!E495*Sheet1!$C$1</f>
        <v>0</v>
      </c>
    </row>
    <row r="500" spans="1:5" x14ac:dyDescent="0.2">
      <c r="A500" s="11">
        <v>36894</v>
      </c>
      <c r="B500" s="6">
        <f>+Sheet1!B496*Sheet1!$C$1</f>
        <v>-15066</v>
      </c>
      <c r="C500" s="6">
        <f>+Sheet1!C496*Sheet1!$C$1</f>
        <v>-47630</v>
      </c>
      <c r="D500" s="6">
        <f>+Sheet1!D496*Sheet1!$C$1</f>
        <v>-8000</v>
      </c>
      <c r="E500" s="6">
        <f>+Sheet1!E496*Sheet1!$C$1</f>
        <v>0</v>
      </c>
    </row>
    <row r="501" spans="1:5" x14ac:dyDescent="0.2">
      <c r="A501" s="11">
        <v>36895</v>
      </c>
      <c r="B501" s="6">
        <f>+Sheet1!B497*Sheet1!$C$1</f>
        <v>-19503</v>
      </c>
      <c r="C501" s="6">
        <f>+Sheet1!C497*Sheet1!$C$1</f>
        <v>-25388</v>
      </c>
      <c r="D501" s="6">
        <f>+Sheet1!D497*Sheet1!$C$1</f>
        <v>-8000</v>
      </c>
      <c r="E501" s="6">
        <f>+Sheet1!E497*Sheet1!$C$1</f>
        <v>0</v>
      </c>
    </row>
    <row r="502" spans="1:5" x14ac:dyDescent="0.2">
      <c r="A502" s="11">
        <v>36896</v>
      </c>
      <c r="B502" s="6">
        <f>+Sheet1!B498*Sheet1!$C$1</f>
        <v>3356</v>
      </c>
      <c r="C502" s="6">
        <f>+Sheet1!C498*Sheet1!$C$1</f>
        <v>-33416</v>
      </c>
      <c r="D502" s="6">
        <f>+Sheet1!D498*Sheet1!$C$1</f>
        <v>-8000</v>
      </c>
      <c r="E502" s="6">
        <f>+Sheet1!E498*Sheet1!$C$1</f>
        <v>20000</v>
      </c>
    </row>
    <row r="503" spans="1:5" x14ac:dyDescent="0.2">
      <c r="A503" s="11">
        <v>36897</v>
      </c>
      <c r="B503" s="6">
        <f>+Sheet1!B499*Sheet1!$C$1</f>
        <v>11522</v>
      </c>
      <c r="C503" s="6">
        <f>+Sheet1!C499*Sheet1!$C$1</f>
        <v>-26535</v>
      </c>
      <c r="D503" s="6">
        <f>+Sheet1!D499*Sheet1!$C$1</f>
        <v>-8000</v>
      </c>
      <c r="E503" s="6">
        <f>+Sheet1!E499*Sheet1!$C$1</f>
        <v>0</v>
      </c>
    </row>
    <row r="504" spans="1:5" x14ac:dyDescent="0.2">
      <c r="A504" s="11">
        <v>36898</v>
      </c>
      <c r="B504" s="6">
        <f>+Sheet1!B500*Sheet1!$C$1</f>
        <v>-10409</v>
      </c>
      <c r="C504" s="6">
        <f>+Sheet1!C500*Sheet1!$C$1</f>
        <v>-27762</v>
      </c>
      <c r="D504" s="6">
        <f>+Sheet1!D500*Sheet1!$C$1</f>
        <v>-8000</v>
      </c>
      <c r="E504" s="6">
        <f>+Sheet1!E500*Sheet1!$C$1</f>
        <v>0</v>
      </c>
    </row>
    <row r="505" spans="1:5" x14ac:dyDescent="0.2">
      <c r="A505" s="11">
        <v>36899</v>
      </c>
      <c r="B505" s="6">
        <f>+Sheet1!B501*Sheet1!$C$1</f>
        <v>-24000</v>
      </c>
      <c r="C505" s="6">
        <f>+Sheet1!C501*Sheet1!$C$1</f>
        <v>-38576</v>
      </c>
      <c r="D505" s="6">
        <f>+Sheet1!D501*Sheet1!$C$1</f>
        <v>-13824</v>
      </c>
      <c r="E505" s="6">
        <f>+Sheet1!E501*Sheet1!$C$1</f>
        <v>0</v>
      </c>
    </row>
    <row r="506" spans="1:5" x14ac:dyDescent="0.2">
      <c r="A506" s="11">
        <v>36900</v>
      </c>
      <c r="B506" s="6">
        <f>+Sheet1!B502*Sheet1!$C$1</f>
        <v>-24000</v>
      </c>
      <c r="C506" s="6">
        <f>+Sheet1!C502*Sheet1!$C$1</f>
        <v>-34594</v>
      </c>
      <c r="D506" s="6">
        <f>+Sheet1!D502*Sheet1!$C$1</f>
        <v>-16999</v>
      </c>
      <c r="E506" s="6">
        <f>+Sheet1!E502*Sheet1!$C$1</f>
        <v>0</v>
      </c>
    </row>
    <row r="507" spans="1:5" x14ac:dyDescent="0.2">
      <c r="A507" s="11">
        <v>36901</v>
      </c>
      <c r="B507" s="6">
        <f>+Sheet1!B503*Sheet1!$C$1</f>
        <v>-24000</v>
      </c>
      <c r="C507" s="6">
        <f>+Sheet1!C503*Sheet1!$C$1</f>
        <v>-3369</v>
      </c>
      <c r="D507" s="6">
        <f>+Sheet1!D503*Sheet1!$C$1</f>
        <v>-8640</v>
      </c>
      <c r="E507" s="6">
        <f>+Sheet1!E503*Sheet1!$C$1</f>
        <v>10000</v>
      </c>
    </row>
    <row r="508" spans="1:5" x14ac:dyDescent="0.2">
      <c r="A508" s="11">
        <v>36902</v>
      </c>
      <c r="B508" s="6">
        <f>+Sheet1!B504*Sheet1!$C$1</f>
        <v>-22781</v>
      </c>
      <c r="C508" s="6">
        <f>+Sheet1!C504*Sheet1!$C$1</f>
        <v>10377</v>
      </c>
      <c r="D508" s="6">
        <f>+Sheet1!D504*Sheet1!$C$1</f>
        <v>-8000</v>
      </c>
      <c r="E508" s="6">
        <f>+Sheet1!E504*Sheet1!$C$1</f>
        <v>0</v>
      </c>
    </row>
    <row r="509" spans="1:5" x14ac:dyDescent="0.2">
      <c r="A509" s="11">
        <v>36903</v>
      </c>
      <c r="B509" s="6">
        <f>+Sheet1!B505*Sheet1!$C$1</f>
        <v>-24000</v>
      </c>
      <c r="C509" s="6">
        <f>+Sheet1!C505*Sheet1!$C$1</f>
        <v>-162</v>
      </c>
      <c r="D509" s="6">
        <f>+Sheet1!D505*Sheet1!$C$1</f>
        <v>-11183</v>
      </c>
      <c r="E509" s="6">
        <f>+Sheet1!E505*Sheet1!$C$1</f>
        <v>20000</v>
      </c>
    </row>
    <row r="510" spans="1:5" x14ac:dyDescent="0.2">
      <c r="A510" s="11">
        <v>36904</v>
      </c>
      <c r="B510" s="6">
        <f>+Sheet1!B506*Sheet1!$C$1</f>
        <v>-18189</v>
      </c>
      <c r="C510" s="6">
        <f>+Sheet1!C506*Sheet1!$C$1</f>
        <v>1174</v>
      </c>
      <c r="D510" s="6">
        <f>+Sheet1!D506*Sheet1!$C$1</f>
        <v>-8000</v>
      </c>
      <c r="E510" s="6">
        <f>+Sheet1!E506*Sheet1!$C$1</f>
        <v>40000</v>
      </c>
    </row>
    <row r="511" spans="1:5" x14ac:dyDescent="0.2">
      <c r="A511" s="11">
        <v>36905</v>
      </c>
      <c r="B511" s="6">
        <f>+Sheet1!B507*Sheet1!$C$1</f>
        <v>-16513</v>
      </c>
      <c r="C511" s="6">
        <f>+Sheet1!C507*Sheet1!$C$1</f>
        <v>4794</v>
      </c>
      <c r="D511" s="6">
        <f>+Sheet1!D507*Sheet1!$C$1</f>
        <v>-8000</v>
      </c>
      <c r="E511" s="6">
        <f>+Sheet1!E507*Sheet1!$C$1</f>
        <v>40000</v>
      </c>
    </row>
    <row r="512" spans="1:5" x14ac:dyDescent="0.2">
      <c r="A512" s="11">
        <v>36906</v>
      </c>
      <c r="B512" s="6">
        <f>+Sheet1!B508*Sheet1!$C$1</f>
        <v>1429</v>
      </c>
      <c r="C512" s="6">
        <f>+Sheet1!C508*Sheet1!$C$1</f>
        <v>-29041</v>
      </c>
      <c r="D512" s="6">
        <f>+Sheet1!D508*Sheet1!$C$1</f>
        <v>-8000</v>
      </c>
      <c r="E512" s="6">
        <f>+Sheet1!E508*Sheet1!$C$1</f>
        <v>40000</v>
      </c>
    </row>
    <row r="513" spans="1:5" x14ac:dyDescent="0.2">
      <c r="A513" s="11">
        <v>36907</v>
      </c>
      <c r="B513" s="6">
        <f>+Sheet1!B509*Sheet1!$C$1</f>
        <v>-15111</v>
      </c>
      <c r="C513" s="6">
        <f>+Sheet1!C509*Sheet1!$C$1</f>
        <v>-28356</v>
      </c>
      <c r="D513" s="6">
        <f>+Sheet1!D509*Sheet1!$C$1</f>
        <v>-8000</v>
      </c>
      <c r="E513" s="6">
        <f>+Sheet1!E509*Sheet1!$C$1</f>
        <v>40000</v>
      </c>
    </row>
    <row r="514" spans="1:5" x14ac:dyDescent="0.2">
      <c r="A514" s="11">
        <v>36908</v>
      </c>
      <c r="B514" s="6">
        <f>+Sheet1!B510*Sheet1!$C$1</f>
        <v>-14590</v>
      </c>
      <c r="C514" s="6">
        <f>+Sheet1!C510*Sheet1!$C$1</f>
        <v>-15719</v>
      </c>
      <c r="D514" s="6">
        <f>+Sheet1!D510*Sheet1!$C$1</f>
        <v>-8000</v>
      </c>
      <c r="E514" s="6">
        <f>+Sheet1!E510*Sheet1!$C$1</f>
        <v>-20000</v>
      </c>
    </row>
    <row r="515" spans="1:5" x14ac:dyDescent="0.2">
      <c r="A515" s="11">
        <v>36909</v>
      </c>
      <c r="B515" s="6">
        <f>+Sheet1!B511*Sheet1!$C$1</f>
        <v>-7410</v>
      </c>
      <c r="C515" s="6">
        <f>+Sheet1!C511*Sheet1!$C$1</f>
        <v>-11972</v>
      </c>
      <c r="D515" s="6">
        <f>+Sheet1!D511*Sheet1!$C$1</f>
        <v>-8000</v>
      </c>
      <c r="E515" s="6">
        <f>+Sheet1!E511*Sheet1!$C$1</f>
        <v>-20000</v>
      </c>
    </row>
    <row r="516" spans="1:5" x14ac:dyDescent="0.2">
      <c r="A516" s="11">
        <v>36910</v>
      </c>
      <c r="B516" s="6">
        <f>+Sheet1!B512*Sheet1!$C$1</f>
        <v>-24000</v>
      </c>
      <c r="C516" s="6">
        <f>+Sheet1!C512*Sheet1!$C$1</f>
        <v>-16017</v>
      </c>
      <c r="D516" s="6">
        <f>+Sheet1!D512*Sheet1!$C$1</f>
        <v>-21029</v>
      </c>
      <c r="E516" s="6">
        <f>+Sheet1!E512*Sheet1!$C$1</f>
        <v>-20000</v>
      </c>
    </row>
    <row r="517" spans="1:5" x14ac:dyDescent="0.2">
      <c r="A517" s="11">
        <v>36911</v>
      </c>
      <c r="B517" s="6">
        <f>+Sheet1!B513*Sheet1!$C$1</f>
        <v>-20050</v>
      </c>
      <c r="C517" s="6">
        <f>+Sheet1!C513*Sheet1!$C$1</f>
        <v>-36605</v>
      </c>
      <c r="D517" s="6">
        <f>+Sheet1!D513*Sheet1!$C$1</f>
        <v>-8000</v>
      </c>
      <c r="E517" s="6">
        <f>+Sheet1!E513*Sheet1!$C$1</f>
        <v>-20000</v>
      </c>
    </row>
    <row r="518" spans="1:5" x14ac:dyDescent="0.2">
      <c r="A518" s="11">
        <v>36912</v>
      </c>
      <c r="B518" s="6">
        <f>+Sheet1!B514*Sheet1!$C$1</f>
        <v>-24000</v>
      </c>
      <c r="C518" s="6">
        <f>+Sheet1!C514*Sheet1!$C$1</f>
        <v>-23310</v>
      </c>
      <c r="D518" s="6">
        <f>+Sheet1!D514*Sheet1!$C$1</f>
        <v>-20587</v>
      </c>
      <c r="E518" s="6">
        <f>+Sheet1!E514*Sheet1!$C$1</f>
        <v>-20000</v>
      </c>
    </row>
    <row r="519" spans="1:5" x14ac:dyDescent="0.2">
      <c r="A519" s="11">
        <v>36913</v>
      </c>
      <c r="B519" s="6">
        <f>+Sheet1!B515*Sheet1!$C$1</f>
        <v>-14676</v>
      </c>
      <c r="C519" s="6">
        <f>+Sheet1!C515*Sheet1!$C$1</f>
        <v>-16785</v>
      </c>
      <c r="D519" s="6">
        <f>+Sheet1!D515*Sheet1!$C$1</f>
        <v>-8000</v>
      </c>
      <c r="E519" s="6">
        <f>+Sheet1!E515*Sheet1!$C$1</f>
        <v>-20000</v>
      </c>
    </row>
    <row r="520" spans="1:5" x14ac:dyDescent="0.2">
      <c r="A520" s="11">
        <v>36914</v>
      </c>
      <c r="B520" s="6">
        <f>+Sheet1!B516*Sheet1!$C$1</f>
        <v>-5860</v>
      </c>
      <c r="C520" s="6">
        <f>+Sheet1!C516*Sheet1!$C$1</f>
        <v>-20124</v>
      </c>
      <c r="D520" s="6">
        <f>+Sheet1!D516*Sheet1!$C$1</f>
        <v>-8000</v>
      </c>
      <c r="E520" s="6">
        <f>+Sheet1!E516*Sheet1!$C$1</f>
        <v>-20000</v>
      </c>
    </row>
    <row r="521" spans="1:5" x14ac:dyDescent="0.2">
      <c r="A521" s="11">
        <v>36915</v>
      </c>
      <c r="B521" s="6">
        <f>+Sheet1!B517*Sheet1!$C$1</f>
        <v>-19926</v>
      </c>
      <c r="C521" s="6">
        <f>+Sheet1!C517*Sheet1!$C$1</f>
        <v>-35159</v>
      </c>
      <c r="D521" s="6">
        <f>+Sheet1!D517*Sheet1!$C$1</f>
        <v>-8000</v>
      </c>
      <c r="E521" s="6">
        <f>+Sheet1!E517*Sheet1!$C$1</f>
        <v>-20000</v>
      </c>
    </row>
    <row r="522" spans="1:5" x14ac:dyDescent="0.2">
      <c r="A522" s="11">
        <v>36916</v>
      </c>
      <c r="B522" s="6">
        <f>+Sheet1!B518*Sheet1!$C$1</f>
        <v>-24000</v>
      </c>
      <c r="C522" s="6">
        <f>+Sheet1!C518*Sheet1!$C$1</f>
        <v>-15515</v>
      </c>
      <c r="D522" s="6">
        <f>+Sheet1!D518*Sheet1!$C$1</f>
        <v>-10366</v>
      </c>
      <c r="E522" s="6">
        <f>+Sheet1!E518*Sheet1!$C$1</f>
        <v>-20000</v>
      </c>
    </row>
    <row r="523" spans="1:5" x14ac:dyDescent="0.2">
      <c r="A523" s="11">
        <v>36917</v>
      </c>
      <c r="B523" s="6">
        <f>+Sheet1!B519*Sheet1!$C$1</f>
        <v>-24000</v>
      </c>
      <c r="C523" s="6">
        <f>+Sheet1!C519*Sheet1!$C$1</f>
        <v>-12478</v>
      </c>
      <c r="D523" s="6">
        <f>+Sheet1!D519*Sheet1!$C$1</f>
        <v>-11709</v>
      </c>
      <c r="E523" s="6">
        <f>+Sheet1!E519*Sheet1!$C$1</f>
        <v>-20000</v>
      </c>
    </row>
    <row r="524" spans="1:5" x14ac:dyDescent="0.2">
      <c r="A524" s="11">
        <v>36918</v>
      </c>
      <c r="B524" s="6">
        <f>+Sheet1!B520*Sheet1!$C$1</f>
        <v>-23887</v>
      </c>
      <c r="C524" s="6">
        <f>+Sheet1!C520*Sheet1!$C$1</f>
        <v>-40123</v>
      </c>
      <c r="D524" s="6">
        <f>+Sheet1!D520*Sheet1!$C$1</f>
        <v>-8000</v>
      </c>
      <c r="E524" s="6">
        <f>+Sheet1!E520*Sheet1!$C$1</f>
        <v>-10000</v>
      </c>
    </row>
    <row r="525" spans="1:5" x14ac:dyDescent="0.2">
      <c r="A525" s="11">
        <v>36919</v>
      </c>
      <c r="B525" s="6">
        <f>+Sheet1!B521*Sheet1!$C$1</f>
        <v>-9000</v>
      </c>
      <c r="C525" s="6">
        <f>+Sheet1!C521*Sheet1!$C$1</f>
        <v>-44460</v>
      </c>
      <c r="D525" s="6">
        <f>+Sheet1!D521*Sheet1!$C$1</f>
        <v>-3692</v>
      </c>
      <c r="E525" s="6">
        <f>+Sheet1!E521*Sheet1!$C$1</f>
        <v>0</v>
      </c>
    </row>
    <row r="526" spans="1:5" x14ac:dyDescent="0.2">
      <c r="A526" s="11">
        <v>36920</v>
      </c>
      <c r="B526" s="6">
        <f>+Sheet1!B522*Sheet1!$C$1</f>
        <v>-16581</v>
      </c>
      <c r="C526" s="6">
        <f>+Sheet1!C522*Sheet1!$C$1</f>
        <v>-9013</v>
      </c>
      <c r="D526" s="6">
        <f>+Sheet1!D522*Sheet1!$C$1</f>
        <v>-8000</v>
      </c>
      <c r="E526" s="6">
        <f>+Sheet1!E522*Sheet1!$C$1</f>
        <v>0</v>
      </c>
    </row>
    <row r="527" spans="1:5" x14ac:dyDescent="0.2">
      <c r="A527" s="11">
        <v>36921</v>
      </c>
      <c r="B527" s="6">
        <f>+Sheet1!B523*Sheet1!$C$1</f>
        <v>-9000</v>
      </c>
      <c r="C527" s="6">
        <f>+Sheet1!C523*Sheet1!$C$1</f>
        <v>-14524</v>
      </c>
      <c r="D527" s="6">
        <f>+Sheet1!D523*Sheet1!$C$1</f>
        <v>-3715</v>
      </c>
      <c r="E527" s="6">
        <f>+Sheet1!E523*Sheet1!$C$1</f>
        <v>0</v>
      </c>
    </row>
    <row r="528" spans="1:5" x14ac:dyDescent="0.2">
      <c r="A528" s="11">
        <v>36922</v>
      </c>
      <c r="B528" s="6">
        <f>+Sheet1!B524*Sheet1!$C$1</f>
        <v>-11482</v>
      </c>
      <c r="C528" s="6">
        <f>+Sheet1!C524*Sheet1!$C$1</f>
        <v>-27046</v>
      </c>
      <c r="D528" s="6">
        <f>+Sheet1!D524*Sheet1!$C$1</f>
        <v>-8000</v>
      </c>
      <c r="E528" s="6">
        <f>+Sheet1!E524*Sheet1!$C$1</f>
        <v>0</v>
      </c>
    </row>
    <row r="529" spans="1:5" x14ac:dyDescent="0.2">
      <c r="A529" s="11">
        <v>36923</v>
      </c>
      <c r="B529" s="6">
        <f>+Sheet1!B525*Sheet1!$C$1</f>
        <v>-20000</v>
      </c>
      <c r="C529" s="6">
        <f>+Sheet1!C525*Sheet1!$C$1</f>
        <v>-60436</v>
      </c>
      <c r="D529" s="6">
        <f>+Sheet1!D525*Sheet1!$C$1</f>
        <v>-18478</v>
      </c>
      <c r="E529" s="6">
        <f>+Sheet1!E525*Sheet1!$C$1</f>
        <v>0</v>
      </c>
    </row>
    <row r="530" spans="1:5" x14ac:dyDescent="0.2">
      <c r="A530" s="11">
        <v>36924</v>
      </c>
      <c r="B530" s="6">
        <f>+Sheet1!B526*Sheet1!$C$1</f>
        <v>-5000</v>
      </c>
      <c r="C530" s="6">
        <f>+Sheet1!C526*Sheet1!$C$1</f>
        <v>-114114</v>
      </c>
      <c r="D530" s="6">
        <f>+Sheet1!D526*Sheet1!$C$1</f>
        <v>-6799</v>
      </c>
      <c r="E530" s="6">
        <f>+Sheet1!E526*Sheet1!$C$1</f>
        <v>0</v>
      </c>
    </row>
    <row r="531" spans="1:5" x14ac:dyDescent="0.2">
      <c r="A531" s="11">
        <v>36925</v>
      </c>
      <c r="B531" s="6">
        <f>+Sheet1!B527*Sheet1!$C$1</f>
        <v>-5000</v>
      </c>
      <c r="C531" s="6">
        <f>+Sheet1!C527*Sheet1!$C$1</f>
        <v>-46212</v>
      </c>
      <c r="D531" s="6">
        <f>+Sheet1!D527*Sheet1!$C$1</f>
        <v>-10000</v>
      </c>
      <c r="E531" s="6">
        <f>+Sheet1!E527*Sheet1!$C$1</f>
        <v>0</v>
      </c>
    </row>
    <row r="532" spans="1:5" x14ac:dyDescent="0.2">
      <c r="A532" s="11">
        <v>36926</v>
      </c>
      <c r="B532" s="6">
        <f>+Sheet1!B528*Sheet1!$C$1</f>
        <v>-5000</v>
      </c>
      <c r="C532" s="6">
        <f>+Sheet1!C528*Sheet1!$C$1</f>
        <v>-36304</v>
      </c>
      <c r="D532" s="6">
        <f>+Sheet1!D528*Sheet1!$C$1</f>
        <v>-5702</v>
      </c>
      <c r="E532" s="6">
        <f>+Sheet1!E528*Sheet1!$C$1</f>
        <v>0</v>
      </c>
    </row>
    <row r="533" spans="1:5" x14ac:dyDescent="0.2">
      <c r="A533" s="11">
        <v>36927</v>
      </c>
      <c r="B533" s="6">
        <f>+Sheet1!B529*Sheet1!$C$1</f>
        <v>-5000</v>
      </c>
      <c r="C533" s="6">
        <f>+Sheet1!C529*Sheet1!$C$1</f>
        <v>-33238</v>
      </c>
      <c r="D533" s="6">
        <f>+Sheet1!D529*Sheet1!$C$1</f>
        <v>-4400</v>
      </c>
      <c r="E533" s="6">
        <f>+Sheet1!E529*Sheet1!$C$1</f>
        <v>0</v>
      </c>
    </row>
    <row r="534" spans="1:5" x14ac:dyDescent="0.2">
      <c r="A534" s="11">
        <v>36928</v>
      </c>
      <c r="B534" s="6">
        <f>+Sheet1!B530*Sheet1!$C$1</f>
        <v>-11342</v>
      </c>
      <c r="C534" s="6">
        <f>+Sheet1!C530*Sheet1!$C$1</f>
        <v>-35938</v>
      </c>
      <c r="D534" s="6">
        <f>+Sheet1!D530*Sheet1!$C$1</f>
        <v>-10000</v>
      </c>
      <c r="E534" s="6">
        <f>+Sheet1!E530*Sheet1!$C$1</f>
        <v>0</v>
      </c>
    </row>
    <row r="535" spans="1:5" x14ac:dyDescent="0.2">
      <c r="A535" s="11">
        <v>36929</v>
      </c>
      <c r="B535" s="6">
        <f>+Sheet1!B531*Sheet1!$C$1</f>
        <v>-19777</v>
      </c>
      <c r="C535" s="6">
        <f>+Sheet1!C531*Sheet1!$C$1</f>
        <v>-17589</v>
      </c>
      <c r="D535" s="6">
        <f>+Sheet1!D531*Sheet1!$C$1</f>
        <v>-10000</v>
      </c>
      <c r="E535" s="6">
        <f>+Sheet1!E531*Sheet1!$C$1</f>
        <v>0</v>
      </c>
    </row>
    <row r="536" spans="1:5" x14ac:dyDescent="0.2">
      <c r="A536" s="11">
        <v>36930</v>
      </c>
      <c r="B536" s="6">
        <f>+Sheet1!B532*Sheet1!$C$1</f>
        <v>-5000</v>
      </c>
      <c r="C536" s="6">
        <f>+Sheet1!C532*Sheet1!$C$1</f>
        <v>13462</v>
      </c>
      <c r="D536" s="6">
        <f>+Sheet1!D532*Sheet1!$C$1</f>
        <v>-6043</v>
      </c>
      <c r="E536" s="6">
        <f>+Sheet1!E532*Sheet1!$C$1</f>
        <v>0</v>
      </c>
    </row>
    <row r="537" spans="1:5" x14ac:dyDescent="0.2">
      <c r="A537" s="11">
        <v>36931</v>
      </c>
      <c r="B537" s="6">
        <f>+Sheet1!B533*Sheet1!$C$1</f>
        <v>-20000</v>
      </c>
      <c r="C537" s="6">
        <f>+Sheet1!C533*Sheet1!$C$1</f>
        <v>-30102</v>
      </c>
      <c r="D537" s="6">
        <f>+Sheet1!D533*Sheet1!$C$1</f>
        <v>-19337</v>
      </c>
      <c r="E537" s="6">
        <f>+Sheet1!E533*Sheet1!$C$1</f>
        <v>0</v>
      </c>
    </row>
    <row r="538" spans="1:5" x14ac:dyDescent="0.2">
      <c r="A538" s="11">
        <v>36932</v>
      </c>
      <c r="B538" s="6">
        <f>+Sheet1!B534*Sheet1!$C$1</f>
        <v>-20000</v>
      </c>
      <c r="C538" s="6">
        <f>+Sheet1!C534*Sheet1!$C$1</f>
        <v>-61343</v>
      </c>
      <c r="D538" s="6">
        <f>+Sheet1!D534*Sheet1!$C$1</f>
        <v>-10874</v>
      </c>
      <c r="E538" s="6">
        <f>+Sheet1!E534*Sheet1!$C$1</f>
        <v>0</v>
      </c>
    </row>
    <row r="539" spans="1:5" x14ac:dyDescent="0.2">
      <c r="A539" s="11">
        <v>36933</v>
      </c>
      <c r="B539" s="6">
        <f>+Sheet1!B535*Sheet1!$C$1</f>
        <v>-20000</v>
      </c>
      <c r="C539" s="6">
        <f>+Sheet1!C535*Sheet1!$C$1</f>
        <v>-36348</v>
      </c>
      <c r="D539" s="6">
        <f>+Sheet1!D535*Sheet1!$C$1</f>
        <v>-15912</v>
      </c>
      <c r="E539" s="6">
        <f>+Sheet1!E535*Sheet1!$C$1</f>
        <v>0</v>
      </c>
    </row>
    <row r="540" spans="1:5" x14ac:dyDescent="0.2">
      <c r="A540" s="11">
        <v>36934</v>
      </c>
      <c r="B540" s="6">
        <f>+Sheet1!B536*Sheet1!$C$1</f>
        <v>-5000</v>
      </c>
      <c r="C540" s="6">
        <f>+Sheet1!C536*Sheet1!$C$1</f>
        <v>-7943</v>
      </c>
      <c r="D540" s="6">
        <f>+Sheet1!D536*Sheet1!$C$1</f>
        <v>-10000</v>
      </c>
      <c r="E540" s="6">
        <f>+Sheet1!E536*Sheet1!$C$1</f>
        <v>0</v>
      </c>
    </row>
    <row r="541" spans="1:5" x14ac:dyDescent="0.2">
      <c r="A541" s="11">
        <v>36935</v>
      </c>
      <c r="B541" s="6">
        <f>+Sheet1!B537*Sheet1!$C$1</f>
        <v>-5000</v>
      </c>
      <c r="C541" s="6">
        <f>+Sheet1!C537*Sheet1!$C$1</f>
        <v>310</v>
      </c>
      <c r="D541" s="6">
        <f>+Sheet1!D537*Sheet1!$C$1</f>
        <v>-8304</v>
      </c>
      <c r="E541" s="6">
        <f>+Sheet1!E537*Sheet1!$C$1</f>
        <v>0</v>
      </c>
    </row>
    <row r="542" spans="1:5" x14ac:dyDescent="0.2">
      <c r="A542" s="11">
        <v>36936</v>
      </c>
      <c r="B542" s="6">
        <f>+Sheet1!B538*Sheet1!$C$1</f>
        <v>-9404</v>
      </c>
      <c r="C542" s="6">
        <f>+Sheet1!C538*Sheet1!$C$1</f>
        <v>-39586</v>
      </c>
      <c r="D542" s="6">
        <f>+Sheet1!D538*Sheet1!$C$1</f>
        <v>-10000</v>
      </c>
      <c r="E542" s="6">
        <f>+Sheet1!E538*Sheet1!$C$1</f>
        <v>0</v>
      </c>
    </row>
    <row r="543" spans="1:5" x14ac:dyDescent="0.2">
      <c r="A543" s="11">
        <v>36937</v>
      </c>
      <c r="B543" s="6">
        <f>+Sheet1!B539*Sheet1!$C$1</f>
        <v>-5076</v>
      </c>
      <c r="C543" s="6">
        <f>+Sheet1!C539*Sheet1!$C$1</f>
        <v>-35630</v>
      </c>
      <c r="D543" s="6">
        <f>+Sheet1!D539*Sheet1!$C$1</f>
        <v>-10000</v>
      </c>
      <c r="E543" s="6">
        <f>+Sheet1!E539*Sheet1!$C$1</f>
        <v>0</v>
      </c>
    </row>
    <row r="544" spans="1:5" x14ac:dyDescent="0.2">
      <c r="A544" s="11">
        <v>36938</v>
      </c>
      <c r="B544" s="6">
        <f>+Sheet1!B540*Sheet1!$C$1</f>
        <v>-20000</v>
      </c>
      <c r="C544" s="6">
        <f>+Sheet1!C540*Sheet1!$C$1</f>
        <v>-60870</v>
      </c>
      <c r="D544" s="6">
        <f>+Sheet1!D540*Sheet1!$C$1</f>
        <v>-17555</v>
      </c>
      <c r="E544" s="6">
        <f>+Sheet1!E540*Sheet1!$C$1</f>
        <v>0</v>
      </c>
    </row>
    <row r="545" spans="1:5" x14ac:dyDescent="0.2">
      <c r="A545" s="11">
        <v>36939</v>
      </c>
      <c r="B545" s="6">
        <f>+Sheet1!B541*Sheet1!$C$1</f>
        <v>-5000</v>
      </c>
      <c r="C545" s="6">
        <f>+Sheet1!C541*Sheet1!$C$1</f>
        <v>-117090</v>
      </c>
      <c r="D545" s="6">
        <f>+Sheet1!D541*Sheet1!$C$1</f>
        <v>-8877</v>
      </c>
      <c r="E545" s="6">
        <f>+Sheet1!E541*Sheet1!$C$1</f>
        <v>0</v>
      </c>
    </row>
    <row r="546" spans="1:5" x14ac:dyDescent="0.2">
      <c r="A546" s="11">
        <v>36940</v>
      </c>
      <c r="B546" s="6">
        <f>+Sheet1!B542*Sheet1!$C$1</f>
        <v>-16770</v>
      </c>
      <c r="C546" s="6">
        <f>+Sheet1!C542*Sheet1!$C$1</f>
        <v>-50165</v>
      </c>
      <c r="D546" s="6">
        <f>+Sheet1!D542*Sheet1!$C$1</f>
        <v>-10000</v>
      </c>
      <c r="E546" s="6">
        <f>+Sheet1!E542*Sheet1!$C$1</f>
        <v>0</v>
      </c>
    </row>
    <row r="547" spans="1:5" x14ac:dyDescent="0.2">
      <c r="A547" s="11">
        <v>36941</v>
      </c>
      <c r="B547" s="6">
        <f>+Sheet1!B543*Sheet1!$C$1</f>
        <v>-5000</v>
      </c>
      <c r="C547" s="6">
        <f>+Sheet1!C543*Sheet1!$C$1</f>
        <v>-43677</v>
      </c>
      <c r="D547" s="6">
        <f>+Sheet1!D543*Sheet1!$C$1</f>
        <v>12009</v>
      </c>
      <c r="E547" s="6">
        <f>+Sheet1!E543*Sheet1!$C$1</f>
        <v>0</v>
      </c>
    </row>
    <row r="548" spans="1:5" x14ac:dyDescent="0.2">
      <c r="A548" s="11">
        <v>36942</v>
      </c>
      <c r="B548" s="6">
        <f>+Sheet1!B544*Sheet1!$C$1</f>
        <v>-8859</v>
      </c>
      <c r="C548" s="6">
        <f>+Sheet1!C544*Sheet1!$C$1</f>
        <v>-56396</v>
      </c>
      <c r="D548" s="6">
        <f>+Sheet1!D544*Sheet1!$C$1</f>
        <v>-10000</v>
      </c>
      <c r="E548" s="6">
        <f>+Sheet1!E544*Sheet1!$C$1</f>
        <v>0</v>
      </c>
    </row>
    <row r="549" spans="1:5" x14ac:dyDescent="0.2">
      <c r="A549" s="11">
        <v>36943</v>
      </c>
      <c r="B549" s="6">
        <f>+Sheet1!B545*Sheet1!$C$1</f>
        <v>-5000</v>
      </c>
      <c r="C549" s="6">
        <f>+Sheet1!C545*Sheet1!$C$1</f>
        <v>-46087</v>
      </c>
      <c r="D549" s="6">
        <f>+Sheet1!D545*Sheet1!$C$1</f>
        <v>-5089</v>
      </c>
      <c r="E549" s="6">
        <f>+Sheet1!E545*Sheet1!$C$1</f>
        <v>0</v>
      </c>
    </row>
    <row r="550" spans="1:5" x14ac:dyDescent="0.2">
      <c r="A550" s="11">
        <v>36944</v>
      </c>
      <c r="B550" s="6">
        <f>+Sheet1!B546*Sheet1!$C$1</f>
        <v>-20000</v>
      </c>
      <c r="C550" s="6">
        <f>+Sheet1!C546*Sheet1!$C$1</f>
        <v>-45793</v>
      </c>
      <c r="D550" s="6">
        <f>+Sheet1!D546*Sheet1!$C$1</f>
        <v>-10043</v>
      </c>
      <c r="E550" s="6">
        <f>+Sheet1!E546*Sheet1!$C$1</f>
        <v>0</v>
      </c>
    </row>
    <row r="551" spans="1:5" x14ac:dyDescent="0.2">
      <c r="A551" s="11">
        <v>36945</v>
      </c>
      <c r="B551" s="6">
        <f>+Sheet1!B547*Sheet1!$C$1</f>
        <v>-16249</v>
      </c>
      <c r="C551" s="6">
        <f>+Sheet1!C547*Sheet1!$C$1</f>
        <v>-15832</v>
      </c>
      <c r="D551" s="6">
        <f>+Sheet1!D547*Sheet1!$C$1</f>
        <v>-10000</v>
      </c>
      <c r="E551" s="6">
        <f>+Sheet1!E547*Sheet1!$C$1</f>
        <v>0</v>
      </c>
    </row>
    <row r="552" spans="1:5" x14ac:dyDescent="0.2">
      <c r="A552" s="11">
        <v>36946</v>
      </c>
      <c r="B552" s="6">
        <f>+Sheet1!B548*Sheet1!$C$1</f>
        <v>-14699</v>
      </c>
      <c r="C552" s="6">
        <f>+Sheet1!C548*Sheet1!$C$1</f>
        <v>-520</v>
      </c>
      <c r="D552" s="6">
        <f>+Sheet1!D548*Sheet1!$C$1</f>
        <v>-10000</v>
      </c>
      <c r="E552" s="6">
        <f>+Sheet1!E548*Sheet1!$C$1</f>
        <v>0</v>
      </c>
    </row>
    <row r="553" spans="1:5" x14ac:dyDescent="0.2">
      <c r="A553" s="11">
        <v>36947</v>
      </c>
      <c r="B553" s="6">
        <f>+Sheet1!B549*Sheet1!$C$1</f>
        <v>-10379</v>
      </c>
      <c r="C553" s="6">
        <f>+Sheet1!C549*Sheet1!$C$1</f>
        <v>-48986</v>
      </c>
      <c r="D553" s="6">
        <f>+Sheet1!D549*Sheet1!$C$1</f>
        <v>-10000</v>
      </c>
      <c r="E553" s="6">
        <f>+Sheet1!E549*Sheet1!$C$1</f>
        <v>0</v>
      </c>
    </row>
    <row r="554" spans="1:5" x14ac:dyDescent="0.2">
      <c r="A554" s="11">
        <v>36948</v>
      </c>
      <c r="B554" s="6">
        <f>+Sheet1!B550*Sheet1!$C$1</f>
        <v>-8555</v>
      </c>
      <c r="C554" s="6">
        <f>+Sheet1!C550*Sheet1!$C$1</f>
        <v>-28340</v>
      </c>
      <c r="D554" s="6">
        <f>+Sheet1!D550*Sheet1!$C$1</f>
        <v>-10000</v>
      </c>
      <c r="E554" s="6">
        <f>+Sheet1!E550*Sheet1!$C$1</f>
        <v>0</v>
      </c>
    </row>
    <row r="555" spans="1:5" x14ac:dyDescent="0.2">
      <c r="A555" s="11">
        <v>36949</v>
      </c>
      <c r="B555" s="6">
        <f>+Sheet1!B551*Sheet1!$C$1</f>
        <v>-20000</v>
      </c>
      <c r="C555" s="6">
        <f>+Sheet1!C551*Sheet1!$C$1</f>
        <v>-54307</v>
      </c>
      <c r="D555" s="6">
        <f>+Sheet1!D551*Sheet1!$C$1</f>
        <v>-10491</v>
      </c>
      <c r="E555" s="6">
        <f>+Sheet1!E551*Sheet1!$C$1</f>
        <v>0</v>
      </c>
    </row>
    <row r="556" spans="1:5" x14ac:dyDescent="0.2">
      <c r="A556" s="11">
        <v>36950</v>
      </c>
      <c r="B556" s="6">
        <f>+Sheet1!B552*Sheet1!$C$1</f>
        <v>-10573</v>
      </c>
      <c r="C556" s="6">
        <f>+Sheet1!C552*Sheet1!$C$1</f>
        <v>-43732</v>
      </c>
      <c r="D556" s="6">
        <f>+Sheet1!D552*Sheet1!$C$1</f>
        <v>-10000</v>
      </c>
      <c r="E556" s="6">
        <f>+Sheet1!E552*Sheet1!$C$1</f>
        <v>0</v>
      </c>
    </row>
    <row r="557" spans="1:5" x14ac:dyDescent="0.2">
      <c r="A557" s="11">
        <v>36951</v>
      </c>
      <c r="B557" s="6">
        <f>+Sheet1!B553*Sheet1!$C$1</f>
        <v>-5000</v>
      </c>
      <c r="C557" s="6">
        <f>+Sheet1!C553*Sheet1!$C$1</f>
        <v>-41510</v>
      </c>
      <c r="D557" s="6">
        <f>+Sheet1!D553*Sheet1!$C$1</f>
        <v>-3173</v>
      </c>
      <c r="E557" s="6">
        <f>+Sheet1!E553*Sheet1!$C$1</f>
        <v>0</v>
      </c>
    </row>
    <row r="558" spans="1:5" x14ac:dyDescent="0.2">
      <c r="A558" s="11">
        <v>36952</v>
      </c>
      <c r="B558" s="6">
        <f>+Sheet1!B554*Sheet1!$C$1</f>
        <v>-5978</v>
      </c>
      <c r="C558" s="6">
        <f>+Sheet1!C554*Sheet1!$C$1</f>
        <v>-29671</v>
      </c>
      <c r="D558" s="6">
        <f>+Sheet1!D554*Sheet1!$C$1</f>
        <v>-10000</v>
      </c>
      <c r="E558" s="6">
        <f>+Sheet1!E554*Sheet1!$C$1</f>
        <v>0</v>
      </c>
    </row>
    <row r="559" spans="1:5" x14ac:dyDescent="0.2">
      <c r="A559" s="11">
        <v>36953</v>
      </c>
      <c r="B559" s="6">
        <f>+Sheet1!B555*Sheet1!$C$1</f>
        <v>-5776</v>
      </c>
      <c r="C559" s="6">
        <f>+Sheet1!C555*Sheet1!$C$1</f>
        <v>-14348</v>
      </c>
      <c r="D559" s="6">
        <f>+Sheet1!D555*Sheet1!$C$1</f>
        <v>-10000</v>
      </c>
      <c r="E559" s="6">
        <f>+Sheet1!E555*Sheet1!$C$1</f>
        <v>0</v>
      </c>
    </row>
    <row r="560" spans="1:5" x14ac:dyDescent="0.2">
      <c r="A560" s="11">
        <v>36954</v>
      </c>
      <c r="B560" s="6">
        <f>+Sheet1!B556*Sheet1!$C$1</f>
        <v>-20000</v>
      </c>
      <c r="C560" s="6">
        <f>+Sheet1!C556*Sheet1!$C$1</f>
        <v>-43401</v>
      </c>
      <c r="D560" s="6">
        <f>+Sheet1!D556*Sheet1!$C$1</f>
        <v>-24385</v>
      </c>
      <c r="E560" s="6">
        <f>+Sheet1!E556*Sheet1!$C$1</f>
        <v>0</v>
      </c>
    </row>
    <row r="561" spans="1:5" x14ac:dyDescent="0.2">
      <c r="A561" s="11">
        <v>36955</v>
      </c>
      <c r="B561" s="6">
        <f>+Sheet1!B557*Sheet1!$C$1</f>
        <v>-5000</v>
      </c>
      <c r="C561" s="6">
        <f>+Sheet1!C557*Sheet1!$C$1</f>
        <v>-95212</v>
      </c>
      <c r="D561" s="6">
        <f>+Sheet1!D557*Sheet1!$C$1</f>
        <v>-4966</v>
      </c>
      <c r="E561" s="6">
        <f>+Sheet1!E557*Sheet1!$C$1</f>
        <v>0</v>
      </c>
    </row>
    <row r="562" spans="1:5" x14ac:dyDescent="0.2">
      <c r="A562" s="11">
        <v>36956</v>
      </c>
      <c r="B562" s="6">
        <f>+Sheet1!B558*Sheet1!$C$1</f>
        <v>-5000</v>
      </c>
      <c r="C562" s="6">
        <f>+Sheet1!C558*Sheet1!$C$1</f>
        <v>-80057</v>
      </c>
      <c r="D562" s="6">
        <f>+Sheet1!D558*Sheet1!$C$1</f>
        <v>994</v>
      </c>
      <c r="E562" s="6">
        <f>+Sheet1!E558*Sheet1!$C$1</f>
        <v>0</v>
      </c>
    </row>
    <row r="563" spans="1:5" x14ac:dyDescent="0.2">
      <c r="A563" s="11">
        <v>36957</v>
      </c>
      <c r="B563" s="6">
        <f>+Sheet1!B559*Sheet1!$C$1</f>
        <v>2119</v>
      </c>
      <c r="C563" s="6">
        <f>+Sheet1!C559*Sheet1!$C$1</f>
        <v>-55082</v>
      </c>
      <c r="D563" s="6">
        <f>+Sheet1!D559*Sheet1!$C$1</f>
        <v>3500</v>
      </c>
      <c r="E563" s="6">
        <f>+Sheet1!E559*Sheet1!$C$1</f>
        <v>0</v>
      </c>
    </row>
    <row r="564" spans="1:5" x14ac:dyDescent="0.2">
      <c r="A564" s="11">
        <v>36958</v>
      </c>
      <c r="B564" s="6">
        <f>+Sheet1!B560*Sheet1!$C$1</f>
        <v>-6940</v>
      </c>
      <c r="C564" s="6">
        <f>+Sheet1!C560*Sheet1!$C$1</f>
        <v>-60388</v>
      </c>
      <c r="D564" s="6">
        <f>+Sheet1!D560*Sheet1!$C$1</f>
        <v>-10000</v>
      </c>
      <c r="E564" s="6">
        <f>+Sheet1!E560*Sheet1!$C$1</f>
        <v>0</v>
      </c>
    </row>
    <row r="565" spans="1:5" x14ac:dyDescent="0.2">
      <c r="A565" s="11">
        <v>36959</v>
      </c>
      <c r="B565" s="6">
        <f>+Sheet1!B561*Sheet1!$C$1</f>
        <v>-5000</v>
      </c>
      <c r="C565" s="6">
        <f>+Sheet1!C561*Sheet1!$C$1</f>
        <v>-48320</v>
      </c>
      <c r="D565" s="6">
        <f>+Sheet1!D561*Sheet1!$C$1</f>
        <v>-5585</v>
      </c>
      <c r="E565" s="6">
        <f>+Sheet1!E561*Sheet1!$C$1</f>
        <v>0</v>
      </c>
    </row>
    <row r="566" spans="1:5" x14ac:dyDescent="0.2">
      <c r="A566" s="11">
        <v>36960</v>
      </c>
      <c r="B566" s="6">
        <f>+Sheet1!B562*Sheet1!$C$1</f>
        <v>-5062</v>
      </c>
      <c r="C566" s="6">
        <f>+Sheet1!C562*Sheet1!$C$1</f>
        <v>-2912</v>
      </c>
      <c r="D566" s="6">
        <f>+Sheet1!D562*Sheet1!$C$1</f>
        <v>-10000</v>
      </c>
      <c r="E566" s="6">
        <f>+Sheet1!E562*Sheet1!$C$1</f>
        <v>0</v>
      </c>
    </row>
    <row r="567" spans="1:5" x14ac:dyDescent="0.2">
      <c r="A567" s="11">
        <v>36961</v>
      </c>
      <c r="B567" s="6">
        <f>+Sheet1!B563*Sheet1!$C$1</f>
        <v>-16003</v>
      </c>
      <c r="C567" s="6">
        <f>+Sheet1!C563*Sheet1!$C$1</f>
        <v>-9781</v>
      </c>
      <c r="D567" s="6">
        <f>+Sheet1!D563*Sheet1!$C$1</f>
        <v>-10000</v>
      </c>
      <c r="E567" s="6">
        <f>+Sheet1!E563*Sheet1!$C$1</f>
        <v>0</v>
      </c>
    </row>
    <row r="568" spans="1:5" x14ac:dyDescent="0.2">
      <c r="A568" s="11">
        <v>36962</v>
      </c>
      <c r="B568" s="6">
        <f>+Sheet1!B564*Sheet1!$C$1</f>
        <v>-13606</v>
      </c>
      <c r="C568" s="6">
        <f>+Sheet1!C564*Sheet1!$C$1</f>
        <v>-11333</v>
      </c>
      <c r="D568" s="6">
        <f>+Sheet1!D564*Sheet1!$C$1</f>
        <v>-10000</v>
      </c>
      <c r="E568" s="6">
        <f>+Sheet1!E564*Sheet1!$C$1</f>
        <v>0</v>
      </c>
    </row>
    <row r="569" spans="1:5" x14ac:dyDescent="0.2">
      <c r="A569" s="11">
        <v>36963</v>
      </c>
      <c r="B569" s="6">
        <f>+Sheet1!B565*Sheet1!$C$1</f>
        <v>-5000</v>
      </c>
      <c r="C569" s="6">
        <f>+Sheet1!C565*Sheet1!$C$1</f>
        <v>-40057</v>
      </c>
      <c r="D569" s="6">
        <f>+Sheet1!D565*Sheet1!$C$1</f>
        <v>1200</v>
      </c>
      <c r="E569" s="6">
        <f>+Sheet1!E565*Sheet1!$C$1</f>
        <v>0</v>
      </c>
    </row>
    <row r="570" spans="1:5" x14ac:dyDescent="0.2">
      <c r="A570" s="11">
        <v>36964</v>
      </c>
      <c r="B570" s="6">
        <f>+Sheet1!B566*Sheet1!$C$1</f>
        <v>9576</v>
      </c>
      <c r="C570" s="6">
        <f>+Sheet1!C566*Sheet1!$C$1</f>
        <v>-1318</v>
      </c>
      <c r="D570" s="6">
        <f>+Sheet1!D566*Sheet1!$C$1</f>
        <v>-10000</v>
      </c>
      <c r="E570" s="6">
        <f>+Sheet1!E566*Sheet1!$C$1</f>
        <v>0</v>
      </c>
    </row>
    <row r="571" spans="1:5" x14ac:dyDescent="0.2">
      <c r="A571" s="11">
        <v>36965</v>
      </c>
      <c r="B571" s="6">
        <f>+Sheet1!B567*Sheet1!$C$1</f>
        <v>-19974</v>
      </c>
      <c r="C571" s="6">
        <f>+Sheet1!C567*Sheet1!$C$1</f>
        <v>-23849</v>
      </c>
      <c r="D571" s="6">
        <f>+Sheet1!D567*Sheet1!$C$1</f>
        <v>-10000</v>
      </c>
      <c r="E571" s="6">
        <f>+Sheet1!E567*Sheet1!$C$1</f>
        <v>0</v>
      </c>
    </row>
    <row r="572" spans="1:5" x14ac:dyDescent="0.2">
      <c r="A572" s="11">
        <v>36966</v>
      </c>
      <c r="B572" s="6">
        <f>+Sheet1!B568*Sheet1!$C$1</f>
        <v>-2392</v>
      </c>
      <c r="C572" s="6">
        <f>+Sheet1!C568*Sheet1!$C$1</f>
        <v>-45794</v>
      </c>
      <c r="D572" s="6">
        <f>+Sheet1!D568*Sheet1!$C$1</f>
        <v>-10000</v>
      </c>
      <c r="E572" s="6">
        <f>+Sheet1!E568*Sheet1!$C$1</f>
        <v>0</v>
      </c>
    </row>
    <row r="573" spans="1:5" x14ac:dyDescent="0.2">
      <c r="A573" s="11">
        <v>36967</v>
      </c>
      <c r="B573" s="6">
        <f>+Sheet1!B569*Sheet1!$C$1</f>
        <v>4446</v>
      </c>
      <c r="C573" s="6">
        <f>+Sheet1!C569*Sheet1!$C$1</f>
        <v>-36968</v>
      </c>
      <c r="D573" s="6">
        <f>+Sheet1!D569*Sheet1!$C$1</f>
        <v>-10000</v>
      </c>
      <c r="E573" s="6">
        <f>+Sheet1!E569*Sheet1!$C$1</f>
        <v>0</v>
      </c>
    </row>
    <row r="574" spans="1:5" x14ac:dyDescent="0.2">
      <c r="A574" s="21">
        <v>36968</v>
      </c>
      <c r="B574" s="6">
        <f>+Sheet1!B570*Sheet1!$C$1</f>
        <v>-12330</v>
      </c>
      <c r="C574" s="6">
        <f>+Sheet1!C570*Sheet1!$C$1</f>
        <v>-11080</v>
      </c>
      <c r="D574" s="6">
        <f>+Sheet1!D570*Sheet1!$C$1</f>
        <v>-10000</v>
      </c>
      <c r="E574" s="6">
        <f>+Sheet1!E570*Sheet1!$C$1</f>
        <v>0</v>
      </c>
    </row>
    <row r="575" spans="1:5" x14ac:dyDescent="0.2">
      <c r="A575" s="21">
        <v>36969</v>
      </c>
      <c r="B575" s="6">
        <f>+Sheet1!B571*Sheet1!$C$1</f>
        <v>-11100</v>
      </c>
      <c r="C575" s="6">
        <f>+Sheet1!C571*Sheet1!$C$1</f>
        <v>-5402</v>
      </c>
      <c r="D575" s="6">
        <f>+Sheet1!D571*Sheet1!$C$1</f>
        <v>-10000</v>
      </c>
      <c r="E575" s="6">
        <f>+Sheet1!E571*Sheet1!$C$1</f>
        <v>0</v>
      </c>
    </row>
    <row r="576" spans="1:5" x14ac:dyDescent="0.2">
      <c r="A576" s="21">
        <v>36970</v>
      </c>
      <c r="B576" s="6">
        <f>+Sheet1!B572*Sheet1!$C$1</f>
        <v>-9238</v>
      </c>
      <c r="C576" s="6">
        <f>+Sheet1!C572*Sheet1!$C$1</f>
        <v>6226</v>
      </c>
      <c r="D576" s="6">
        <f>+Sheet1!D572*Sheet1!$C$1</f>
        <v>-10000</v>
      </c>
      <c r="E576" s="6">
        <f>+Sheet1!E572*Sheet1!$C$1</f>
        <v>0</v>
      </c>
    </row>
    <row r="577" spans="1:5" x14ac:dyDescent="0.2">
      <c r="A577" s="21">
        <v>36971</v>
      </c>
      <c r="B577" s="6">
        <f>+Sheet1!B573*Sheet1!$C$1</f>
        <v>-6446</v>
      </c>
      <c r="C577" s="6">
        <f>+Sheet1!C573*Sheet1!$C$1</f>
        <v>2397</v>
      </c>
      <c r="D577" s="6">
        <f>+Sheet1!D573*Sheet1!$C$1</f>
        <v>-10000</v>
      </c>
      <c r="E577" s="6">
        <f>+Sheet1!E573*Sheet1!$C$1</f>
        <v>0</v>
      </c>
    </row>
    <row r="578" spans="1:5" x14ac:dyDescent="0.2">
      <c r="A578" s="21">
        <v>36972</v>
      </c>
      <c r="B578" s="6">
        <f>+Sheet1!B574*Sheet1!$C$1</f>
        <v>4778</v>
      </c>
      <c r="C578" s="6">
        <f>+Sheet1!C574*Sheet1!$C$1</f>
        <v>-135</v>
      </c>
      <c r="D578" s="6">
        <f>+Sheet1!D574*Sheet1!$C$1</f>
        <v>-10000</v>
      </c>
      <c r="E578" s="6">
        <f>+Sheet1!E574*Sheet1!$C$1</f>
        <v>0</v>
      </c>
    </row>
    <row r="579" spans="1:5" x14ac:dyDescent="0.2">
      <c r="A579" s="21">
        <v>36973</v>
      </c>
      <c r="B579" s="6">
        <f>+Sheet1!B575*Sheet1!$C$1</f>
        <v>5531</v>
      </c>
      <c r="C579" s="6">
        <f>+Sheet1!C575*Sheet1!$C$1</f>
        <v>-159</v>
      </c>
      <c r="D579" s="6">
        <f>+Sheet1!D575*Sheet1!$C$1</f>
        <v>-10000</v>
      </c>
      <c r="E579" s="6">
        <f>+Sheet1!E575*Sheet1!$C$1</f>
        <v>0</v>
      </c>
    </row>
    <row r="580" spans="1:5" x14ac:dyDescent="0.2">
      <c r="A580" s="21">
        <v>36974</v>
      </c>
      <c r="B580" s="6">
        <f>+Sheet1!B576*Sheet1!$C$1</f>
        <v>-8459</v>
      </c>
      <c r="C580" s="6">
        <f>+Sheet1!C576*Sheet1!$C$1</f>
        <v>-39322</v>
      </c>
      <c r="D580" s="6">
        <f>+Sheet1!D576*Sheet1!$C$1</f>
        <v>-10000</v>
      </c>
      <c r="E580" s="6">
        <f>+Sheet1!E576*Sheet1!$C$1</f>
        <v>0</v>
      </c>
    </row>
    <row r="581" spans="1:5" x14ac:dyDescent="0.2">
      <c r="A581" s="21">
        <v>36975</v>
      </c>
      <c r="B581" s="6">
        <f>+Sheet1!B577*Sheet1!$C$1</f>
        <v>-8700</v>
      </c>
      <c r="C581" s="6">
        <f>+Sheet1!C577*Sheet1!$C$1</f>
        <v>-57459</v>
      </c>
      <c r="D581" s="6">
        <f>+Sheet1!D577*Sheet1!$C$1</f>
        <v>-26250</v>
      </c>
      <c r="E581" s="6">
        <f>+Sheet1!E577*Sheet1!$C$1</f>
        <v>0</v>
      </c>
    </row>
    <row r="582" spans="1:5" x14ac:dyDescent="0.2">
      <c r="A582" s="21">
        <v>36976</v>
      </c>
      <c r="B582" s="6">
        <f>+Sheet1!B578*Sheet1!$C$1</f>
        <v>30000</v>
      </c>
      <c r="C582" s="6">
        <f>+Sheet1!C578*Sheet1!$C$1</f>
        <v>-82616</v>
      </c>
      <c r="D582" s="6">
        <f>+Sheet1!D578*Sheet1!$C$1</f>
        <v>-2383</v>
      </c>
      <c r="E582" s="6">
        <f>+Sheet1!E578*Sheet1!$C$1</f>
        <v>0</v>
      </c>
    </row>
    <row r="583" spans="1:5" x14ac:dyDescent="0.2">
      <c r="A583" s="21">
        <v>36977</v>
      </c>
      <c r="B583" s="6">
        <f>+Sheet1!B579*Sheet1!$C$1</f>
        <v>-2828</v>
      </c>
      <c r="C583" s="6">
        <f>+Sheet1!C579*Sheet1!$C$1</f>
        <v>-24017</v>
      </c>
      <c r="D583" s="6">
        <f>+Sheet1!D579*Sheet1!$C$1</f>
        <v>-10000</v>
      </c>
      <c r="E583" s="6">
        <f>+Sheet1!E579*Sheet1!$C$1</f>
        <v>0</v>
      </c>
    </row>
    <row r="584" spans="1:5" x14ac:dyDescent="0.2">
      <c r="A584" s="21">
        <v>36978</v>
      </c>
      <c r="B584" s="6">
        <f>+Sheet1!B580*Sheet1!$C$1</f>
        <v>-3686</v>
      </c>
      <c r="C584" s="6">
        <f>+Sheet1!C580*Sheet1!$C$1</f>
        <v>7125</v>
      </c>
      <c r="D584" s="6">
        <f>+Sheet1!D580*Sheet1!$C$1</f>
        <v>-10000</v>
      </c>
      <c r="E584" s="6">
        <f>+Sheet1!E580*Sheet1!$C$1</f>
        <v>0</v>
      </c>
    </row>
    <row r="585" spans="1:5" x14ac:dyDescent="0.2">
      <c r="A585" s="21">
        <v>36979</v>
      </c>
      <c r="B585" s="6">
        <f>+Sheet1!B581*Sheet1!$C$1</f>
        <v>-874</v>
      </c>
      <c r="C585" s="6">
        <f>+Sheet1!C581*Sheet1!$C$1</f>
        <v>519</v>
      </c>
      <c r="D585" s="6">
        <f>+Sheet1!D581*Sheet1!$C$1</f>
        <v>-10000</v>
      </c>
      <c r="E585" s="6">
        <f>+Sheet1!E581*Sheet1!$C$1</f>
        <v>0</v>
      </c>
    </row>
    <row r="586" spans="1:5" x14ac:dyDescent="0.2">
      <c r="A586" s="21">
        <v>36980</v>
      </c>
      <c r="B586" s="6">
        <f>+Sheet1!B582*Sheet1!$C$1</f>
        <v>-5000</v>
      </c>
      <c r="C586" s="6">
        <f>+Sheet1!C582*Sheet1!$C$1</f>
        <v>12509</v>
      </c>
      <c r="D586" s="6">
        <f>+Sheet1!D582*Sheet1!$C$1</f>
        <v>-10000</v>
      </c>
      <c r="E586" s="6">
        <f>+Sheet1!E582*Sheet1!$C$1</f>
        <v>0</v>
      </c>
    </row>
    <row r="587" spans="1:5" x14ac:dyDescent="0.2">
      <c r="A587" s="21">
        <v>36981</v>
      </c>
      <c r="B587" s="6">
        <f>+Sheet1!B583*Sheet1!$C$1</f>
        <v>-5000</v>
      </c>
      <c r="C587" s="6">
        <f>+Sheet1!C583*Sheet1!$C$1</f>
        <v>13112</v>
      </c>
      <c r="D587" s="6">
        <f>+Sheet1!D583*Sheet1!$C$1</f>
        <v>-10000</v>
      </c>
      <c r="E587" s="6">
        <f>+Sheet1!E583*Sheet1!$C$1</f>
        <v>0</v>
      </c>
    </row>
    <row r="588" spans="1:5" x14ac:dyDescent="0.2">
      <c r="A588" s="21">
        <v>36982</v>
      </c>
      <c r="B588" s="6">
        <f>+Sheet1!B584*Sheet1!$C$1</f>
        <v>-12797</v>
      </c>
      <c r="C588" s="6">
        <f>+Sheet1!C584*Sheet1!$C$1</f>
        <v>18503</v>
      </c>
      <c r="D588" s="6">
        <f>+Sheet1!D584*Sheet1!$C$1</f>
        <v>-15750</v>
      </c>
      <c r="E588" s="6">
        <f>+Sheet1!E584*Sheet1!$C$1</f>
        <v>0</v>
      </c>
    </row>
    <row r="589" spans="1:5" x14ac:dyDescent="0.2">
      <c r="A589" s="21">
        <v>36983</v>
      </c>
      <c r="B589" s="6">
        <f>+Sheet1!B585*Sheet1!$C$1</f>
        <v>-14527</v>
      </c>
      <c r="C589" s="6">
        <f>+Sheet1!C585*Sheet1!$C$1</f>
        <v>20000</v>
      </c>
      <c r="D589" s="6">
        <f>+Sheet1!D585*Sheet1!$C$1</f>
        <v>-15750</v>
      </c>
      <c r="E589" s="6">
        <f>+Sheet1!E585*Sheet1!$C$1</f>
        <v>0</v>
      </c>
    </row>
    <row r="590" spans="1:5" x14ac:dyDescent="0.2">
      <c r="A590" s="21">
        <v>36984</v>
      </c>
      <c r="B590" s="6">
        <f>+Sheet1!B586*Sheet1!$C$1</f>
        <v>-11694</v>
      </c>
      <c r="C590" s="6">
        <f>+Sheet1!C586*Sheet1!$C$1</f>
        <v>20000</v>
      </c>
      <c r="D590" s="6">
        <f>+Sheet1!D586*Sheet1!$C$1</f>
        <v>-25000</v>
      </c>
      <c r="E590" s="6">
        <f>+Sheet1!E586*Sheet1!$C$1</f>
        <v>0</v>
      </c>
    </row>
    <row r="591" spans="1:5" x14ac:dyDescent="0.2">
      <c r="A591" s="21">
        <v>36985</v>
      </c>
      <c r="B591" s="6">
        <f>+Sheet1!B587*Sheet1!$C$1</f>
        <v>-25306</v>
      </c>
      <c r="C591" s="6">
        <f>+Sheet1!C587*Sheet1!$C$1</f>
        <v>34797</v>
      </c>
      <c r="D591" s="6">
        <f>+Sheet1!D587*Sheet1!$C$1</f>
        <v>-5000</v>
      </c>
      <c r="E591" s="6">
        <f>+Sheet1!E587*Sheet1!$C$1</f>
        <v>0</v>
      </c>
    </row>
    <row r="592" spans="1:5" x14ac:dyDescent="0.2">
      <c r="A592" s="21">
        <v>36986</v>
      </c>
      <c r="B592" s="6">
        <f>+Sheet1!B588*Sheet1!$C$1</f>
        <v>-10000</v>
      </c>
      <c r="C592" s="6">
        <f>+Sheet1!C588*Sheet1!$C$1</f>
        <v>38966</v>
      </c>
      <c r="D592" s="6">
        <f>+Sheet1!D588*Sheet1!$C$1</f>
        <v>-6206</v>
      </c>
      <c r="E592" s="6">
        <f>+Sheet1!E588*Sheet1!$C$1</f>
        <v>0</v>
      </c>
    </row>
    <row r="593" spans="1:5" x14ac:dyDescent="0.2">
      <c r="A593" s="21">
        <v>36987</v>
      </c>
      <c r="B593" s="6">
        <f>+Sheet1!B589*Sheet1!$C$1</f>
        <v>-10000</v>
      </c>
      <c r="C593" s="6">
        <f>+Sheet1!C589*Sheet1!$C$1</f>
        <v>36819</v>
      </c>
      <c r="D593" s="6">
        <f>+Sheet1!D589*Sheet1!$C$1</f>
        <v>-5000</v>
      </c>
      <c r="E593" s="6">
        <f>+Sheet1!E589*Sheet1!$C$1</f>
        <v>0</v>
      </c>
    </row>
    <row r="594" spans="1:5" x14ac:dyDescent="0.2">
      <c r="A594" s="21">
        <v>36988</v>
      </c>
      <c r="B594" s="6">
        <f>+Sheet1!B590*Sheet1!$C$1</f>
        <v>0</v>
      </c>
      <c r="C594" s="6">
        <f>+Sheet1!C590*Sheet1!$C$1</f>
        <v>38783</v>
      </c>
      <c r="D594" s="6">
        <f>+Sheet1!D590*Sheet1!$C$1</f>
        <v>1295</v>
      </c>
      <c r="E594" s="6">
        <f>+Sheet1!E590*Sheet1!$C$1</f>
        <v>15633</v>
      </c>
    </row>
    <row r="595" spans="1:5" x14ac:dyDescent="0.2">
      <c r="A595" s="21">
        <v>36989</v>
      </c>
      <c r="B595" s="6">
        <f>+Sheet1!B591*Sheet1!$C$1</f>
        <v>0</v>
      </c>
      <c r="C595" s="6">
        <f>+Sheet1!C591*Sheet1!$C$1</f>
        <v>40000</v>
      </c>
      <c r="D595" s="6">
        <f>+Sheet1!D591*Sheet1!$C$1</f>
        <v>-5684</v>
      </c>
      <c r="E595" s="6">
        <f>+Sheet1!E591*Sheet1!$C$1</f>
        <v>15633</v>
      </c>
    </row>
    <row r="596" spans="1:5" x14ac:dyDescent="0.2">
      <c r="A596" s="21">
        <v>36990</v>
      </c>
      <c r="B596" s="6">
        <f>+Sheet1!B592*Sheet1!$C$1</f>
        <v>0</v>
      </c>
      <c r="C596" s="6">
        <f>+Sheet1!C592*Sheet1!$C$1</f>
        <v>20040</v>
      </c>
      <c r="D596" s="6">
        <f>+Sheet1!D592*Sheet1!$C$1</f>
        <v>-13766</v>
      </c>
      <c r="E596" s="6">
        <f>+Sheet1!E592*Sheet1!$C$1</f>
        <v>15633</v>
      </c>
    </row>
    <row r="597" spans="1:5" x14ac:dyDescent="0.2">
      <c r="A597" s="21">
        <v>36991</v>
      </c>
      <c r="B597" s="6">
        <f>+Sheet1!B593*Sheet1!$C$1</f>
        <v>-3573</v>
      </c>
      <c r="C597" s="6">
        <f>+Sheet1!C593*Sheet1!$C$1</f>
        <v>14680</v>
      </c>
      <c r="D597" s="6">
        <f>+Sheet1!D593*Sheet1!$C$1</f>
        <v>-15750</v>
      </c>
      <c r="E597" s="6">
        <f>+Sheet1!E593*Sheet1!$C$1</f>
        <v>15633</v>
      </c>
    </row>
    <row r="598" spans="1:5" x14ac:dyDescent="0.2">
      <c r="A598" s="21">
        <v>36992</v>
      </c>
      <c r="B598" s="6">
        <f>+Sheet1!B594*Sheet1!$C$1</f>
        <v>-8979</v>
      </c>
      <c r="C598" s="6">
        <f>+Sheet1!C594*Sheet1!$C$1</f>
        <v>39863</v>
      </c>
      <c r="D598" s="6">
        <f>+Sheet1!D594*Sheet1!$C$1</f>
        <v>5250</v>
      </c>
      <c r="E598" s="6">
        <f>+Sheet1!E594*Sheet1!$C$1</f>
        <v>0</v>
      </c>
    </row>
    <row r="599" spans="1:5" x14ac:dyDescent="0.2">
      <c r="A599" s="21">
        <v>36993</v>
      </c>
      <c r="B599" s="6">
        <f>+Sheet1!B595*Sheet1!$C$1</f>
        <v>-10000</v>
      </c>
      <c r="C599" s="6">
        <f>+Sheet1!C595*Sheet1!$C$1</f>
        <v>22977</v>
      </c>
      <c r="D599" s="6">
        <f>+Sheet1!D595*Sheet1!$C$1</f>
        <v>-5000</v>
      </c>
      <c r="E599" s="6">
        <f>+Sheet1!E595*Sheet1!$C$1</f>
        <v>0</v>
      </c>
    </row>
    <row r="600" spans="1:5" x14ac:dyDescent="0.2">
      <c r="A600" s="21">
        <v>36994</v>
      </c>
      <c r="B600" s="6">
        <f>+Sheet1!B596*Sheet1!$C$1</f>
        <v>-10000</v>
      </c>
      <c r="C600" s="6">
        <f>+Sheet1!C596*Sheet1!$C$1</f>
        <v>39944</v>
      </c>
      <c r="D600" s="6">
        <f>+Sheet1!D596*Sheet1!$C$1</f>
        <v>3015</v>
      </c>
      <c r="E600" s="6">
        <f>+Sheet1!E596*Sheet1!$C$1</f>
        <v>0</v>
      </c>
    </row>
    <row r="601" spans="1:5" x14ac:dyDescent="0.2">
      <c r="A601" s="21">
        <v>36995</v>
      </c>
      <c r="B601" s="6">
        <f>+Sheet1!B597*Sheet1!$C$1</f>
        <v>-6141</v>
      </c>
      <c r="C601" s="6">
        <f>+Sheet1!C597*Sheet1!$C$1</f>
        <v>39936</v>
      </c>
      <c r="D601" s="6">
        <f>+Sheet1!D597*Sheet1!$C$1</f>
        <v>5250</v>
      </c>
      <c r="E601" s="6">
        <f>+Sheet1!E597*Sheet1!$C$1</f>
        <v>0</v>
      </c>
    </row>
    <row r="602" spans="1:5" x14ac:dyDescent="0.2">
      <c r="A602" s="21">
        <v>36996</v>
      </c>
      <c r="B602" s="6">
        <f>+Sheet1!B598*Sheet1!$C$1</f>
        <v>-10000</v>
      </c>
      <c r="C602" s="6">
        <f>+Sheet1!C598*Sheet1!$C$1</f>
        <v>34091</v>
      </c>
      <c r="D602" s="6">
        <f>+Sheet1!D598*Sheet1!$C$1</f>
        <v>-5000</v>
      </c>
      <c r="E602" s="6">
        <f>+Sheet1!E598*Sheet1!$C$1</f>
        <v>0</v>
      </c>
    </row>
    <row r="603" spans="1:5" x14ac:dyDescent="0.2">
      <c r="A603" s="21">
        <v>36997</v>
      </c>
      <c r="B603" s="6">
        <f>+Sheet1!B599*Sheet1!$C$1</f>
        <v>-10000</v>
      </c>
      <c r="C603" s="6">
        <f>+Sheet1!C599*Sheet1!$C$1</f>
        <v>12212</v>
      </c>
      <c r="D603" s="6">
        <f>+Sheet1!D599*Sheet1!$C$1</f>
        <v>-5000</v>
      </c>
      <c r="E603" s="6">
        <f>+Sheet1!E599*Sheet1!$C$1</f>
        <v>-14000</v>
      </c>
    </row>
    <row r="604" spans="1:5" x14ac:dyDescent="0.2">
      <c r="A604" s="21">
        <v>36998</v>
      </c>
      <c r="B604" s="6">
        <f>+Sheet1!B600*Sheet1!$C$1</f>
        <v>-40000</v>
      </c>
      <c r="C604" s="6">
        <f>+Sheet1!C600*Sheet1!$C$1</f>
        <v>27091</v>
      </c>
      <c r="D604" s="6">
        <f>+Sheet1!D600*Sheet1!$C$1</f>
        <v>-5000</v>
      </c>
      <c r="E604" s="6">
        <f>+Sheet1!E600*Sheet1!$C$1</f>
        <v>-16000</v>
      </c>
    </row>
    <row r="605" spans="1:5" x14ac:dyDescent="0.2">
      <c r="A605" s="21">
        <v>36999</v>
      </c>
      <c r="B605" s="6">
        <f>+Sheet1!B601*Sheet1!$C$1</f>
        <v>-10000</v>
      </c>
      <c r="C605" s="6">
        <f>+Sheet1!C601*Sheet1!$C$1</f>
        <v>39990</v>
      </c>
      <c r="D605" s="6">
        <f>+Sheet1!D601*Sheet1!$C$1</f>
        <v>-5000</v>
      </c>
      <c r="E605" s="6">
        <f>+Sheet1!E601*Sheet1!$C$1</f>
        <v>-15000</v>
      </c>
    </row>
    <row r="606" spans="1:5" x14ac:dyDescent="0.2">
      <c r="A606" s="21">
        <v>37000</v>
      </c>
      <c r="B606" s="6">
        <f>+Sheet1!B602*Sheet1!$C$1</f>
        <v>0</v>
      </c>
      <c r="C606" s="6">
        <f>+Sheet1!C602*Sheet1!$C$1</f>
        <v>40000</v>
      </c>
      <c r="D606" s="6">
        <f>+Sheet1!D602*Sheet1!$C$1</f>
        <v>-5000</v>
      </c>
      <c r="E606" s="6">
        <f>+Sheet1!E602*Sheet1!$C$1</f>
        <v>15633</v>
      </c>
    </row>
    <row r="607" spans="1:5" x14ac:dyDescent="0.2">
      <c r="A607" s="26">
        <v>37001</v>
      </c>
      <c r="B607" s="18">
        <f>+Sheet1!B603*Sheet1!$C$1</f>
        <v>0</v>
      </c>
      <c r="C607" s="18">
        <f>+Sheet1!C603*Sheet1!$C$1</f>
        <v>40000</v>
      </c>
      <c r="D607" s="18">
        <f>+Sheet1!D603*Sheet1!$C$1</f>
        <v>-5000</v>
      </c>
      <c r="E607" s="18">
        <f>+Sheet1!E603*Sheet1!$C$1</f>
        <v>15633</v>
      </c>
    </row>
    <row r="608" spans="1:5" x14ac:dyDescent="0.2">
      <c r="A608" s="2" t="s">
        <v>6</v>
      </c>
      <c r="B608" s="8">
        <f>SUM(B311:B607)</f>
        <v>-192012</v>
      </c>
      <c r="C608" s="8">
        <f>SUM(C311:C607)</f>
        <v>-1929553</v>
      </c>
      <c r="D608" s="8">
        <f>SUM(D311:D607)</f>
        <v>-306232</v>
      </c>
      <c r="E608" s="8">
        <f>SUM(E311:E607)</f>
        <v>76397</v>
      </c>
    </row>
  </sheetData>
  <mergeCells count="2">
    <mergeCell ref="A1:G1"/>
    <mergeCell ref="A306:D30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dcterms:created xsi:type="dcterms:W3CDTF">2000-07-19T15:27:55Z</dcterms:created>
  <dcterms:modified xsi:type="dcterms:W3CDTF">2023-09-10T17:15:31Z</dcterms:modified>
</cp:coreProperties>
</file>