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BB53DA-FA21-42DD-ABF2-0B9F7E7A5FFC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PGL_Nine_to_Nine!$P$1:$AD$40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Z4" i="11"/>
  <c r="C5" i="11"/>
  <c r="Q5" i="11"/>
  <c r="U5" i="11"/>
  <c r="Z5" i="11"/>
  <c r="C6" i="11"/>
  <c r="Q6" i="11"/>
  <c r="C7" i="11"/>
  <c r="U7" i="11"/>
  <c r="Z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W17" i="11"/>
  <c r="Z17" i="11"/>
  <c r="C18" i="11"/>
  <c r="Q18" i="11"/>
  <c r="C19" i="11"/>
  <c r="Q19" i="11"/>
  <c r="Z19" i="11"/>
  <c r="Q20" i="11"/>
  <c r="Z20" i="11"/>
  <c r="C21" i="11"/>
  <c r="Q21" i="11"/>
  <c r="C22" i="11"/>
  <c r="Z22" i="11"/>
  <c r="Z23" i="11"/>
  <c r="C24" i="11"/>
  <c r="Q24" i="11"/>
  <c r="U24" i="11"/>
  <c r="Z24" i="11"/>
  <c r="C25" i="11"/>
  <c r="D25" i="11"/>
  <c r="Z25" i="11"/>
  <c r="C26" i="11"/>
  <c r="Q26" i="11"/>
  <c r="Z26" i="11"/>
  <c r="C27" i="11"/>
  <c r="Q27" i="11"/>
  <c r="Z27" i="11"/>
  <c r="AB27" i="11"/>
  <c r="AD27" i="11"/>
  <c r="C28" i="11"/>
  <c r="Q28" i="11"/>
  <c r="C29" i="11"/>
  <c r="E29" i="11"/>
  <c r="G29" i="11"/>
  <c r="I29" i="11"/>
  <c r="Q29" i="11"/>
  <c r="Q30" i="11"/>
  <c r="B32" i="11"/>
  <c r="Q32" i="11"/>
  <c r="B33" i="11"/>
  <c r="Q33" i="11"/>
  <c r="B34" i="11"/>
  <c r="Q34" i="11"/>
  <c r="Q35" i="11"/>
  <c r="B36" i="11"/>
  <c r="Q36" i="11"/>
  <c r="B37" i="11"/>
  <c r="B38" i="11"/>
  <c r="B39" i="11"/>
  <c r="B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<sst xmlns="http://schemas.openxmlformats.org/spreadsheetml/2006/main" count="2341" uniqueCount="836">
  <si>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</si>
  <si>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</si>
  <si>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</si>
  <si>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</si>
  <si>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</si>
  <si>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</si>
  <si>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</si>
  <si>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</si>
  <si>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</si>
  <si>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</si>
  <si>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</si>
  <si>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</si>
  <si>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</si>
  <si>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</si>
  <si>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</si>
  <si>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</si>
  <si>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</si>
  <si>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</si>
  <si>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</si>
  <si>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</si>
  <si>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</si>
  <si>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</si>
  <si>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</si>
  <si>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</si>
  <si>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</si>
  <si>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</si>
  <si>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</si>
  <si>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</si>
  <si>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</si>
  <si>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</si>
  <si>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</si>
  <si>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</si>
  <si>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</si>
  <si>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</si>
  <si>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</si>
  <si>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</si>
  <si>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</si>
  <si>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</si>
  <si>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</si>
  <si>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</si>
  <si>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</si>
  <si>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</si>
  <si>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</si>
  <si>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</si>
  <si>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</si>
  <si>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</si>
  <si>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</si>
  <si>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</si>
  <si>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</si>
  <si>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</si>
  <si>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</si>
  <si>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</si>
  <si>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</si>
  <si>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</si>
  <si>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</si>
  <si>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</si>
  <si>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</si>
  <si>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</si>
  <si>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</si>
  <si>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</si>
  <si>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</si>
  <si>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</si>
  <si>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</si>
  <si>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</si>
  <si>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</si>
  <si>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</si>
  <si>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</si>
  <si>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</si>
  <si>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</si>
  <si>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</si>
  <si>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</si>
  <si>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</si>
  <si>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</si>
  <si>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</si>
  <si>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</si>
  <si>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</si>
  <si>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</si>
  <si>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</si>
  <si>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</si>
  <si>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</si>
  <si>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</si>
  <si>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</si>
  <si>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</si>
  <si>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</si>
  <si>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</si>
  <si>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</si>
  <si>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</si>
  <si>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</si>
  <si>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</si>
  <si>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</si>
  <si>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</si>
  <si>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</si>
  <si>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</si>
  <si>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</si>
  <si>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</si>
  <si>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</si>
  <si>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</si>
  <si>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</si>
  <si>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</si>
  <si>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</si>
  <si>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</si>
  <si>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</si>
  <si>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</si>
  <si>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</si>
  <si>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</si>
  <si>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</si>
  <si>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</si>
  <si>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</si>
  <si>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</si>
  <si>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</si>
  <si>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</si>
  <si>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</si>
  <si>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</si>
  <si>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</si>
  <si>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</si>
  <si>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</si>
  <si>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</si>
  <si>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</si>
  <si>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</si>
  <si>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</si>
  <si>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</si>
  <si>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</si>
  <si>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</si>
  <si>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</si>
  <si>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</si>
  <si>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</si>
  <si>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</si>
  <si>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</si>
  <si>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</si>
  <si>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</si>
  <si>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</si>
  <si>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</si>
  <si>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</si>
  <si>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</si>
  <si>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</si>
  <si>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</si>
  <si>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</si>
  <si>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</si>
  <si>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</si>
  <si>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</si>
  <si>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</si>
  <si>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</si>
  <si>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</si>
  <si>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</si>
  <si>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</si>
  <si>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</si>
  <si>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</si>
  <si>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</si>
  <si>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</si>
  <si>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</si>
  <si>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</si>
  <si>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</si>
  <si>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</si>
  <si>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</si>
  <si>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</si>
  <si>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</si>
  <si>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</si>
  <si>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</si>
  <si>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</si>
  <si>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</si>
  <si>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</si>
  <si>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</si>
  <si>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</si>
  <si>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</si>
  <si>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</si>
  <si>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</si>
  <si>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</si>
  <si>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</si>
  <si>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</si>
  <si>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</si>
  <si>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</si>
  <si>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</si>
  <si>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</si>
  <si>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</si>
  <si>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</si>
  <si>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</si>
  <si>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</si>
  <si>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</si>
  <si>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</si>
  <si>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</si>
  <si>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</si>
  <si>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</si>
  <si>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</si>
  <si>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</si>
  <si>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</si>
  <si>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</si>
  <si>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</si>
  <si>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</si>
  <si>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</si>
  <si>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</si>
  <si>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</si>
  <si>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</si>
  <si>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</si>
  <si>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</si>
  <si>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</si>
  <si>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</si>
  <si>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</si>
  <si>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</si>
  <si>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</si>
  <si>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</si>
  <si>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</si>
  <si>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</si>
  <si>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</si>
  <si>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</si>
  <si>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</si>
  <si>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</si>
  <si>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</si>
  <si>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</si>
  <si>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</si>
  <si>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</si>
  <si>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</si>
  <si>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</si>
  <si>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</si>
  <si>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</si>
  <si>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</si>
  <si>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</si>
  <si>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</si>
  <si>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</si>
  <si>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</si>
  <si>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</si>
  <si>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</si>
  <si>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</si>
  <si>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</si>
  <si>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</si>
  <si>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</si>
  <si>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</si>
  <si>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</si>
  <si>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</si>
  <si>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</si>
  <si>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</si>
  <si>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</si>
  <si>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</si>
  <si>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</si>
  <si>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</si>
  <si>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</si>
  <si>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</si>
  <si>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</si>
  <si>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</si>
  <si>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</si>
  <si>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</si>
  <si>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</si>
  <si>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</si>
  <si>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</si>
  <si>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</si>
  <si>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</si>
  <si>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</si>
  <si>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</si>
  <si>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</si>
  <si>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</si>
  <si>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</si>
  <si>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</si>
  <si>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</si>
  <si>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</si>
  <si>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</si>
  <si>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</si>
  <si>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</si>
  <si>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</si>
  <si>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</si>
  <si>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</si>
  <si>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</si>
  <si>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</si>
  <si>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</si>
  <si>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</si>
  <si>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</si>
  <si>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</si>
  <si>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</si>
  <si>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</si>
  <si>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</si>
  <si>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</si>
  <si>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</si>
  <si>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</si>
  <si>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</si>
  <si>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</si>
  <si>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</si>
  <si>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</si>
  <si>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</si>
  <si>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</si>
  <si>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</si>
  <si>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</si>
  <si>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</si>
  <si>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</si>
  <si>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</si>
  <si>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</si>
  <si>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</si>
  <si>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</si>
  <si>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</si>
  <si>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</si>
  <si>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</si>
  <si>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</si>
  <si>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</si>
  <si>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</si>
  <si>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</si>
  <si>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</si>
  <si>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</si>
  <si>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</si>
  <si>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</si>
  <si>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</si>
  <si>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</si>
  <si>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</si>
  <si>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</si>
  <si>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</si>
  <si>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</si>
  <si>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</si>
  <si>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</si>
  <si>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</si>
  <si>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</si>
  <si>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</si>
  <si>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</si>
  <si>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</si>
  <si>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</si>
  <si>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</si>
  <si>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</si>
  <si>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</si>
  <si>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</si>
  <si>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</si>
  <si>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</si>
  <si>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</si>
  <si>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</si>
  <si>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</si>
  <si>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</si>
  <si>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</si>
  <si>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</si>
  <si>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</si>
  <si>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</si>
  <si>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</si>
  <si>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</si>
  <si>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</si>
  <si>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</si>
  <si>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</si>
  <si>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</si>
  <si>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</si>
  <si>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</si>
  <si>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</si>
  <si>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</si>
  <si>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</si>
  <si>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</si>
  <si>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</si>
  <si>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</si>
  <si>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</si>
  <si>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</si>
  <si>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</si>
  <si>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</si>
  <si>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</si>
  <si>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</si>
  <si>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</si>
  <si>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</si>
  <si>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</si>
  <si>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</si>
  <si>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</si>
  <si>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</si>
  <si>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</si>
  <si>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</si>
  <si>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</si>
  <si>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</si>
  <si>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</si>
  <si>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</si>
  <si>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</si>
  <si>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</si>
  <si>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</si>
  <si>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</si>
  <si>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</si>
  <si>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</si>
  <si>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</si>
  <si>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</si>
  <si>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</si>
  <si>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</si>
  <si>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</si>
  <si>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</si>
  <si>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</si>
  <si>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</si>
  <si>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</si>
  <si>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</si>
  <si>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</si>
  <si>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</si>
  <si>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</si>
  <si>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</si>
  <si>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</si>
  <si>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</si>
  <si>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</si>
  <si>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</si>
  <si>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</si>
  <si>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</si>
  <si>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</si>
  <si>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</si>
  <si>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</si>
  <si>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</si>
  <si>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</si>
  <si>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</si>
  <si>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</si>
  <si>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</si>
  <si>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</si>
  <si>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</si>
  <si>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</si>
  <si>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</si>
  <si>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</si>
  <si>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</si>
  <si>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</si>
  <si>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</si>
  <si>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</si>
  <si>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</si>
  <si>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</si>
  <si>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</si>
  <si>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</si>
  <si>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</si>
  <si>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</si>
  <si>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</si>
  <si>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</si>
  <si>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</si>
  <si>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</si>
  <si>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</si>
  <si>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</si>
  <si>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</si>
  <si>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</si>
  <si>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</si>
  <si>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</si>
  <si>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</si>
  <si>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</si>
  <si>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</si>
  <si>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</si>
  <si>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</si>
  <si>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</si>
  <si>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</si>
  <si>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</si>
  <si>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</si>
  <si>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</si>
  <si>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</si>
  <si>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</si>
  <si>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</si>
  <si>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</si>
  <si>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</si>
  <si>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</si>
  <si>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</si>
  <si>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</si>
  <si>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</si>
  <si>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</si>
  <si>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</si>
  <si>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</si>
  <si>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</si>
  <si>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</si>
  <si>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</si>
  <si>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</si>
  <si>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</si>
  <si>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</si>
  <si>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</si>
  <si>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</si>
  <si>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</si>
  <si>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</si>
  <si>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</si>
  <si>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</si>
  <si>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</si>
  <si>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</si>
  <si>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</si>
  <si>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</si>
  <si>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</si>
  <si>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</si>
  <si>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</si>
  <si>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</si>
  <si>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</si>
  <si>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</si>
  <si>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</si>
  <si>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</si>
  <si>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</si>
  <si>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</si>
  <si>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</si>
  <si>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</si>
  <si>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</si>
  <si>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</si>
  <si>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</si>
  <si>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</si>
  <si>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</si>
  <si>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</si>
  <si>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</si>
  <si>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</si>
  <si>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</si>
  <si>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</si>
  <si>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</si>
  <si>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</si>
  <si>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</si>
  <si>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</si>
  <si>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</si>
  <si>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</si>
  <si>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</si>
  <si>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</si>
  <si>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</si>
  <si>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</si>
  <si>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</si>
  <si>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</si>
  <si>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</si>
  <si>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</si>
  <si>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</si>
  <si>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</si>
  <si>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</si>
  <si>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</si>
  <si>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</si>
  <si>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</si>
  <si>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</si>
  <si>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</si>
  <si>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</si>
  <si>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</si>
  <si>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</si>
  <si>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</si>
  <si>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</si>
  <si>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</si>
  <si>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</si>
  <si>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</si>
  <si>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</si>
  <si>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</si>
  <si>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</si>
  <si>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</si>
  <si>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</si>
  <si>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</si>
  <si>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</si>
  <si>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</si>
  <si>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</si>
  <si>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</si>
  <si>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</si>
  <si>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</si>
  <si>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</si>
  <si>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</si>
  <si>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</si>
  <si>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</si>
  <si>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</si>
  <si>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</si>
  <si>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</si>
  <si>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</si>
  <si>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</si>
  <si>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</si>
  <si>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</si>
  <si>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</si>
  <si>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</si>
  <si>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</si>
  <si>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</si>
  <si>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</si>
  <si>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</si>
  <si>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</si>
  <si>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</si>
  <si>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</si>
  <si>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</si>
  <si>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</si>
  <si>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</si>
  <si>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</si>
  <si>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</si>
  <si>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</si>
  <si>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</si>
  <si>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</si>
  <si>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</si>
  <si>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</si>
  <si>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</si>
  <si>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</si>
  <si>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</si>
  <si>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</si>
  <si>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</si>
  <si>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</si>
  <si>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</si>
  <si>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</si>
  <si>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</si>
  <si>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</si>
  <si>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</si>
  <si>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</si>
  <si>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</si>
  <si>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</si>
  <si>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</si>
  <si>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</si>
  <si>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</si>
  <si>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</si>
  <si>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</si>
  <si>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</si>
  <si>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</si>
  <si>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</si>
  <si>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</si>
  <si>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</si>
  <si>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</si>
  <si>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</si>
  <si>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</si>
  <si>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</si>
  <si>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</si>
  <si>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</si>
  <si>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</si>
  <si>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</si>
  <si>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</si>
  <si>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</si>
  <si>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</si>
  <si>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</si>
  <si>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</si>
  <si>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</si>
  <si>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</si>
  <si>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</si>
  <si>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</si>
  <si>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</si>
  <si>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</si>
  <si>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</si>
  <si>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</si>
  <si>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</si>
  <si>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</si>
  <si>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</si>
  <si>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</si>
  <si>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</si>
  <si>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</si>
  <si>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</si>
  <si>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</si>
  <si>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</si>
  <si>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</si>
  <si>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</si>
  <si>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</si>
  <si>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</si>
  <si>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</si>
  <si>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</si>
  <si>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</si>
  <si>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</si>
  <si>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</si>
  <si>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</si>
  <si>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</si>
  <si>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</si>
  <si>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</si>
  <si>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</si>
  <si>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</si>
  <si>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</si>
  <si>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</si>
  <si>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</si>
  <si>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</si>
  <si>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</si>
  <si>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</si>
  <si>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</si>
  <si>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</si>
  <si>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</si>
  <si>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</si>
  <si>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</si>
  <si>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</si>
  <si>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</si>
  <si>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</si>
  <si>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</si>
  <si>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</si>
  <si>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</si>
  <si>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</si>
  <si>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</si>
  <si>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</si>
  <si>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</si>
  <si>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</si>
  <si>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</si>
  <si>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</si>
  <si>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</si>
  <si>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</si>
  <si>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</si>
  <si>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</si>
  <si>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</si>
  <si>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</si>
  <si>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</si>
  <si>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</si>
  <si>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</si>
  <si>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</si>
  <si>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</si>
  <si>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</si>
  <si>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</si>
  <si>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</si>
  <si>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</si>
  <si>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</si>
  <si>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</si>
  <si>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</si>
  <si>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</si>
  <si>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</si>
  <si>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</si>
  <si>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</si>
  <si>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</si>
  <si>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</si>
  <si>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</si>
  <si>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</si>
  <si>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</si>
  <si>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</si>
  <si>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</si>
  <si>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</si>
  <si>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</si>
  <si>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</si>
  <si>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</si>
  <si>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</si>
  <si>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</si>
  <si>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</si>
  <si>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</si>
  <si>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</si>
  <si>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</si>
  <si>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</si>
  <si>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</si>
  <si>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</si>
  <si>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</si>
  <si>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</si>
  <si>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</si>
  <si>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</si>
  <si>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</si>
  <si>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</si>
  <si>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</si>
  <si>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</si>
  <si>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</si>
  <si>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</si>
  <si>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</si>
  <si>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</si>
  <si>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</si>
  <si>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</si>
  <si>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</si>
  <si>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</si>
  <si>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</si>
  <si>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</si>
  <si>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</si>
  <si>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</si>
  <si>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</si>
  <si>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</si>
  <si>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</si>
  <si>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</si>
  <si>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</si>
  <si>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</si>
  <si>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</si>
  <si>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</si>
  <si>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</si>
  <si>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</si>
  <si>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</si>
  <si>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</si>
  <si>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</si>
  <si>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</si>
  <si>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</si>
  <si>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</si>
  <si>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</si>
  <si>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</si>
  <si>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</si>
  <si>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</si>
  <si>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</si>
  <si>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</si>
  <si>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</si>
  <si>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</si>
  <si>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</si>
  <si>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</si>
  <si>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</si>
  <si>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</si>
  <si>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</si>
  <si>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</si>
  <si>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</si>
  <si>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</si>
  <si>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</si>
  <si>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</si>
  <si>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</si>
  <si>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</si>
  <si>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</si>
  <si>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</si>
  <si>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</si>
  <si>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</si>
  <si>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</si>
  <si>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</si>
  <si>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</si>
  <si>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</si>
  <si>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</si>
  <si>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</si>
  <si>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</si>
  <si>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</si>
  <si>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</si>
  <si>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</si>
  <si>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</si>
  <si>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</si>
  <si>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</si>
  <si>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</si>
  <si>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</si>
  <si>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</si>
  <si>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</si>
  <si>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</si>
  <si>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</si>
  <si>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</si>
  <si>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</si>
  <si>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</si>
  <si>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</si>
  <si>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</si>
  <si>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</si>
  <si>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</si>
  <si>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</si>
  <si>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</si>
  <si>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</si>
  <si>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</si>
  <si>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</si>
  <si>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</si>
  <si>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</si>
  <si>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</si>
  <si>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</si>
  <si>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</si>
  <si>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</si>
  <si>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</si>
  <si>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</si>
  <si>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</si>
  <si>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</si>
  <si>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</si>
  <si>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</si>
  <si>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</si>
  <si>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</si>
  <si>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</si>
  <si>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</si>
  <si>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</si>
  <si>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</si>
  <si>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</si>
  <si>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</si>
  <si>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</si>
  <si>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</si>
  <si>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</si>
  <si>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SHOWERS LIKELY.</t>
  </si>
  <si>
    <t>N/A</t>
  </si>
  <si>
    <t>BECOMING MOSTLY CLOUDY WITH 30% CHANCE OF P.M. SHOWERS. S.W. WINDS 10/20</t>
  </si>
  <si>
    <t xml:space="preserve">OVERNIGHT…MOSTLY CLOUDY WITH A 30% CHANCE OF EVENING SHOWERS. </t>
  </si>
  <si>
    <t>MOSTLY CLOUDY AND COOL WITH SHOWERS. CHANCE OF RAIN 60% OVERNIGHT…</t>
  </si>
  <si>
    <t>CLOUDY WITH SHOWERS. CHANCE OF RAIN 60%</t>
  </si>
  <si>
    <t>SHOWERS LIKELY WITH POSSIBLE P.M. T'STORMS.</t>
  </si>
  <si>
    <t>CHANCE OF SHOWERS.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</si>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</sst>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31" fillId="6" borderId="169" xfId="0" applyFont="1" applyFill="1" applyBorder="1" applyAlignment="1">
      <alignment horizontal="centerContinuous"/>
    </xf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7" fontId="29" fillId="0" borderId="68" xfId="0" applyNumberFormat="1" applyFont="1" applyBorder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0" xfId="0" applyFont="1" applyFill="1" applyBorder="1"/>
    <xf numFmtId="0" fontId="66" fillId="0" borderId="0" xfId="0" applyFont="1" applyFill="1" applyBorder="1"/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9" fillId="0" borderId="63" xfId="0" applyFont="1" applyBorder="1"/>
    <xf numFmtId="0" fontId="29" fillId="0" borderId="74" xfId="0" applyFont="1" applyBorder="1" applyAlignment="1">
      <alignment horizontal="left"/>
    </xf>
    <xf numFmtId="167" fontId="29" fillId="0" borderId="74" xfId="0" applyNumberFormat="1" applyFont="1" applyBorder="1"/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0D5F5C0-25DC-2E2A-A69A-CC26CD40E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0CFD012-D2AF-7E8D-D51E-575ED21FB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F494C9A-D467-BB11-688E-428A58D3A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064035D-6195-2F17-2733-6D1767AFA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6FCC700-B62C-3FBE-2DF0-ACA852949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9D5E0B3-A887-25AE-9005-659398177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78216BC-388E-E553-954B-F1A932E69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5EE1C7C-6ECC-3FAA-EF1A-D4E8EAA3F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F3C0CB4-B6A4-F0FE-A611-145F4ADA5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0579B83-8C11-E7C6-FE26-EFDD19D13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FF66D85-D8B8-FD2C-0296-FEE69F69D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30ABD3F-6BEA-CE86-234B-D0A083C51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8C319CA-4A55-3C2B-E217-266D20BFF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02B82E8-958D-A479-C4DF-920E29EB5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F5BE176-23B2-1809-13A0-0CA4B29E7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10CF339-4209-2F25-74C0-C0D58E09F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E9CDC038-24A3-F357-15E0-36171C721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441A3AAF-6EA8-D60F-BAC5-28CBEADD6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CEECFEE-99F7-7B3A-39BD-DC331E87D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FE9FDD21-F097-9849-2FF5-0E85C4B16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F4F63DB-A294-279A-45BA-6133C3701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56B59534-5CF0-9CF0-86EB-B13F85B4A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93541D5-9BF7-BB7F-AED1-479446F5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8BC6C5F-15B9-5EF6-FE41-E48154843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267BB09-35AE-AB74-AFC7-78DC4997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9C69906-BE40-5660-1D7D-A6729A466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F95036DA-F593-C8A9-B986-6C422FF8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A249628-A348-8FBB-01F8-C71215523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C40150C2-20F3-B66F-9ADF-324A881C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2FE88AB-D87D-2367-73B4-730206D51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41576D5-AFEE-E243-35D5-B057C575A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4E36EE40-F2B9-7EC7-7013-35980C07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45BBA81-D83D-B8D7-C13F-61A4A3067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2090B4F-C7C7-94F7-7DC2-BB563CBF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492DA8C5-F3EA-22AD-01C9-C67D4714A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C3623C4-47E6-320E-24F9-2093ADEB5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D15FCDE-5F36-0CBB-4608-E923D3E2C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8D4992A0-23C5-654C-D04D-37D0BB901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68AADBF-824B-46EB-B834-15931113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86262AC-D794-3A91-62AD-2B1C2FEE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0260D3A6-74FC-B180-A689-E0426DEF9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905B881-D2FD-F8FC-01C5-80CC77CD9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0E2E6D2-9780-5FB9-60FC-B4F0168C3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6F83BC7-3AA8-4B00-66EB-A5E4C27F9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79" name="Day_1">
          <a:extLst>
            <a:ext uri="{FF2B5EF4-FFF2-40B4-BE49-F238E27FC236}">
              <a16:creationId xmlns:a16="http://schemas.microsoft.com/office/drawing/2014/main" id="{EFC51048-9D84-89FC-DDCE-1A9A8A074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80" name="Day_2">
          <a:extLst>
            <a:ext uri="{FF2B5EF4-FFF2-40B4-BE49-F238E27FC236}">
              <a16:creationId xmlns:a16="http://schemas.microsoft.com/office/drawing/2014/main" id="{4327A8B0-C45E-BE82-2D75-EF400A022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81" name="Day_3">
          <a:extLst>
            <a:ext uri="{FF2B5EF4-FFF2-40B4-BE49-F238E27FC236}">
              <a16:creationId xmlns:a16="http://schemas.microsoft.com/office/drawing/2014/main" id="{7768CF54-2353-F87C-B7A5-7F977DE37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82" name="Day_4">
          <a:extLst>
            <a:ext uri="{FF2B5EF4-FFF2-40B4-BE49-F238E27FC236}">
              <a16:creationId xmlns:a16="http://schemas.microsoft.com/office/drawing/2014/main" id="{3B62EC86-5485-2DCF-3482-2913B8BB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83" name="Day_5">
          <a:extLst>
            <a:ext uri="{FF2B5EF4-FFF2-40B4-BE49-F238E27FC236}">
              <a16:creationId xmlns:a16="http://schemas.microsoft.com/office/drawing/2014/main" id="{2159A552-0EDD-08F4-81EF-74312782A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84" name="Day_6">
          <a:extLst>
            <a:ext uri="{FF2B5EF4-FFF2-40B4-BE49-F238E27FC236}">
              <a16:creationId xmlns:a16="http://schemas.microsoft.com/office/drawing/2014/main" id="{CB110A60-52AF-269E-C05E-75E850F6D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B8FB063-AA7C-B4B9-8FA6-D8329793D03F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A6B3CCA-9A9A-1255-8224-9BFE2FE3437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979C3A9-D5CE-F346-2C39-6FBA0E1FCC7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E930744-B7F6-DFC0-14FE-858837436E53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2FE5FED5-4F68-975D-C04D-F0850911B0AC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2EE6CD6-2D21-0190-003E-C06C5A610523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C2724434-5C7A-CC07-45CD-406565BFCFC3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9EF5A89-1F69-3F1D-C9CF-FADA470DD563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1FAF3A5-ABE8-A089-FBA6-BFC21A27147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57ED7BB-4613-D811-A24B-41EE63C3FFB8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CBD591B-E5E0-7215-6D59-194720802747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737B7810-732F-3382-3D6C-477E104C1275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E24C6BE4-E1FB-515E-1F26-057912C3C93B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5DC6D4BC-4254-8CBC-7B5F-680AC2DD16F3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A7D18A9-57B9-C5F8-904B-E7E99DA72AA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D06E40C-0D00-6AD3-6F94-DE0E5B1E4260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A3A59CF-C874-12B1-D1E4-3A9E963B104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9B71AE50-FF03-F725-552E-A398F608493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36A3A85F-427F-CC7C-0370-39915128A82B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D2E8413C-9271-C7F1-98A8-DDECAD72DF2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2C08B34-E56B-A93E-3F5E-07CD1437A7F0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AFF0E53-1075-E652-45A5-27A62615AC7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BBBBAED3-F45E-7EE6-D076-064DC4D2B88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CA2D3C6C-9168-B94B-1149-DAC69018445B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102D9D1-D053-D184-997E-A811C4170984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AFE71DAD-F9FE-6EB8-958A-8D134AF0554B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746A41B7-5DDD-7E1D-4A8B-8A2E56B0919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9D3B222-784E-FB0F-9E83-5C5E834285BF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E7EB98E9-5DE9-6297-7877-DEB19F8F7FC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94E24DB-BA04-AC45-1A55-F24B4E5337B5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DDF20A91-C4BE-99C8-C952-E7D8E233FC01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BDB0779-9337-6F75-2E07-B1A18A675D9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87BA97C6-EDE6-A8A9-D1B8-6CFC8C946D4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692B33F-482F-99D1-E3BF-52A411C779A3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8B1C6CA0-5E11-E9DE-9616-B0CAFCF547B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C3EB1A8-1587-70B8-7C92-AD11A8E9B899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7DD8C38-C956-4672-EB6A-2F74730AB509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D469F449-CF98-E2D2-B29E-CBB34FC2496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0CA2385E-1780-97CD-7277-E663C96D0EE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C7218C3-6749-1B88-376B-BE4D4C20340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05184E9F-54EE-AE33-15FB-5F7D560F44B8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34BE4B1-F7F9-E419-C2E3-4F704A4E4A1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56F1B2D1-75C3-23C8-C9BB-BF05B96B7AA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9128C1D-15DF-03DC-758D-D783C0A4291C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3938074C-5202-FE19-72A1-15260E3E3A4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12FFB0CF-910B-F957-E6EB-1470AA337FE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26F57FC-58A3-3B83-6DFE-B235401FC68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F80CA48-48E1-BD16-D3DD-CD579A15F3D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415DEF7-CB46-0CE6-605D-5EFEFA74851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140B36DE-36BA-664E-D22C-E99F76DB7B53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280CA64C-C6D4-8B0E-F908-A0F2CAD513D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14E23AF9-5FCB-9335-65BE-D2BF1B2943D5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613E0DC-EE5A-07FC-EC61-78B3B6F91AF0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D2B49C7-3941-69F0-4AE8-AD2052364917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68952CFD-1D3C-D787-7397-BF00F4FB104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EA3376B-E937-26E6-AF06-9B709A8A43D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D97F2F1-8ED5-21BD-B6B0-B239248C28BC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364DAD3-1759-2D64-F5E4-4F23650147E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7C0A6723-94FA-E4A4-29DD-75C8D731325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2E4402F9-53E0-AC61-9E3C-1BAC45429282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09B0E1AB-B4BC-5F5F-0477-028996417F92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4098AC2-673E-AACB-3CAB-2BCB740B264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558FC9F-222C-0430-BE2A-A4307410102C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EAB3453-8638-D0A7-5D64-95CE04181517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76D0FF9-E9B4-38C1-DF57-A7B4DF2705E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3BF2A7A5-D070-2B48-98F9-8C89C7F43811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BE2CE991-D933-E9EF-8D34-29A7C120B203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9629CF3E-252F-733A-770D-8A853B21F55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DA824C9-28D1-AE51-2918-802671A660A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4C055B38-E173-62F7-11E4-3C5A6005561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39FD235B-26B3-1DB6-0111-F218C36239A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C17BADF5-885D-0EA9-D243-00DD06B838F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1EB105AB-BAB7-0D4D-31BD-7A9D3DA90A52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D35ACED1-7ADB-208F-FDE8-6F38CC556558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2038874B-5FFD-B1F2-255A-852E08FB65A3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2B3811C-233D-0F79-19E0-02D34FC4ACCE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71DD0436-1F10-2A63-06D4-3FBC79B56E4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5084FE2-50AF-89BB-2D3B-ACB8ECFF467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CF98345-F9FF-099B-2BAA-5C547959122E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84E948E-416F-D548-F250-CD9C21DFFDD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01E6940D-E989-CA17-63A2-673DDF6C25F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57FE4BE9-FA3A-8989-6575-273716748647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4F258CD-715B-CEC3-D409-95F6E74F6BD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DB77EA0-D519-51EB-48F5-86C0ECCB20D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E1C9CA0A-BE37-37FC-0D86-35E1A0D0766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5B978A03-0F98-6273-0528-BE2D83857416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29246D3F-AEE4-202A-20AE-316468BAF773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16FA97C5-4E10-7889-8890-1CA6FC9B279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E6529010-93AC-E328-8A55-305C5171B82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2F48797-AC3D-B825-47A4-D9CB8B0EF0A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2C4ED89-5FBA-A4C2-5A1D-13132142D8B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70583D1-7E16-DD99-3BE9-84862FF6B79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25DD276-9874-3668-00C1-01C667CEA081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2602CD90-C463-EB17-1A2E-51D4A9A9FA4F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E3DCD8B-07FA-C412-7FDF-05A60A7DC94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CEDE9FD-5765-6854-E584-0D36158EBD5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643A47E-421A-BDBA-EEBF-01E0B38FE80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626E61CA-AF1E-0CDF-D587-7CA16620D232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D96BC6DD-43C1-25FF-7B22-23B6DED31C8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A85CE15-E3A9-AF8C-1D51-584A84B7CC5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B03BB68B-9710-7138-A06B-218CC5AA8E9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7E018ACA-BFE5-3F23-A823-7296231FD65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E1856962-4712-47B0-1164-5CECC26B5A1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9B69215-7C85-A9B9-5A4E-E552B6DEF45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522B4106-D812-7F0B-89D6-2011B4874767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2AC697C-1A1C-54CD-5808-7D6280097EDB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740E876A-1B25-23A1-5CA6-28A907E6F4A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C0D708DA-F10F-FF0E-0A23-7972A9EB6CF4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7EF3E5A-74DD-374E-2578-054B6A1D0D79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433F1042-1638-F5D8-3C43-D4BAEC480023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21C0087A-B97C-7397-A098-B6DB86E7EA67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6B768932-0550-7D9E-6999-8B7332928AB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BAEE142-EE9C-51F2-5006-C877BC9B5A4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BEA2D1DF-0DF9-6966-FF0A-91BB72354AB4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ED38A2FF-C86E-7AC6-93E0-D06BEDC7760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2992D968-7F0C-392E-AAE4-888F0A6C78C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0BC12B45-38C6-A463-E947-AD0DD3C50265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5BD1BAFA-0BA7-F46F-52E4-383C8B2AF50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6FBAE4F-8070-B5DC-CC57-4DB489C537C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2103F286-76CD-3150-7BE2-F53DCB3D7E50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0D7722A2-6C41-3423-581B-DF10442448F2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02368651-1BBB-0A8D-A98C-0B682F82A66C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2A3237B-D942-B5BF-071D-A2F0F4263013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020D00D-B86C-9661-D0E6-FCB87412442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4C0AEE4-D14D-648D-6A52-65304339CEAC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962EFE31-45E9-2EC4-0E4D-F64E968ADA0E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49A568AC-100B-D72F-8526-FB1B22EEBDD8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27AE9686-51D5-8344-F792-DAD7806DE84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E2511616-5968-66B0-DC70-198E6B1F69EE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4CF23E3C-1C40-6D11-7382-1BBC992F4CF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C36" zoomScale="75" workbookViewId="0">
      <selection activeCell="M49" sqref="M49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TUE</v>
      </c>
      <c r="I1" s="878">
        <f>D4</f>
        <v>37033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37033</v>
      </c>
      <c r="E4" s="845">
        <f>Weather_Input!A6</f>
        <v>37034</v>
      </c>
      <c r="F4" s="845">
        <f>Weather_Input!A7</f>
        <v>37035</v>
      </c>
      <c r="G4" s="845">
        <f>Weather_Input!A8</f>
        <v>37036</v>
      </c>
      <c r="H4" s="845">
        <f>Weather_Input!A9</f>
        <v>37037</v>
      </c>
      <c r="I4" s="846">
        <f>Weather_Input!A10</f>
        <v>37038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61/44/53</v>
      </c>
      <c r="E5" s="879" t="str">
        <f>TEXT(Weather_Input!B6,"0")&amp;"/"&amp;TEXT(Weather_Input!C6,"0") &amp; "/" &amp; TEXT((Weather_Input!B6+Weather_Input!C6)/2,"0")</f>
        <v>55/41/48</v>
      </c>
      <c r="F5" s="879" t="str">
        <f>TEXT(Weather_Input!B7,"0")&amp;"/"&amp;TEXT(Weather_Input!C7,"0") &amp; "/" &amp; TEXT((Weather_Input!B7+Weather_Input!C7)/2,"0")</f>
        <v>54/40/47</v>
      </c>
      <c r="G5" s="879" t="str">
        <f>TEXT(Weather_Input!B8,"0")&amp;"/"&amp;TEXT(Weather_Input!C8,"0") &amp; "/" &amp; TEXT((Weather_Input!B8+Weather_Input!C8)/2,"0")</f>
        <v>58/44/51</v>
      </c>
      <c r="H5" s="879" t="str">
        <f>TEXT(Weather_Input!B9,"0")&amp;"/"&amp;TEXT(Weather_Input!C9,"0") &amp; "/" &amp; TEXT((Weather_Input!B9+Weather_Input!C9)/2,"0")</f>
        <v>64/45/55</v>
      </c>
      <c r="I5" s="880" t="str">
        <f>TEXT(Weather_Input!B10,"0")&amp;"/"&amp;TEXT(Weather_Input!C10,"0") &amp; "/" &amp; TEXT((Weather_Input!B10+Weather_Input!C10)/2,"0")</f>
        <v>64/45/55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58</v>
      </c>
      <c r="E6" s="848">
        <f ca="1">VLOOKUP(E4,NSG_Sendouts,CELL("Col",NSG_Deliveries!C6),FALSE)/1000</f>
        <v>64</v>
      </c>
      <c r="F6" s="848">
        <f ca="1">VLOOKUP(F4,NSG_Sendouts,CELL("Col",NSG_Deliveries!C7),FALSE)/1000</f>
        <v>67</v>
      </c>
      <c r="G6" s="848">
        <f ca="1">VLOOKUP(G4,NSG_Sendouts,CELL("Col",NSG_Deliveries!C8),FALSE)/1000</f>
        <v>59</v>
      </c>
      <c r="H6" s="848">
        <f ca="1">VLOOKUP(H4,NSG_Sendouts,CELL("Col",NSG_Deliveries!C9),FALSE)/1000</f>
        <v>53</v>
      </c>
      <c r="I6" s="853">
        <f ca="1">VLOOKUP(I4,NSG_Sendouts,CELL("Col",NSG_Deliveries!C10),FALSE)/1000</f>
        <v>53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0.5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0.91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59.41</v>
      </c>
      <c r="E19" s="857">
        <f t="shared" ca="1" si="1"/>
        <v>65.25</v>
      </c>
      <c r="F19" s="857">
        <f t="shared" ca="1" si="1"/>
        <v>68.25</v>
      </c>
      <c r="G19" s="857">
        <f t="shared" ca="1" si="1"/>
        <v>60.25</v>
      </c>
      <c r="H19" s="857">
        <f t="shared" ca="1" si="1"/>
        <v>54.25</v>
      </c>
      <c r="I19" s="858">
        <f t="shared" ca="1" si="1"/>
        <v>54.25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39.408000000000001</v>
      </c>
      <c r="E32" s="848">
        <f>NSG_Supplies!R8/1000</f>
        <v>38.798000000000002</v>
      </c>
      <c r="F32" s="848">
        <f>NSG_Supplies!R9/1000</f>
        <v>38.798000000000002</v>
      </c>
      <c r="G32" s="848">
        <f>NSG_Supplies!R10/1000</f>
        <v>38.798000000000002</v>
      </c>
      <c r="H32" s="848">
        <f>NSG_Supplies!R11/1000</f>
        <v>38.798000000000002</v>
      </c>
      <c r="I32" s="849">
        <f>NSG_Supplies!R12/1000</f>
        <v>38.798000000000002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59.408000000000001</v>
      </c>
      <c r="E37" s="888">
        <f t="shared" si="2"/>
        <v>58.798000000000002</v>
      </c>
      <c r="F37" s="888">
        <f t="shared" si="2"/>
        <v>58.798000000000002</v>
      </c>
      <c r="G37" s="888">
        <f t="shared" si="2"/>
        <v>58.798000000000002</v>
      </c>
      <c r="H37" s="888">
        <f t="shared" si="2"/>
        <v>58.798000000000002</v>
      </c>
      <c r="I37" s="889">
        <f t="shared" si="2"/>
        <v>58.798000000000002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4.5480000000000018</v>
      </c>
      <c r="I38" s="893">
        <f t="shared" ca="1" si="3"/>
        <v>4.5480000000000018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1.9999999999953388E-3</v>
      </c>
      <c r="E39" s="874">
        <f t="shared" ca="1" si="4"/>
        <v>6.4519999999999982</v>
      </c>
      <c r="F39" s="874">
        <f t="shared" ca="1" si="4"/>
        <v>9.4519999999999982</v>
      </c>
      <c r="G39" s="874">
        <f t="shared" ca="1" si="4"/>
        <v>1.4519999999999982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19.308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11</v>
      </c>
      <c r="E42" s="899">
        <f>Weather_Input!D6</f>
        <v>9</v>
      </c>
      <c r="F42" s="899">
        <f>Weather_Input!D7</f>
        <v>8</v>
      </c>
      <c r="G42" s="900"/>
      <c r="H42" s="895"/>
      <c r="I42" s="895"/>
    </row>
    <row r="43" spans="1:13" ht="15.75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72"/>
  <sheetViews>
    <sheetView topLeftCell="A16" zoomScale="75" workbookViewId="0">
      <selection activeCell="D21" sqref="D21:D22"/>
    </sheetView>
  </sheetViews>
  <sheetFormatPr defaultColWidth="8.88671875" defaultRowHeight="15"/>
  <cols>
    <col min="1" max="1" width="22.77734375" customWidth="1"/>
    <col min="2" max="9" width="10.77734375" customWidth="1"/>
    <col min="16" max="16" width="23.77734375" customWidth="1"/>
    <col min="18" max="18" width="9.77734375" customWidth="1"/>
    <col min="20" max="20" width="22.77734375" customWidth="1"/>
    <col min="21" max="21" width="9.77734375" bestFit="1" customWidth="1"/>
    <col min="24" max="24" width="22.77734375" customWidth="1"/>
  </cols>
  <sheetData>
    <row r="1" spans="1:30" ht="19.5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37033</v>
      </c>
      <c r="G1" s="769" t="str">
        <f>CHOOSE(WEEKDAY(F1),"SUN","MON","TUE","WED","THU","FRI","SAT")</f>
        <v>TUE</v>
      </c>
      <c r="H1" s="591" t="s">
        <v>257</v>
      </c>
      <c r="I1" s="592"/>
      <c r="P1" s="1226" t="s">
        <v>11</v>
      </c>
      <c r="Q1" s="1227" t="s">
        <v>11</v>
      </c>
      <c r="R1" s="1228" t="s">
        <v>740</v>
      </c>
      <c r="S1" s="1229"/>
      <c r="T1" s="1230" t="s">
        <v>11</v>
      </c>
      <c r="U1" s="1231" t="s">
        <v>807</v>
      </c>
      <c r="V1" s="1232" t="s">
        <v>11</v>
      </c>
      <c r="W1" s="1233"/>
      <c r="X1" s="1284" t="s">
        <v>11</v>
      </c>
      <c r="Y1" s="587"/>
      <c r="Z1" s="587"/>
      <c r="AA1" s="588" t="s">
        <v>172</v>
      </c>
      <c r="AB1" s="589">
        <f>Weather_Input!A5</f>
        <v>37033</v>
      </c>
      <c r="AC1" s="769" t="str">
        <f>CHOOSE(WEEKDAY(AB1),"SUN","MON","TUE","WED","THU","FRI","SAT")</f>
        <v>TUE</v>
      </c>
      <c r="AD1" s="592"/>
    </row>
    <row r="2" spans="1:30" ht="15.75">
      <c r="A2" s="257" t="s">
        <v>11</v>
      </c>
      <c r="B2" s="608" t="s">
        <v>688</v>
      </c>
      <c r="C2" s="960">
        <v>51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540"/>
      <c r="V2" s="562" t="s">
        <v>11</v>
      </c>
      <c r="W2" s="1219" t="s">
        <v>11</v>
      </c>
      <c r="X2" s="258" t="s">
        <v>534</v>
      </c>
      <c r="Y2" s="1248" t="s">
        <v>408</v>
      </c>
      <c r="Z2" s="1254" t="s">
        <v>175</v>
      </c>
      <c r="AA2" s="1255" t="s">
        <v>23</v>
      </c>
      <c r="AB2" s="1254" t="s">
        <v>175</v>
      </c>
      <c r="AC2" s="1248" t="s">
        <v>23</v>
      </c>
      <c r="AD2" s="1256" t="s">
        <v>175</v>
      </c>
    </row>
    <row r="3" spans="1:30" ht="15.75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5">
        <f>PGL_Requirements!Y7/1000</f>
        <v>0</v>
      </c>
      <c r="R3" s="983" t="s">
        <v>11</v>
      </c>
      <c r="S3" s="312"/>
      <c r="T3" s="360" t="s">
        <v>474</v>
      </c>
      <c r="U3" s="323">
        <f>PGL_Supplies!I7/1000</f>
        <v>15</v>
      </c>
      <c r="V3" s="387" t="s">
        <v>11</v>
      </c>
      <c r="W3" s="1219" t="s">
        <v>11</v>
      </c>
      <c r="X3" s="1285" t="s">
        <v>11</v>
      </c>
      <c r="Y3" s="961">
        <f>Weather_Input!B5</f>
        <v>61</v>
      </c>
      <c r="Z3" s="962">
        <f>Weather_Input!C5</f>
        <v>44</v>
      </c>
      <c r="AA3" s="603" t="s">
        <v>11</v>
      </c>
      <c r="AB3" s="268" t="s">
        <v>11</v>
      </c>
      <c r="AC3" s="268"/>
      <c r="AD3" s="266"/>
    </row>
    <row r="4" spans="1:30" ht="16.5" thickBot="1">
      <c r="A4" s="257" t="s">
        <v>11</v>
      </c>
      <c r="B4" s="961">
        <f>Weather_Input!B5</f>
        <v>61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804</v>
      </c>
      <c r="Q4" s="1276">
        <v>35</v>
      </c>
      <c r="R4" s="121"/>
      <c r="S4" s="1008"/>
      <c r="T4" s="536" t="s">
        <v>475</v>
      </c>
      <c r="U4" s="1297">
        <v>0</v>
      </c>
      <c r="V4" s="525" t="s">
        <v>11</v>
      </c>
      <c r="W4" s="1220"/>
      <c r="X4" s="1286" t="s">
        <v>418</v>
      </c>
      <c r="Y4" s="1157" t="s">
        <v>11</v>
      </c>
      <c r="Z4" s="965">
        <f>PGL_Deliveries!C5/1000</f>
        <v>280</v>
      </c>
      <c r="AA4" s="601"/>
      <c r="AB4" s="268"/>
      <c r="AC4" s="601"/>
      <c r="AD4" s="266"/>
    </row>
    <row r="5" spans="1:30" ht="16.5" thickBot="1">
      <c r="A5" s="257" t="s">
        <v>627</v>
      </c>
      <c r="B5" s="963"/>
      <c r="C5" s="964">
        <f>PGL_Requirements!H7/1000</f>
        <v>24.673999999999999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173.40199999999999</v>
      </c>
      <c r="R5" s="1114" t="s">
        <v>11</v>
      </c>
      <c r="S5" s="348"/>
      <c r="T5" s="1298" t="s">
        <v>451</v>
      </c>
      <c r="U5" s="998">
        <f>U3+U4</f>
        <v>15</v>
      </c>
      <c r="V5" s="565" t="s">
        <v>11</v>
      </c>
      <c r="W5" s="1221" t="s">
        <v>11</v>
      </c>
      <c r="X5" s="121" t="s">
        <v>765</v>
      </c>
      <c r="Y5" s="1158"/>
      <c r="Z5" s="1130">
        <f>PGL_Requirements!X7/1000</f>
        <v>0</v>
      </c>
      <c r="AA5" s="1158"/>
      <c r="AB5" s="1159"/>
      <c r="AC5" s="121"/>
      <c r="AD5" s="118"/>
    </row>
    <row r="6" spans="1:30" ht="16.5" thickBot="1">
      <c r="A6" s="261" t="s">
        <v>418</v>
      </c>
      <c r="B6" s="1157" t="s">
        <v>11</v>
      </c>
      <c r="C6" s="965">
        <f>PGL_Deliveries!C5/1000</f>
        <v>280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138.40199999999999</v>
      </c>
      <c r="R6" s="1119" t="s">
        <v>11</v>
      </c>
      <c r="S6" s="530"/>
      <c r="T6" s="638" t="s">
        <v>11</v>
      </c>
      <c r="U6" s="1006" t="s">
        <v>37</v>
      </c>
      <c r="V6" s="1007"/>
      <c r="W6" s="1222"/>
      <c r="X6" s="497"/>
      <c r="Y6" s="496" t="s">
        <v>11</v>
      </c>
      <c r="Z6" s="496" t="s">
        <v>11</v>
      </c>
      <c r="AA6" s="497"/>
      <c r="AB6" s="497"/>
      <c r="AC6" s="497"/>
      <c r="AD6" s="498"/>
    </row>
    <row r="7" spans="1:30" ht="16.5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3"/>
      <c r="X7" s="1098" t="s">
        <v>476</v>
      </c>
      <c r="Y7" s="292" t="s">
        <v>11</v>
      </c>
      <c r="Z7" s="613">
        <f>Q2</f>
        <v>0</v>
      </c>
      <c r="AA7" s="618"/>
      <c r="AB7" s="268"/>
      <c r="AC7" s="618"/>
      <c r="AD7" s="266" t="s">
        <v>11</v>
      </c>
    </row>
    <row r="8" spans="1:30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0.5</v>
      </c>
      <c r="V8" s="380" t="s">
        <v>11</v>
      </c>
      <c r="W8" s="1213"/>
      <c r="X8" s="121" t="s">
        <v>740</v>
      </c>
      <c r="Y8" s="1110"/>
      <c r="Z8" s="1126">
        <f>+Q5</f>
        <v>173.40199999999999</v>
      </c>
      <c r="AA8" s="1110"/>
      <c r="AB8" s="1113"/>
      <c r="AC8" s="433"/>
      <c r="AD8" s="284" t="s">
        <v>11</v>
      </c>
    </row>
    <row r="9" spans="1:30">
      <c r="A9" s="424" t="s">
        <v>794</v>
      </c>
      <c r="B9" s="292" t="s">
        <v>11</v>
      </c>
      <c r="C9" s="613">
        <f>B31</f>
        <v>35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</v>
      </c>
      <c r="V9" s="323"/>
      <c r="W9" s="1213"/>
      <c r="X9" s="1287" t="s">
        <v>820</v>
      </c>
      <c r="Y9" s="281" t="s">
        <v>11</v>
      </c>
      <c r="Z9" s="613">
        <f>Q13</f>
        <v>0</v>
      </c>
      <c r="AA9" s="601"/>
      <c r="AB9" s="613" t="s">
        <v>11</v>
      </c>
      <c r="AC9" s="601"/>
      <c r="AD9" s="284" t="s">
        <v>11</v>
      </c>
    </row>
    <row r="10" spans="1:30" ht="15.75" thickBot="1">
      <c r="A10" s="248" t="s">
        <v>740</v>
      </c>
      <c r="B10" s="1110"/>
      <c r="C10" s="1126">
        <f>+B34</f>
        <v>137.80199999999999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828</v>
      </c>
      <c r="U10" s="1014">
        <f>PGL_Supplies!AD7/1000</f>
        <v>16.5</v>
      </c>
      <c r="V10" s="526"/>
      <c r="W10" s="1214"/>
      <c r="X10" s="1287" t="s">
        <v>60</v>
      </c>
      <c r="Y10" s="281" t="s">
        <v>11</v>
      </c>
      <c r="Z10" s="613">
        <f>Q21</f>
        <v>-149.61000000000001</v>
      </c>
      <c r="AA10" s="601"/>
      <c r="AB10" s="268" t="s">
        <v>11</v>
      </c>
      <c r="AC10" s="601"/>
      <c r="AD10" s="266"/>
    </row>
    <row r="11" spans="1:30" ht="16.5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</v>
      </c>
      <c r="V11" s="998" t="s">
        <v>11</v>
      </c>
      <c r="W11" s="531"/>
      <c r="X11" s="1287" t="s">
        <v>821</v>
      </c>
      <c r="Y11" s="281" t="s">
        <v>11</v>
      </c>
      <c r="Z11" s="613">
        <f>Q30</f>
        <v>0</v>
      </c>
      <c r="AA11" s="601"/>
      <c r="AB11" s="268" t="s">
        <v>11</v>
      </c>
      <c r="AC11" s="601"/>
      <c r="AD11" s="266"/>
    </row>
    <row r="12" spans="1:30" ht="16.5" thickBot="1">
      <c r="A12" s="492" t="s">
        <v>560</v>
      </c>
      <c r="B12" s="281" t="s">
        <v>11</v>
      </c>
      <c r="C12" s="613">
        <f>B55</f>
        <v>-149.61000000000001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8" t="s">
        <v>11</v>
      </c>
      <c r="U12" s="1277" t="s">
        <v>743</v>
      </c>
      <c r="V12" s="358"/>
      <c r="W12" s="1218"/>
      <c r="X12" s="1287" t="s">
        <v>822</v>
      </c>
      <c r="Y12" s="285" t="s">
        <v>11</v>
      </c>
      <c r="Z12" s="613">
        <f>Q36-U23</f>
        <v>148.30000000000001</v>
      </c>
      <c r="AA12" s="601"/>
      <c r="AB12" s="268" t="s">
        <v>11</v>
      </c>
      <c r="AC12" s="601"/>
      <c r="AD12" s="266"/>
    </row>
    <row r="13" spans="1:30" ht="16.5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540" t="s">
        <v>11</v>
      </c>
      <c r="V13" s="1082" t="s">
        <v>11</v>
      </c>
      <c r="W13" s="1223" t="s">
        <v>11</v>
      </c>
      <c r="X13" s="1287" t="s">
        <v>421</v>
      </c>
      <c r="Y13" s="281" t="s">
        <v>11</v>
      </c>
      <c r="Z13" s="966">
        <f>U5</f>
        <v>15</v>
      </c>
      <c r="AA13" s="601"/>
      <c r="AB13" s="268" t="s">
        <v>11</v>
      </c>
      <c r="AC13" s="601"/>
      <c r="AD13" s="266"/>
    </row>
    <row r="14" spans="1:30" ht="16.5" thickBot="1">
      <c r="A14" s="492" t="s">
        <v>562</v>
      </c>
      <c r="B14" s="285" t="s">
        <v>11</v>
      </c>
      <c r="C14" s="613">
        <f>I65</f>
        <v>148.30000000000001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4"/>
      <c r="X14" s="1287" t="s">
        <v>823</v>
      </c>
      <c r="Y14" s="281" t="s">
        <v>171</v>
      </c>
      <c r="Z14" s="613">
        <f>U11</f>
        <v>16</v>
      </c>
      <c r="AA14" s="601"/>
      <c r="AB14" s="268" t="s">
        <v>11</v>
      </c>
      <c r="AC14" s="601"/>
      <c r="AD14" s="266"/>
    </row>
    <row r="15" spans="1:30" ht="16.5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80" t="s">
        <v>695</v>
      </c>
      <c r="U15" s="1009"/>
      <c r="V15" s="1009"/>
      <c r="W15" s="1244"/>
      <c r="X15" s="1287" t="s">
        <v>564</v>
      </c>
      <c r="Y15" s="281" t="s">
        <v>171</v>
      </c>
      <c r="Z15" s="966">
        <f>PGL_Supplies!B7/1000</f>
        <v>0</v>
      </c>
      <c r="AA15" s="601"/>
      <c r="AB15" s="268" t="s">
        <v>11</v>
      </c>
      <c r="AC15" s="601"/>
      <c r="AD15" s="266"/>
    </row>
    <row r="16" spans="1:30" ht="16.5" thickBot="1">
      <c r="A16" s="492" t="s">
        <v>563</v>
      </c>
      <c r="B16" s="281" t="s">
        <v>171</v>
      </c>
      <c r="C16" s="613">
        <f>+B64</f>
        <v>16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81" t="s">
        <v>11</v>
      </c>
      <c r="U16" s="1234" t="s">
        <v>476</v>
      </c>
      <c r="V16" s="1282"/>
      <c r="W16" s="1283"/>
      <c r="X16" s="1279" t="s">
        <v>565</v>
      </c>
      <c r="Y16" s="614" t="s">
        <v>11</v>
      </c>
      <c r="Z16" s="1130">
        <f>PGL_Requirements!G7/1000</f>
        <v>9.1999999999999993</v>
      </c>
      <c r="AA16" s="601"/>
      <c r="AB16" s="268"/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3"/>
      <c r="T17" s="541" t="s">
        <v>477</v>
      </c>
      <c r="U17" s="542"/>
      <c r="V17" s="568" t="s">
        <v>11</v>
      </c>
      <c r="W17" s="1225">
        <f>+PGL_Supplies!Z7/1000</f>
        <v>40.200000000000003</v>
      </c>
      <c r="X17" s="1288" t="s">
        <v>695</v>
      </c>
      <c r="Y17" s="616" t="s">
        <v>11</v>
      </c>
      <c r="Z17" s="510">
        <f>SUM(Z7:Z15)-Z16</f>
        <v>193.892</v>
      </c>
      <c r="AA17" s="620" t="s">
        <v>11</v>
      </c>
      <c r="AB17" s="510" t="s">
        <v>11</v>
      </c>
      <c r="AC17" s="620" t="s">
        <v>11</v>
      </c>
      <c r="AD17" s="621"/>
    </row>
    <row r="18" spans="1:30" ht="16.5" thickBot="1">
      <c r="A18" s="291" t="s">
        <v>565</v>
      </c>
      <c r="B18" s="614" t="s">
        <v>11</v>
      </c>
      <c r="C18" s="1130">
        <f>PGL_Requirements!G7/1000</f>
        <v>9.1999999999999993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3"/>
      <c r="T18" s="638" t="s">
        <v>11</v>
      </c>
      <c r="U18" s="1234" t="s">
        <v>808</v>
      </c>
      <c r="V18" s="1007"/>
      <c r="W18" s="1222"/>
      <c r="X18" s="496" t="s">
        <v>38</v>
      </c>
      <c r="Y18" s="504" t="s">
        <v>11</v>
      </c>
      <c r="Z18" s="967"/>
      <c r="AA18" s="506"/>
      <c r="AB18" s="506" t="s">
        <v>819</v>
      </c>
      <c r="AC18" s="506"/>
      <c r="AD18" s="968"/>
    </row>
    <row r="19" spans="1:30" ht="16.5" thickBot="1">
      <c r="A19" s="615" t="s">
        <v>695</v>
      </c>
      <c r="B19" s="616" t="s">
        <v>11</v>
      </c>
      <c r="C19" s="510">
        <f>SUM(C9:C17)-C18</f>
        <v>193.292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0.61</v>
      </c>
      <c r="R19" s="312"/>
      <c r="S19" s="1213"/>
      <c r="T19" s="1235" t="s">
        <v>809</v>
      </c>
      <c r="U19" s="1299">
        <v>0</v>
      </c>
      <c r="V19" s="1096"/>
      <c r="W19" s="1236"/>
      <c r="X19" s="1287" t="s">
        <v>628</v>
      </c>
      <c r="Y19" s="281" t="s">
        <v>11</v>
      </c>
      <c r="Z19" s="969">
        <f>-PGL_Supplies!J7/1000</f>
        <v>0</v>
      </c>
      <c r="AA19" s="265"/>
      <c r="AB19" s="268"/>
      <c r="AC19" s="265"/>
      <c r="AD19" s="259"/>
    </row>
    <row r="20" spans="1:30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4"/>
      <c r="T20" s="121"/>
      <c r="U20" s="121"/>
      <c r="V20" s="121"/>
      <c r="W20" s="1247"/>
      <c r="X20" s="1287" t="s">
        <v>424</v>
      </c>
      <c r="Y20" s="281" t="s">
        <v>11</v>
      </c>
      <c r="Z20" s="613">
        <f>Z4+Z5-Z17</f>
        <v>86.108000000000004</v>
      </c>
      <c r="AA20" s="265"/>
      <c r="AB20" s="613" t="s">
        <v>11</v>
      </c>
      <c r="AC20" s="265"/>
      <c r="AD20" s="295"/>
    </row>
    <row r="21" spans="1:30" ht="16.5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518">
        <f>-Q15+Q16+Q18-Q19-Q17+Q22+Q23</f>
        <v>-149.61000000000001</v>
      </c>
      <c r="R21" s="519"/>
      <c r="S21" s="531"/>
      <c r="T21" s="1237" t="s">
        <v>810</v>
      </c>
      <c r="U21" s="1276">
        <v>0</v>
      </c>
      <c r="V21" s="1111"/>
      <c r="W21" s="435"/>
      <c r="X21" s="1289" t="s">
        <v>425</v>
      </c>
      <c r="Y21" s="281" t="s">
        <v>11</v>
      </c>
      <c r="Z21" s="613"/>
      <c r="AA21" s="296" t="s">
        <v>11</v>
      </c>
      <c r="AB21" s="970"/>
      <c r="AC21" s="296" t="s">
        <v>11</v>
      </c>
      <c r="AD21" s="259"/>
    </row>
    <row r="22" spans="1:30" ht="16.5" thickBot="1">
      <c r="A22" s="492" t="s">
        <v>424</v>
      </c>
      <c r="B22" s="281" t="s">
        <v>11</v>
      </c>
      <c r="C22" s="613">
        <f>C6+C7-C19</f>
        <v>86.707999999999998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5"/>
      <c r="T22" s="1237" t="s">
        <v>811</v>
      </c>
      <c r="U22" s="1276">
        <v>0</v>
      </c>
      <c r="V22" s="1111"/>
      <c r="W22" s="435"/>
      <c r="X22" s="1287" t="s">
        <v>426</v>
      </c>
      <c r="Y22" s="971" t="s">
        <v>11</v>
      </c>
      <c r="Z22" s="972">
        <f>SUM(Q20+Q22+Q23)</f>
        <v>2.25</v>
      </c>
      <c r="AA22" s="973"/>
      <c r="AB22" s="270"/>
      <c r="AC22" s="974" t="s">
        <v>11</v>
      </c>
      <c r="AD22" s="975" t="s">
        <v>11</v>
      </c>
    </row>
    <row r="23" spans="1:30" ht="18" customHeight="1" thickTop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9">
        <v>0</v>
      </c>
      <c r="R23" s="549"/>
      <c r="S23" s="1216"/>
      <c r="T23" s="1238" t="s">
        <v>812</v>
      </c>
      <c r="U23" s="1300">
        <v>24.673999999999999</v>
      </c>
      <c r="V23" s="1009"/>
      <c r="W23" s="1239"/>
      <c r="X23" s="1290" t="s">
        <v>427</v>
      </c>
      <c r="Y23" s="976" t="s">
        <v>11</v>
      </c>
      <c r="Z23" s="977">
        <f>SUM(Z20:Z22)</f>
        <v>88.358000000000004</v>
      </c>
      <c r="AA23" s="976" t="s">
        <v>11</v>
      </c>
      <c r="AB23" s="977" t="s">
        <v>11</v>
      </c>
      <c r="AC23" s="978" t="s">
        <v>11</v>
      </c>
      <c r="AD23" s="979" t="s">
        <v>11</v>
      </c>
    </row>
    <row r="24" spans="1:30" ht="17.25" thickTop="1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10" t="s">
        <v>792</v>
      </c>
      <c r="Q24" s="1190">
        <f>SUM(Q2)</f>
        <v>0</v>
      </c>
      <c r="R24" s="1211"/>
      <c r="S24" s="1212"/>
      <c r="T24" s="550" t="s">
        <v>813</v>
      </c>
      <c r="U24" s="1299">
        <f>SUM(U21:U23)</f>
        <v>24.673999999999999</v>
      </c>
      <c r="V24" s="1096"/>
      <c r="W24" s="1076"/>
      <c r="X24" s="1291" t="s">
        <v>731</v>
      </c>
      <c r="Y24" s="980"/>
      <c r="Z24" s="969">
        <f>SUM(-PGL_Supplies!M7/1000)</f>
        <v>0</v>
      </c>
      <c r="AA24" s="1101"/>
      <c r="AB24" s="1102"/>
      <c r="AC24" s="513"/>
      <c r="AD24" s="985"/>
    </row>
    <row r="25" spans="1:30" ht="17.25" thickTop="1" thickBot="1">
      <c r="A25" s="636" t="s">
        <v>427</v>
      </c>
      <c r="B25" s="976" t="s">
        <v>11</v>
      </c>
      <c r="C25" s="977">
        <f>SUM(C22:C24)</f>
        <v>88.957999999999998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2"/>
      <c r="T25" s="1240" t="s">
        <v>814</v>
      </c>
      <c r="U25" s="1301"/>
      <c r="V25" s="1241"/>
      <c r="W25" s="1242"/>
      <c r="X25" s="1287" t="s">
        <v>435</v>
      </c>
      <c r="Y25" s="986"/>
      <c r="Z25" s="983">
        <f>PGL_Requirements!O7/1000</f>
        <v>0</v>
      </c>
      <c r="AA25" s="306"/>
      <c r="AB25" s="964" t="s">
        <v>11</v>
      </c>
      <c r="AC25" s="513"/>
      <c r="AD25" s="982" t="s">
        <v>11</v>
      </c>
    </row>
    <row r="26" spans="1:30" ht="16.5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3"/>
      <c r="T26" s="121"/>
      <c r="U26" s="1131"/>
      <c r="V26" s="121"/>
      <c r="W26" s="160"/>
      <c r="X26" s="1287" t="s">
        <v>436</v>
      </c>
      <c r="Y26" s="988"/>
      <c r="Z26" s="1253">
        <f>-PGL_Supplies!L7/1000</f>
        <v>-40.630000000000003</v>
      </c>
      <c r="AA26" s="306"/>
      <c r="AB26" s="983" t="s">
        <v>11</v>
      </c>
      <c r="AC26" s="513"/>
      <c r="AD26" s="989" t="s">
        <v>11</v>
      </c>
    </row>
    <row r="27" spans="1:30" ht="15.75" customHeight="1" thickBot="1">
      <c r="A27" s="492" t="s">
        <v>435</v>
      </c>
      <c r="B27" s="986"/>
      <c r="C27" s="983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805</v>
      </c>
      <c r="Q27" s="1003">
        <f>PGL_Supplies!D7/1000</f>
        <v>0</v>
      </c>
      <c r="R27" s="593"/>
      <c r="S27" s="1213"/>
      <c r="T27" s="1235" t="s">
        <v>815</v>
      </c>
      <c r="U27" s="1299"/>
      <c r="V27" s="1096"/>
      <c r="W27" s="1236"/>
      <c r="X27" s="1292" t="s">
        <v>196</v>
      </c>
      <c r="Y27" s="1249"/>
      <c r="Z27" s="1130">
        <f>-PGL_Supplies!AC7/1000</f>
        <v>-48.332999999999998</v>
      </c>
      <c r="AA27" s="1250"/>
      <c r="AB27" s="1130">
        <f>-PGL_Supplies!AR7/1000</f>
        <v>0</v>
      </c>
      <c r="AC27" s="1251"/>
      <c r="AD27" s="1252">
        <f>-PGL_Supplies!AR7/1000</f>
        <v>0</v>
      </c>
    </row>
    <row r="28" spans="1:30" ht="16.5" thickBot="1">
      <c r="A28" s="492" t="s">
        <v>436</v>
      </c>
      <c r="B28" s="988"/>
      <c r="C28" s="1253">
        <f>-PGL_Supplies!L7/1000</f>
        <v>-40.630000000000003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51"/>
      <c r="S28" s="1213"/>
      <c r="T28" s="121"/>
      <c r="U28" s="1131"/>
      <c r="V28" s="121"/>
      <c r="W28" s="160"/>
      <c r="X28" s="328" t="s">
        <v>201</v>
      </c>
      <c r="Y28" s="327"/>
      <c r="Z28" s="1259"/>
      <c r="AA28" s="1260"/>
      <c r="AB28" s="330"/>
      <c r="AC28" s="330"/>
      <c r="AD28" s="330"/>
    </row>
    <row r="29" spans="1:30" ht="15.75" thickBot="1">
      <c r="A29" s="424" t="s">
        <v>196</v>
      </c>
      <c r="B29" s="990"/>
      <c r="C29" s="983">
        <f>-PGL_Supplies!AC7/1000</f>
        <v>-48.332999999999998</v>
      </c>
      <c r="D29" s="984" t="s">
        <v>11</v>
      </c>
      <c r="E29" s="983">
        <f>-PGL_Supplies!AC7/1000</f>
        <v>-48.332999999999998</v>
      </c>
      <c r="F29" s="306"/>
      <c r="G29" s="983">
        <f>-PGL_Supplies!AC7/1000</f>
        <v>-48.332999999999998</v>
      </c>
      <c r="H29" s="513"/>
      <c r="I29" s="985">
        <f>-PGL_Supplies!AC7/1000</f>
        <v>-48.332999999999998</v>
      </c>
      <c r="L29" s="1098"/>
      <c r="P29" s="424" t="s">
        <v>806</v>
      </c>
      <c r="Q29" s="323">
        <f>PGL_Supplies!S7/1000</f>
        <v>0</v>
      </c>
      <c r="R29" s="351"/>
      <c r="S29" s="1213"/>
      <c r="T29" s="1243" t="s">
        <v>468</v>
      </c>
      <c r="U29" s="1300"/>
      <c r="V29" s="1009"/>
      <c r="W29" s="1244"/>
      <c r="X29" s="1291" t="s">
        <v>459</v>
      </c>
      <c r="Y29" s="1205"/>
      <c r="Z29" s="534"/>
      <c r="AA29" s="1262" t="s">
        <v>824</v>
      </c>
      <c r="AB29" s="121"/>
      <c r="AC29" s="1241"/>
      <c r="AD29" s="1264"/>
    </row>
    <row r="30" spans="1:30" ht="16.5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6" t="s">
        <v>816</v>
      </c>
      <c r="U30" s="1276"/>
      <c r="V30" s="1111"/>
      <c r="W30" s="1217"/>
      <c r="X30" s="1293" t="s">
        <v>460</v>
      </c>
      <c r="Y30" s="348"/>
      <c r="Z30" s="1213"/>
      <c r="AA30" s="1266" t="s">
        <v>468</v>
      </c>
      <c r="AB30" s="1113"/>
      <c r="AC30" s="1111"/>
      <c r="AD30" s="1008"/>
    </row>
    <row r="31" spans="1:30" ht="16.5" thickBot="1">
      <c r="A31" s="424" t="s">
        <v>791</v>
      </c>
      <c r="B31" s="323">
        <v>35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420</v>
      </c>
      <c r="Q31" s="1203"/>
      <c r="R31" s="358"/>
      <c r="S31" s="359"/>
      <c r="T31" s="159" t="s">
        <v>817</v>
      </c>
      <c r="U31" s="1302"/>
      <c r="V31" s="1109"/>
      <c r="W31" s="1245"/>
      <c r="X31" s="1294" t="s">
        <v>461</v>
      </c>
      <c r="Y31" s="312"/>
      <c r="Z31" s="1263"/>
      <c r="AA31" s="1266" t="s">
        <v>469</v>
      </c>
      <c r="AB31" s="1113"/>
      <c r="AC31" s="1111"/>
      <c r="AD31" s="1008"/>
    </row>
    <row r="32" spans="1:30" ht="16.5" thickBot="1">
      <c r="A32" s="424" t="s">
        <v>793</v>
      </c>
      <c r="B32" s="987">
        <f>PGL_Requirements!J7/1000</f>
        <v>0.6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818</v>
      </c>
      <c r="U32" s="1303"/>
      <c r="V32" s="429"/>
      <c r="W32" s="1076"/>
      <c r="X32" s="1294" t="s">
        <v>462</v>
      </c>
      <c r="Y32" s="312"/>
      <c r="Z32" s="1213"/>
      <c r="AA32" s="1267" t="s">
        <v>470</v>
      </c>
      <c r="AB32" s="1113"/>
      <c r="AC32" s="1111"/>
      <c r="AD32" s="1008"/>
    </row>
    <row r="33" spans="1:30" ht="15.75" thickBot="1">
      <c r="A33" s="1127" t="s">
        <v>4</v>
      </c>
      <c r="B33" s="323">
        <f>PGL_Supplies!Y7/1000</f>
        <v>173.40199999999999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13.3</v>
      </c>
      <c r="R33" s="1003" t="s">
        <v>11</v>
      </c>
      <c r="S33" s="1004" t="s">
        <v>11</v>
      </c>
      <c r="T33" s="121"/>
      <c r="U33" s="121"/>
      <c r="V33" s="121"/>
      <c r="W33" s="160"/>
      <c r="X33" s="1294" t="s">
        <v>463</v>
      </c>
      <c r="Y33" s="312"/>
      <c r="Z33" s="1213"/>
      <c r="AA33" s="1267" t="s">
        <v>402</v>
      </c>
      <c r="AB33" s="1113"/>
      <c r="AC33" s="1111"/>
      <c r="AD33" s="1008"/>
    </row>
    <row r="34" spans="1:30" ht="16.5" thickBot="1">
      <c r="A34" s="558" t="s">
        <v>442</v>
      </c>
      <c r="B34" s="1118">
        <f>+B33-B32-B31</f>
        <v>137.80199999999999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152.17400000000001</v>
      </c>
      <c r="R34" s="1003" t="s">
        <v>11</v>
      </c>
      <c r="S34" s="1004" t="s">
        <v>11</v>
      </c>
      <c r="T34" s="121"/>
      <c r="U34" s="121"/>
      <c r="V34" s="121"/>
      <c r="W34" s="160"/>
      <c r="X34" s="1295" t="s">
        <v>464</v>
      </c>
      <c r="Y34" s="312"/>
      <c r="Z34" s="1213"/>
      <c r="AA34" s="1268" t="s">
        <v>471</v>
      </c>
      <c r="AB34" s="1113"/>
      <c r="AC34" s="1111"/>
      <c r="AD34" s="1008"/>
    </row>
    <row r="35" spans="1:30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7.5</v>
      </c>
      <c r="R35" s="1003" t="s">
        <v>11</v>
      </c>
      <c r="S35" s="1008"/>
      <c r="T35" s="121"/>
      <c r="U35" s="121"/>
      <c r="V35" s="121"/>
      <c r="W35" s="160"/>
      <c r="X35" s="1294" t="s">
        <v>465</v>
      </c>
      <c r="Y35" s="312"/>
      <c r="Z35" s="1213"/>
      <c r="AA35" s="593" t="s">
        <v>472</v>
      </c>
      <c r="AB35" s="121"/>
      <c r="AC35" s="1204"/>
      <c r="AD35" s="1265"/>
    </row>
    <row r="36" spans="1:30" ht="16.5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9" t="s">
        <v>690</v>
      </c>
      <c r="Q36" s="1299">
        <f>-Q32+Q33+Q34+Q35</f>
        <v>172.97400000000002</v>
      </c>
      <c r="R36" s="1096"/>
      <c r="S36" s="1079" t="s">
        <v>11</v>
      </c>
      <c r="T36" s="121"/>
      <c r="U36" s="121"/>
      <c r="V36" s="121"/>
      <c r="W36" s="160"/>
      <c r="X36" s="1296" t="s">
        <v>466</v>
      </c>
      <c r="Y36" s="400"/>
      <c r="Z36" s="535"/>
      <c r="AA36" s="550" t="s">
        <v>223</v>
      </c>
      <c r="AB36" s="429"/>
      <c r="AC36" s="429"/>
      <c r="AD36" s="431"/>
    </row>
    <row r="37" spans="1:30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781</v>
      </c>
      <c r="Q37" s="1082"/>
      <c r="R37" s="1082"/>
      <c r="S37" s="1080" t="s">
        <v>11</v>
      </c>
      <c r="T37" s="121"/>
      <c r="U37" s="121"/>
      <c r="V37" s="121"/>
      <c r="W37" s="121"/>
      <c r="X37" s="1098" t="s">
        <v>11</v>
      </c>
      <c r="Y37" s="121"/>
      <c r="Z37" s="349"/>
      <c r="AA37" s="1261"/>
      <c r="AB37" s="121"/>
      <c r="AC37" s="121"/>
      <c r="AD37" s="118"/>
    </row>
    <row r="38" spans="1:30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782</v>
      </c>
      <c r="Q38" s="1201"/>
      <c r="R38" s="1083" t="s">
        <v>11</v>
      </c>
      <c r="S38" s="1081" t="s">
        <v>11</v>
      </c>
      <c r="T38" s="121"/>
      <c r="U38" s="121"/>
      <c r="V38" s="121"/>
      <c r="W38" s="121"/>
      <c r="X38" s="593" t="s">
        <v>11</v>
      </c>
      <c r="Y38" s="349"/>
      <c r="Z38" s="349"/>
      <c r="AA38" s="1261"/>
      <c r="AB38" s="121"/>
      <c r="AC38" s="121"/>
      <c r="AD38" s="118"/>
    </row>
    <row r="39" spans="1:30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783</v>
      </c>
      <c r="Q39" s="1111"/>
      <c r="R39" s="1110"/>
      <c r="S39" s="1176" t="s">
        <v>11</v>
      </c>
      <c r="T39" s="121" t="s">
        <v>829</v>
      </c>
      <c r="U39" s="121"/>
      <c r="V39" s="121"/>
      <c r="W39" s="121"/>
      <c r="X39" s="1098" t="s">
        <v>11</v>
      </c>
      <c r="Y39" s="349"/>
      <c r="Z39" s="349"/>
      <c r="AA39" s="1258"/>
      <c r="AB39" s="121"/>
      <c r="AC39" s="121"/>
      <c r="AD39" s="118"/>
    </row>
    <row r="40" spans="1:30" ht="16.5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6" t="s">
        <v>3</v>
      </c>
      <c r="Q40" s="1207"/>
      <c r="R40" s="1207"/>
      <c r="S40" s="1208" t="s">
        <v>11</v>
      </c>
      <c r="T40" s="119"/>
      <c r="U40" s="119"/>
      <c r="V40" s="119"/>
      <c r="W40" s="119"/>
      <c r="X40" s="119"/>
      <c r="Y40" s="1018" t="s">
        <v>825</v>
      </c>
      <c r="Z40" s="1270"/>
      <c r="AA40" s="1274" t="s">
        <v>826</v>
      </c>
      <c r="AB40" s="119"/>
      <c r="AC40" s="119" t="s">
        <v>827</v>
      </c>
      <c r="AD40" s="1271"/>
    </row>
    <row r="41" spans="1:30" ht="17.25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72"/>
      <c r="Z41" s="1272"/>
      <c r="AA41" s="1273"/>
      <c r="AB41" s="788"/>
      <c r="AC41" s="788"/>
      <c r="AD41" s="788"/>
    </row>
    <row r="42" spans="1:30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7"/>
      <c r="Z42" s="593"/>
      <c r="AA42" s="1258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7"/>
      <c r="Z43" s="593"/>
      <c r="AA43" s="1258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8"/>
    </row>
    <row r="45" spans="1:30" ht="15.75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5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5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75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75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5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0.61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5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5" thickBot="1">
      <c r="A55" s="517" t="s">
        <v>451</v>
      </c>
      <c r="B55" s="518">
        <f>-B49+B50+B52-B53-B51+B56+B57</f>
        <v>-149.61000000000001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13.3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152.17400000000001</v>
      </c>
      <c r="I57" s="1004" t="s">
        <v>11</v>
      </c>
    </row>
    <row r="58" spans="1:9" ht="15.75" thickBot="1">
      <c r="A58" s="424" t="s">
        <v>792</v>
      </c>
      <c r="B58" s="1190">
        <f>SUM(B31)</f>
        <v>35</v>
      </c>
      <c r="C58" s="593"/>
      <c r="D58" s="1191"/>
      <c r="E58" s="393"/>
      <c r="F58" s="121" t="s">
        <v>622</v>
      </c>
      <c r="G58" s="121"/>
      <c r="H58" s="1003">
        <f>PGL_Supplies!T7/1000</f>
        <v>7.5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24.673999999999999</v>
      </c>
    </row>
    <row r="60" spans="1:9" ht="16.5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SUM(H55:H59)-I55</f>
        <v>172.97400000000002</v>
      </c>
    </row>
    <row r="61" spans="1:9">
      <c r="A61" s="424" t="s">
        <v>454</v>
      </c>
      <c r="B61" s="387">
        <f>PGL_Requirements!F7/1000</f>
        <v>0.5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148.30000000000001</v>
      </c>
    </row>
    <row r="63" spans="1:9" ht="15.75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I59</f>
        <v>24.673999999999999</v>
      </c>
    </row>
    <row r="64" spans="1:9" ht="16.5" thickBot="1">
      <c r="A64" s="798" t="s">
        <v>558</v>
      </c>
      <c r="B64" s="1016">
        <f>+B63+B62-B61+B60</f>
        <v>16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PGL_Requirements!H7/1000</f>
        <v>24.673999999999999</v>
      </c>
    </row>
    <row r="65" spans="1:23" ht="15.75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148.30000000000001</v>
      </c>
      <c r="P65" s="541"/>
      <c r="Q65" s="1022"/>
      <c r="R65" s="1032"/>
      <c r="S65" s="1032"/>
    </row>
    <row r="66" spans="1:23" ht="15.75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0</v>
      </c>
      <c r="P66" s="369"/>
      <c r="Q66" s="1025"/>
      <c r="R66" s="1031"/>
      <c r="S66" s="1031"/>
    </row>
    <row r="67" spans="1:23" ht="16.5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5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5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5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5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1" right="0.25" top="0.5" bottom="0.25" header="0.25" footer="0.25"/>
  <pageSetup paperSize="5" scale="76" orientation="landscape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4" zoomScale="75" workbookViewId="0">
      <selection activeCell="C29" sqref="C29"/>
    </sheetView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TUE</v>
      </c>
      <c r="G1" s="1078">
        <f>Weather_Input!A5</f>
        <v>37033</v>
      </c>
      <c r="H1" s="588" t="s">
        <v>257</v>
      </c>
      <c r="I1" s="592"/>
    </row>
    <row r="2" spans="1:9" ht="20.25">
      <c r="A2" s="641" t="s">
        <v>11</v>
      </c>
      <c r="B2" s="792" t="s">
        <v>554</v>
      </c>
      <c r="C2" s="951">
        <v>51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0.25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61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4" thickBot="1">
      <c r="A5" s="655" t="s">
        <v>138</v>
      </c>
      <c r="B5" s="656"/>
      <c r="C5" s="657">
        <f>NSG_Deliveries!C5/1000</f>
        <v>58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38.5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19.5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4" thickBot="1">
      <c r="A19" s="702" t="s">
        <v>427</v>
      </c>
      <c r="B19" s="703"/>
      <c r="C19" s="704">
        <f>C7+C12</f>
        <v>38.5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435</v>
      </c>
      <c r="B24" s="716"/>
      <c r="C24" s="710">
        <f>NSG_Requirements!H7/1000</f>
        <v>0.91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436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196</v>
      </c>
      <c r="B26" s="716"/>
      <c r="C26" s="710">
        <f>-NSG_Supplies!R7/1000</f>
        <v>-39.408000000000001</v>
      </c>
      <c r="D26" s="717"/>
      <c r="E26" s="710">
        <f>-NSG_Supplies!R7/1000</f>
        <v>-39.408000000000001</v>
      </c>
      <c r="F26" s="717"/>
      <c r="G26" s="710">
        <f>-NSG_Supplies!R7/1000</f>
        <v>-39.408000000000001</v>
      </c>
      <c r="H26" s="716"/>
      <c r="I26" s="775">
        <f>-NSG_Supplies!R7/1000</f>
        <v>-39.408000000000001</v>
      </c>
    </row>
    <row r="27" spans="1:9" ht="20.25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25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25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506</v>
      </c>
      <c r="B41" s="820">
        <f>NSG_Requirements!J7/1000</f>
        <v>0.5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507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504</v>
      </c>
      <c r="B46" s="822">
        <f>B45+B42-B41</f>
        <v>19.5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25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37033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61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280</v>
      </c>
      <c r="C8" s="273">
        <f>NSG_Deliveries!C5/1000</f>
        <v>58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177.76000000000002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39.401999999999987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9.1999999999999993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-223.96200000000002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56.037999999999982</v>
      </c>
      <c r="C20" s="294">
        <f>C8+C18+C19</f>
        <v>58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58.287999999999982</v>
      </c>
      <c r="C23" s="300">
        <f>C20</f>
        <v>58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0.61</v>
      </c>
      <c r="C27" s="309">
        <f>NSG_Requirements!P7/1000</f>
        <v>0</v>
      </c>
      <c r="D27" s="309">
        <f>PGL_Requirements!R7/1000</f>
        <v>0.61</v>
      </c>
      <c r="E27" s="309">
        <f>NSG_Requirements!P7/1000</f>
        <v>0</v>
      </c>
      <c r="F27" s="309">
        <f>PGL_Requirements!R7/1000</f>
        <v>0.61</v>
      </c>
      <c r="G27" s="309">
        <f>NSG_Requirements!P7/1000</f>
        <v>0</v>
      </c>
      <c r="H27" s="310">
        <f>+B27</f>
        <v>0.61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-48.332999999999998</v>
      </c>
      <c r="C32" s="314">
        <f>-NSG_Supplies!R7/1000</f>
        <v>-39.408000000000001</v>
      </c>
      <c r="D32" s="314">
        <f>B32</f>
        <v>-48.332999999999998</v>
      </c>
      <c r="E32" s="314">
        <f>C32</f>
        <v>-39.408000000000001</v>
      </c>
      <c r="F32" s="314">
        <f>B32</f>
        <v>-48.332999999999998</v>
      </c>
      <c r="G32" s="314">
        <f>C32</f>
        <v>-39.408000000000001</v>
      </c>
      <c r="H32" s="319">
        <f>B32</f>
        <v>-48.332999999999998</v>
      </c>
      <c r="I32" s="320">
        <f>C32</f>
        <v>-39.408000000000001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-19.308</v>
      </c>
      <c r="D33" s="314">
        <f>B33</f>
        <v>0</v>
      </c>
      <c r="E33" s="314">
        <f>C33</f>
        <v>-19.308</v>
      </c>
      <c r="F33" s="314">
        <f>B33</f>
        <v>0</v>
      </c>
      <c r="G33" s="314">
        <f>C33</f>
        <v>-19.308</v>
      </c>
      <c r="H33" s="319">
        <f>B33</f>
        <v>0</v>
      </c>
      <c r="I33" s="320">
        <f>C33</f>
        <v>-19.308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0</v>
      </c>
      <c r="C35" s="309">
        <f>NSG_Requirements!H7/1000</f>
        <v>0.91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-40.630000000000003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178.36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0.6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177.76000000000002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173.40199999999999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0.5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39.401999999999987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TUE</v>
      </c>
      <c r="H73" s="405">
        <f>Weather_Input!A5</f>
        <v>37033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-421.64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189.40199999999999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9.1999999999999993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-19.308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0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75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5" thickBot="1">
      <c r="A133" s="558" t="s">
        <v>442</v>
      </c>
      <c r="B133" s="565">
        <f>B126+B127+B130+B131+B132-B125-B128-B129</f>
        <v>0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600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75" thickBot="1">
      <c r="A140" s="424" t="s">
        <v>392</v>
      </c>
      <c r="B140" s="323">
        <f>PGL_Supplies!V7/1000</f>
        <v>178.36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5" thickBot="1">
      <c r="A141" s="558" t="s">
        <v>442</v>
      </c>
      <c r="B141" s="560">
        <f>-B135+B136+B137-B138+B139+B140</f>
        <v>-421.64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75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75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0.5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75" thickBot="1">
      <c r="A156" s="424" t="s">
        <v>455</v>
      </c>
      <c r="B156" s="323">
        <f>PGL_Supplies!G7/1000</f>
        <v>0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75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75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5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75" thickBot="1">
      <c r="A160" s="424" t="s">
        <v>392</v>
      </c>
      <c r="B160" s="610">
        <f>PGL_Supplies!Y7/1000</f>
        <v>173.40199999999999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5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5" thickBot="1">
      <c r="A162" s="398" t="s">
        <v>451</v>
      </c>
      <c r="B162" s="611">
        <f>B154+B156+B158+B159+B160-B153-B155-B157-B161</f>
        <v>189.40199999999999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.75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75">
      <c r="D11" s="196" t="s">
        <v>263</v>
      </c>
    </row>
    <row r="12" spans="1:10" ht="15.75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37034.144002546294</v>
      </c>
      <c r="F22" s="163" t="s">
        <v>270</v>
      </c>
      <c r="G22" s="190">
        <f ca="1">NOW()</f>
        <v>37034.144002546294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75" thickBot="1"/>
    <row r="26" spans="2:9" ht="15.75" thickBot="1">
      <c r="B26" s="208" t="s">
        <v>11</v>
      </c>
      <c r="C26" s="163" t="s">
        <v>274</v>
      </c>
    </row>
    <row r="27" spans="2:9" ht="15.75" thickBot="1">
      <c r="B27" s="208" t="s">
        <v>11</v>
      </c>
      <c r="C27" s="163" t="s">
        <v>275</v>
      </c>
    </row>
    <row r="28" spans="2:9" ht="15.75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75">
      <c r="B34" s="163" t="s">
        <v>277</v>
      </c>
      <c r="E34" s="189">
        <v>0</v>
      </c>
      <c r="F34" t="s">
        <v>278</v>
      </c>
    </row>
    <row r="36" spans="2:8" ht="15.75">
      <c r="B36" s="163" t="s">
        <v>279</v>
      </c>
      <c r="E36" s="189">
        <v>0</v>
      </c>
      <c r="F36" t="s">
        <v>278</v>
      </c>
    </row>
    <row r="38" spans="2:8" ht="15.75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75">
      <c r="E39" s="165">
        <f>+E38+1</f>
        <v>35917</v>
      </c>
      <c r="F39" s="189">
        <v>0</v>
      </c>
      <c r="G39" t="s">
        <v>278</v>
      </c>
    </row>
    <row r="40" spans="2:8" ht="15.75">
      <c r="E40" s="165">
        <f>+E39+1</f>
        <v>35918</v>
      </c>
      <c r="F40" s="189">
        <v>0</v>
      </c>
      <c r="G40" t="s">
        <v>278</v>
      </c>
    </row>
    <row r="41" spans="2:8" ht="15.75">
      <c r="E41" s="165">
        <f>+E40+1</f>
        <v>35919</v>
      </c>
      <c r="F41" s="189">
        <v>0</v>
      </c>
      <c r="G41" t="s">
        <v>278</v>
      </c>
    </row>
    <row r="42" spans="2:8" ht="15.75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37033</v>
      </c>
      <c r="C5" s="15"/>
      <c r="D5" s="22" t="s">
        <v>288</v>
      </c>
      <c r="E5" s="23">
        <f>Weather_Input!B5</f>
        <v>61</v>
      </c>
      <c r="F5" s="24" t="s">
        <v>289</v>
      </c>
      <c r="G5" s="25">
        <f>Weather_Input!H5</f>
        <v>12</v>
      </c>
      <c r="H5" s="26" t="s">
        <v>290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175</v>
      </c>
      <c r="E6" s="23">
        <f>Weather_Input!C5</f>
        <v>44</v>
      </c>
      <c r="F6" s="24" t="s">
        <v>291</v>
      </c>
      <c r="G6" s="25">
        <f>Weather_Input!F5</f>
        <v>97</v>
      </c>
      <c r="H6" s="26" t="s">
        <v>292</v>
      </c>
      <c r="I6" s="27">
        <f ca="1">G6-(VLOOKUP(B5,DD_Normal_Data,CELL("Col",C7),FALSE))</f>
        <v>-86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52.5</v>
      </c>
      <c r="F7" s="24" t="s">
        <v>294</v>
      </c>
      <c r="G7" s="25">
        <f>Weather_Input!G5</f>
        <v>6504</v>
      </c>
      <c r="H7" s="26" t="s">
        <v>294</v>
      </c>
      <c r="I7" s="122">
        <f ca="1">G7-(VLOOKUP(B5,DD_Normal_Data,CELL("Col",D4),FALSE))</f>
        <v>170</v>
      </c>
      <c r="J7" s="122"/>
    </row>
    <row r="8" spans="1:109" ht="15">
      <c r="A8" s="18"/>
      <c r="B8" s="20"/>
      <c r="C8" s="15"/>
      <c r="D8" s="32" t="str">
        <f>IF(Weather_Input!I5=""," ",Weather_Input!I5)</f>
        <v>BECOMING MOSTLY CLOUDY WITH 30% CHANCE OF P.M. SHOWERS. S.W. WINDS 10/20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OVERNIGHT…MOSTLY CLOUDY WITH A 30% CHANCE OF EVENING SHOWERS.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37034</v>
      </c>
      <c r="C10" s="15"/>
      <c r="D10" s="152" t="s">
        <v>288</v>
      </c>
      <c r="E10" s="23">
        <f>Weather_Input!B6</f>
        <v>55</v>
      </c>
      <c r="F10" s="24" t="s">
        <v>289</v>
      </c>
      <c r="G10" s="25">
        <f>IF(E12&lt;65,65-(Weather_Input!B6+Weather_Input!C6)/2,0)</f>
        <v>17</v>
      </c>
      <c r="H10" s="26" t="s">
        <v>290</v>
      </c>
      <c r="I10" s="27">
        <f ca="1">G10-(VLOOKUP(B10,DD_Normal_Data,CELL("Col",B11),FALSE))</f>
        <v>11</v>
      </c>
    </row>
    <row r="11" spans="1:109" ht="15">
      <c r="A11" s="18"/>
      <c r="B11" s="21"/>
      <c r="C11" s="15"/>
      <c r="D11" s="22" t="s">
        <v>175</v>
      </c>
      <c r="E11" s="23">
        <f>Weather_Input!C6</f>
        <v>41</v>
      </c>
      <c r="F11" s="24" t="s">
        <v>291</v>
      </c>
      <c r="G11" s="25">
        <f>IF(DAY(B10)=1,G10,G6+G10)</f>
        <v>114</v>
      </c>
      <c r="H11" s="30" t="s">
        <v>292</v>
      </c>
      <c r="I11" s="27">
        <f ca="1">G11-(VLOOKUP(B10,DD_Normal_Data,CELL("Col",C12),FALSE))</f>
        <v>-75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48</v>
      </c>
      <c r="F12" s="24" t="s">
        <v>294</v>
      </c>
      <c r="G12" s="25">
        <f>IF(AND(DAY(B10)=1,MONTH(B10)=8),G10,G7+G10)</f>
        <v>6521</v>
      </c>
      <c r="H12" s="26" t="s">
        <v>294</v>
      </c>
      <c r="I12" s="27">
        <f ca="1">G12-(VLOOKUP(B10,DD_Normal_Data,CELL("Col",D9),FALSE))</f>
        <v>181</v>
      </c>
    </row>
    <row r="13" spans="1:109" ht="15">
      <c r="A13" s="18"/>
      <c r="B13" s="21"/>
      <c r="C13" s="15"/>
      <c r="D13" s="32" t="str">
        <f>IF(Weather_Input!I6=""," ",Weather_Input!I6)</f>
        <v>MOSTLY CLOUDY AND COOL WITH SHOWERS. CHANCE OF RAIN 60% OVERNIGHT…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CLOUDY WITH SHOWERS. CHANCE OF RAIN 60%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37035</v>
      </c>
      <c r="C15" s="15"/>
      <c r="D15" s="22" t="s">
        <v>288</v>
      </c>
      <c r="E15" s="23">
        <f>Weather_Input!B7</f>
        <v>54</v>
      </c>
      <c r="F15" s="24" t="s">
        <v>289</v>
      </c>
      <c r="G15" s="25">
        <f>IF(E17&lt;65,65-(Weather_Input!B7+Weather_Input!C7)/2,0)</f>
        <v>18</v>
      </c>
      <c r="H15" s="26" t="s">
        <v>290</v>
      </c>
      <c r="I15" s="27">
        <f ca="1">G15-(VLOOKUP(B15,DD_Normal_Data,CELL("Col",B16),FALSE))</f>
        <v>13</v>
      </c>
    </row>
    <row r="16" spans="1:109" ht="15">
      <c r="A16" s="18"/>
      <c r="B16" s="20"/>
      <c r="C16" s="15"/>
      <c r="D16" s="22" t="s">
        <v>175</v>
      </c>
      <c r="E16" s="23">
        <f>Weather_Input!C7</f>
        <v>40</v>
      </c>
      <c r="F16" s="24" t="s">
        <v>291</v>
      </c>
      <c r="G16" s="25">
        <f>IF(DAY(B15)=1,G15,G11+G15)</f>
        <v>132</v>
      </c>
      <c r="H16" s="30" t="s">
        <v>292</v>
      </c>
      <c r="I16" s="27">
        <f ca="1">G16-(VLOOKUP(B15,DD_Normal_Data,CELL("Col",C17),FALSE))</f>
        <v>-62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47</v>
      </c>
      <c r="F17" s="24" t="s">
        <v>294</v>
      </c>
      <c r="G17" s="25">
        <f>IF(AND(DAY(B15)=1,MONTH(B15)=8),G15,G12+G15)</f>
        <v>6539</v>
      </c>
      <c r="H17" s="26" t="s">
        <v>294</v>
      </c>
      <c r="I17" s="27">
        <f ca="1">G17-(VLOOKUP(B15,DD_Normal_Data,CELL("Col",D14),FALSE))</f>
        <v>194</v>
      </c>
    </row>
    <row r="18" spans="1:109" ht="15">
      <c r="A18" s="18"/>
      <c r="B18" s="20"/>
      <c r="C18" s="15"/>
      <c r="D18" s="32" t="str">
        <f>IF(Weather_Input!I7=""," ",Weather_Input!I7)</f>
        <v>SHOWERS LIKELY WITH POSSIBLE P.M.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37036</v>
      </c>
      <c r="C20" s="15"/>
      <c r="D20" s="22" t="s">
        <v>288</v>
      </c>
      <c r="E20" s="23">
        <f>Weather_Input!B8</f>
        <v>58</v>
      </c>
      <c r="F20" s="24" t="s">
        <v>289</v>
      </c>
      <c r="G20" s="25">
        <f>IF(E22&lt;65,65-(Weather_Input!B8+Weather_Input!C8)/2,0)</f>
        <v>14</v>
      </c>
      <c r="H20" s="26" t="s">
        <v>290</v>
      </c>
      <c r="I20" s="27">
        <f ca="1">G20-(VLOOKUP(B20,DD_Normal_Data,CELL("Col",B21),FALSE))</f>
        <v>9</v>
      </c>
    </row>
    <row r="21" spans="1:109" ht="15">
      <c r="A21" s="18"/>
      <c r="B21" s="21"/>
      <c r="C21" s="15"/>
      <c r="D21" s="22" t="s">
        <v>175</v>
      </c>
      <c r="E21" s="23">
        <f>Weather_Input!C8</f>
        <v>44</v>
      </c>
      <c r="F21" s="24" t="s">
        <v>291</v>
      </c>
      <c r="G21" s="25">
        <f>IF(DAY(B20)=1,G20,G16+G20)</f>
        <v>146</v>
      </c>
      <c r="H21" s="30" t="s">
        <v>292</v>
      </c>
      <c r="I21" s="27">
        <f ca="1">G21-(VLOOKUP(B20,DD_Normal_Data,CELL("Col",C22),FALSE))</f>
        <v>-53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51</v>
      </c>
      <c r="F22" s="24" t="s">
        <v>294</v>
      </c>
      <c r="G22" s="25">
        <f>IF(AND(DAY(B20)=1,MONTH(B20)=8),G20,G17+G20)</f>
        <v>6553</v>
      </c>
      <c r="H22" s="26" t="s">
        <v>294</v>
      </c>
      <c r="I22" s="27">
        <f ca="1">G22-(VLOOKUP(B20,DD_Normal_Data,CELL("Col",D19),FALSE))</f>
        <v>203</v>
      </c>
    </row>
    <row r="23" spans="1:109" ht="15">
      <c r="A23" s="18"/>
      <c r="B23" s="21"/>
      <c r="C23" s="15"/>
      <c r="D23" s="32" t="str">
        <f>IF(Weather_Input!I8=""," ",Weather_Input!I8)</f>
        <v>SHOWERS LIKELY.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37037</v>
      </c>
      <c r="C25" s="15"/>
      <c r="D25" s="22" t="s">
        <v>288</v>
      </c>
      <c r="E25" s="23">
        <f>Weather_Input!B9</f>
        <v>64</v>
      </c>
      <c r="F25" s="24" t="s">
        <v>289</v>
      </c>
      <c r="G25" s="25">
        <f>IF(E27&lt;65,65-(Weather_Input!B9+Weather_Input!C9)/2,0)</f>
        <v>10.5</v>
      </c>
      <c r="H25" s="26" t="s">
        <v>290</v>
      </c>
      <c r="I25" s="27">
        <f ca="1">G25-(VLOOKUP(B25,DD_Normal_Data,CELL("Col",B26),FALSE))</f>
        <v>5.5</v>
      </c>
    </row>
    <row r="26" spans="1:109" ht="15">
      <c r="A26" s="18"/>
      <c r="B26" s="21"/>
      <c r="C26" s="15"/>
      <c r="D26" s="22" t="s">
        <v>175</v>
      </c>
      <c r="E26" s="23">
        <f>Weather_Input!C9</f>
        <v>45</v>
      </c>
      <c r="F26" s="24" t="s">
        <v>291</v>
      </c>
      <c r="G26" s="25">
        <f>IF(DAY(B25)=1,G25,G21+G25)</f>
        <v>156.5</v>
      </c>
      <c r="H26" s="30" t="s">
        <v>292</v>
      </c>
      <c r="I26" s="27">
        <f ca="1">G26-(VLOOKUP(B25,DD_Normal_Data,CELL("Col",C27),FALSE))</f>
        <v>-47.5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54.5</v>
      </c>
      <c r="F27" s="24" t="s">
        <v>294</v>
      </c>
      <c r="G27" s="25">
        <f>IF(AND(DAY(B25)=1,MONTH(B25)=8),G25,G22+G25)</f>
        <v>6563.5</v>
      </c>
      <c r="H27" s="26" t="s">
        <v>294</v>
      </c>
      <c r="I27" s="27">
        <f ca="1">G27-(VLOOKUP(B25,DD_Normal_Data,CELL("Col",D24),FALSE))</f>
        <v>208.5</v>
      </c>
    </row>
    <row r="28" spans="1:109" ht="15">
      <c r="A28" s="18"/>
      <c r="B28" s="20"/>
      <c r="C28" s="15"/>
      <c r="D28" s="32" t="str">
        <f>IF(Weather_Input!I9=""," ",Weather_Input!I9)</f>
        <v>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37038</v>
      </c>
      <c r="C30" s="15"/>
      <c r="D30" s="22" t="s">
        <v>288</v>
      </c>
      <c r="E30" s="23">
        <f>Weather_Input!B10</f>
        <v>64</v>
      </c>
      <c r="F30" s="24" t="s">
        <v>289</v>
      </c>
      <c r="G30" s="25">
        <f>IF(E32&lt;65,65-(Weather_Input!B10+Weather_Input!C10)/2,0)</f>
        <v>10.5</v>
      </c>
      <c r="H30" s="26" t="s">
        <v>290</v>
      </c>
      <c r="I30" s="27">
        <f ca="1">G30-(VLOOKUP(B30,DD_Normal_Data,CELL("Col",B31),FALSE))</f>
        <v>5.5</v>
      </c>
    </row>
    <row r="31" spans="1:109" ht="15">
      <c r="A31" s="15"/>
      <c r="B31" s="15"/>
      <c r="C31" s="15"/>
      <c r="D31" s="22" t="s">
        <v>175</v>
      </c>
      <c r="E31" s="23">
        <f>Weather_Input!C10</f>
        <v>45</v>
      </c>
      <c r="F31" s="24" t="s">
        <v>291</v>
      </c>
      <c r="G31" s="25">
        <f>IF(DAY(B30)=1,G30,G26+G30)</f>
        <v>167</v>
      </c>
      <c r="H31" s="30" t="s">
        <v>292</v>
      </c>
      <c r="I31" s="27">
        <f ca="1">G31-(VLOOKUP(B30,DD_Normal_Data,CELL("Col",C32),FALSE))</f>
        <v>-42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54.5</v>
      </c>
      <c r="F32" s="24" t="s">
        <v>294</v>
      </c>
      <c r="G32" s="25">
        <f>IF(AND(DAY(B30)=1,MONTH(B30)=8),G30,G27+G30)</f>
        <v>6574</v>
      </c>
      <c r="H32" s="26" t="s">
        <v>294</v>
      </c>
      <c r="I32" s="27">
        <f ca="1">G32-(VLOOKUP(B30,DD_Normal_Data,CELL("Col",D29),FALSE))</f>
        <v>214</v>
      </c>
    </row>
    <row r="33" spans="1:9" ht="15">
      <c r="A33" s="15"/>
      <c r="B33" s="34"/>
      <c r="C33" s="15"/>
      <c r="D33" s="32" t="str">
        <f>IF(Weather_Input!I10=""," ",Weather_Input!I10)</f>
        <v>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37033</v>
      </c>
      <c r="C36" s="91">
        <f>B10</f>
        <v>37034</v>
      </c>
      <c r="D36" s="91">
        <f>B15</f>
        <v>37035</v>
      </c>
      <c r="E36" s="91">
        <f xml:space="preserve">       B20</f>
        <v>37036</v>
      </c>
      <c r="F36" s="91">
        <f>B25</f>
        <v>37037</v>
      </c>
      <c r="G36" s="91">
        <f>B30</f>
        <v>37038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280</v>
      </c>
      <c r="C37" s="41">
        <f ca="1">(VLOOKUP(C36,PGL_Sendouts,(CELL("COL",PGL_Deliveries!C7))))/1000</f>
        <v>330</v>
      </c>
      <c r="D37" s="41">
        <f ca="1">(VLOOKUP(D36,PGL_Sendouts,(CELL("COL",PGL_Deliveries!C8))))/1000</f>
        <v>350</v>
      </c>
      <c r="E37" s="41">
        <f ca="1">(VLOOKUP(E36,PGL_Sendouts,(CELL("COL",PGL_Deliveries!C9))))/1000</f>
        <v>310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270</v>
      </c>
      <c r="H37" s="14"/>
      <c r="I37" s="15"/>
    </row>
    <row r="38" spans="1:9" ht="15">
      <c r="A38" s="15" t="s">
        <v>299</v>
      </c>
      <c r="B38" s="41">
        <f>PGL_6_Day_Report!D30</f>
        <v>508.03399999999999</v>
      </c>
      <c r="C38" s="41">
        <f>PGL_6_Day_Report!E30</f>
        <v>538.24400000000003</v>
      </c>
      <c r="D38" s="41">
        <f>PGL_6_Day_Report!F30</f>
        <v>543.06000000000006</v>
      </c>
      <c r="E38" s="41">
        <f>PGL_6_Day_Report!G30</f>
        <v>503.06</v>
      </c>
      <c r="F38" s="41">
        <f>PGL_6_Day_Report!H30</f>
        <v>463.06</v>
      </c>
      <c r="G38" s="41">
        <f>PGL_6_Day_Report!I30</f>
        <v>463.06</v>
      </c>
      <c r="H38" s="14"/>
      <c r="I38" s="15"/>
    </row>
    <row r="39" spans="1:9" ht="15">
      <c r="A39" s="42" t="s">
        <v>108</v>
      </c>
      <c r="B39" s="41">
        <f>SUM(PGL_Supplies!Z7:AE7)/1000</f>
        <v>257.20699999999999</v>
      </c>
      <c r="C39" s="41">
        <f>SUM(PGL_Supplies!Z8:AE8)/1000</f>
        <v>309.93</v>
      </c>
      <c r="D39" s="41">
        <f>SUM(PGL_Supplies!Z9:AE9)/1000</f>
        <v>309.93</v>
      </c>
      <c r="E39" s="41">
        <f>SUM(PGL_Supplies!Z10:AE10)/1000</f>
        <v>309.93</v>
      </c>
      <c r="F39" s="41">
        <f>SUM(PGL_Supplies!Z11:AE11)/1000</f>
        <v>309.93</v>
      </c>
      <c r="G39" s="41">
        <f>SUM(PGL_Supplies!Z12:AE12)/1000</f>
        <v>309.93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40.81</v>
      </c>
      <c r="C41" s="41">
        <f>SUM(PGL_Requirements!R7:U7)/1000</f>
        <v>40.81</v>
      </c>
      <c r="D41" s="41">
        <f>SUM(PGL_Requirements!R7:U7)/1000</f>
        <v>40.81</v>
      </c>
      <c r="E41" s="41">
        <f>SUM(PGL_Requirements!R7:U7)/1000</f>
        <v>40.81</v>
      </c>
      <c r="F41" s="41">
        <f>SUM(PGL_Requirements!R7:U7)/1000</f>
        <v>40.81</v>
      </c>
      <c r="G41" s="41">
        <f>SUM(PGL_Requirements!R7:U7)/1000</f>
        <v>40.81</v>
      </c>
      <c r="H41" s="14"/>
      <c r="I41" s="15"/>
    </row>
    <row r="42" spans="1:9" ht="15">
      <c r="A42" s="15" t="s">
        <v>131</v>
      </c>
      <c r="B42" s="41">
        <f>PGL_Supplies!V7/1000</f>
        <v>178.36</v>
      </c>
      <c r="C42" s="41">
        <f>PGL_Supplies!V8/1000</f>
        <v>178.36</v>
      </c>
      <c r="D42" s="41">
        <f>PGL_Supplies!V9/1000</f>
        <v>178.36</v>
      </c>
      <c r="E42" s="41">
        <f>PGL_Supplies!V10/1000</f>
        <v>178.36</v>
      </c>
      <c r="F42" s="41">
        <f>PGL_Supplies!V11/1000</f>
        <v>178.36</v>
      </c>
      <c r="G42" s="41">
        <f>PGL_Supplies!V12/1000</f>
        <v>178.36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37033</v>
      </c>
      <c r="C44" s="91">
        <f t="shared" si="0"/>
        <v>37034</v>
      </c>
      <c r="D44" s="91">
        <f t="shared" si="0"/>
        <v>37035</v>
      </c>
      <c r="E44" s="91">
        <f t="shared" si="0"/>
        <v>37036</v>
      </c>
      <c r="F44" s="91">
        <f t="shared" si="0"/>
        <v>37037</v>
      </c>
      <c r="G44" s="91">
        <f t="shared" si="0"/>
        <v>37038</v>
      </c>
      <c r="H44" s="14"/>
      <c r="I44" s="15"/>
    </row>
    <row r="45" spans="1:9" ht="15">
      <c r="A45" s="15" t="s">
        <v>56</v>
      </c>
      <c r="B45" s="41">
        <f ca="1">NSG_6_Day_Report!D6</f>
        <v>58</v>
      </c>
      <c r="C45" s="41">
        <f ca="1">NSG_6_Day_Report!E6</f>
        <v>64</v>
      </c>
      <c r="D45" s="41">
        <f ca="1">NSG_6_Day_Report!F6</f>
        <v>67</v>
      </c>
      <c r="E45" s="41">
        <f ca="1">NSG_6_Day_Report!G6</f>
        <v>59</v>
      </c>
      <c r="F45" s="41">
        <f ca="1">NSG_6_Day_Report!H6</f>
        <v>53</v>
      </c>
      <c r="G45" s="41">
        <f ca="1">NSG_6_Day_Report!I6</f>
        <v>53</v>
      </c>
      <c r="H45" s="14"/>
      <c r="I45" s="15"/>
    </row>
    <row r="46" spans="1:9" ht="15">
      <c r="A46" s="42" t="s">
        <v>299</v>
      </c>
      <c r="B46" s="41">
        <f ca="1">NSG_6_Day_Report!D19</f>
        <v>59.41</v>
      </c>
      <c r="C46" s="41">
        <f ca="1">NSG_6_Day_Report!E19</f>
        <v>65.25</v>
      </c>
      <c r="D46" s="41">
        <f ca="1">NSG_6_Day_Report!F19</f>
        <v>68.25</v>
      </c>
      <c r="E46" s="41">
        <f ca="1">NSG_6_Day_Report!G19</f>
        <v>60.25</v>
      </c>
      <c r="F46" s="41">
        <f ca="1">NSG_6_Day_Report!H19</f>
        <v>54.25</v>
      </c>
      <c r="G46" s="41">
        <f ca="1">NSG_6_Day_Report!I19</f>
        <v>54.25</v>
      </c>
      <c r="H46" s="14"/>
      <c r="I46" s="15"/>
    </row>
    <row r="47" spans="1:9" ht="15">
      <c r="A47" s="42" t="s">
        <v>108</v>
      </c>
      <c r="B47" s="41">
        <f>SUM(NSG_Supplies!P7:R7)/1000</f>
        <v>59.408000000000001</v>
      </c>
      <c r="C47" s="41">
        <f>SUM(NSG_Supplies!P8:R8)/1000</f>
        <v>58.798000000000002</v>
      </c>
      <c r="D47" s="41">
        <f>SUM(NSG_Supplies!P9:R9)/1000</f>
        <v>58.798000000000002</v>
      </c>
      <c r="E47" s="41">
        <f>SUM(NSG_Supplies!P10:R10)/1000</f>
        <v>58.798000000000002</v>
      </c>
      <c r="F47" s="41">
        <f>SUM(NSG_Supplies!P11:R11)/1000</f>
        <v>58.798000000000002</v>
      </c>
      <c r="G47" s="41">
        <f>SUM(NSG_Supplies!P12:R12)/1000</f>
        <v>58.798000000000002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19.308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37033</v>
      </c>
      <c r="C52" s="91">
        <f t="shared" si="1"/>
        <v>37034</v>
      </c>
      <c r="D52" s="91">
        <f t="shared" si="1"/>
        <v>37035</v>
      </c>
      <c r="E52" s="91">
        <f t="shared" si="1"/>
        <v>37036</v>
      </c>
      <c r="F52" s="91">
        <f t="shared" si="1"/>
        <v>37037</v>
      </c>
      <c r="G52" s="91">
        <f t="shared" si="1"/>
        <v>37038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309</v>
      </c>
    </row>
    <row r="4" spans="1:8">
      <c r="A4" s="99"/>
      <c r="B4" s="1135" t="str">
        <f>Six_Day_Summary!A10</f>
        <v>Wednesday</v>
      </c>
      <c r="C4" s="1136" t="str">
        <f>Six_Day_Summary!A15</f>
        <v>Thursday</v>
      </c>
      <c r="D4" s="1136" t="str">
        <f>Six_Day_Summary!A20</f>
        <v>Friday</v>
      </c>
      <c r="E4" s="1136" t="str">
        <f>Six_Day_Summary!A25</f>
        <v>Saturday</v>
      </c>
      <c r="F4" s="1137" t="str">
        <f>Six_Day_Summary!A30</f>
        <v>Sunday</v>
      </c>
      <c r="G4" s="100"/>
    </row>
    <row r="5" spans="1:8">
      <c r="A5" s="103" t="s">
        <v>310</v>
      </c>
      <c r="B5" s="1138">
        <f>Weather_Input!A6</f>
        <v>37034</v>
      </c>
      <c r="C5" s="1139">
        <f>Weather_Input!A7</f>
        <v>37035</v>
      </c>
      <c r="D5" s="1139">
        <f>Weather_Input!A8</f>
        <v>37036</v>
      </c>
      <c r="E5" s="1139">
        <f>Weather_Input!A9</f>
        <v>37037</v>
      </c>
      <c r="F5" s="1140">
        <f>Weather_Input!A10</f>
        <v>37038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37.267000000000003</v>
      </c>
      <c r="C6" s="1141">
        <f>PGL_Supplies!AC9/1000+PGL_Supplies!L9/1000-PGL_Requirements!O9/1000+C15-PGL_Requirements!T9/1000</f>
        <v>37.267000000000003</v>
      </c>
      <c r="D6" s="1141">
        <f>PGL_Supplies!AC10/1000+PGL_Supplies!L10/1000-PGL_Requirements!O10/1000+D15-PGL_Requirements!T10/1000</f>
        <v>37.267000000000003</v>
      </c>
      <c r="E6" s="1141">
        <f>PGL_Supplies!AC11/1000+PGL_Supplies!L11/1000-PGL_Requirements!O11/1000+E15-PGL_Requirements!T11/1000</f>
        <v>37.267000000000003</v>
      </c>
      <c r="F6" s="1142">
        <f>PGL_Supplies!AC12/1000+PGL_Supplies!L12/1000-PGL_Requirements!O12/1000+F15-PGL_Requirements!T12/1000</f>
        <v>37.267000000000003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780</v>
      </c>
      <c r="B17" s="1148">
        <v>35</v>
      </c>
      <c r="C17" s="1149"/>
      <c r="D17" s="1149"/>
      <c r="E17" s="1149"/>
      <c r="F17" s="1150"/>
      <c r="G17" s="100"/>
    </row>
    <row r="20" spans="1:7" ht="15.75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Wednesday</v>
      </c>
      <c r="C21" s="1151" t="str">
        <f t="shared" si="0"/>
        <v>Thursday</v>
      </c>
      <c r="D21" s="1151" t="str">
        <f t="shared" si="0"/>
        <v>Friday</v>
      </c>
      <c r="E21" s="1151" t="str">
        <f t="shared" si="0"/>
        <v>Saturday</v>
      </c>
      <c r="F21" s="1152" t="str">
        <f t="shared" si="0"/>
        <v>Sunday</v>
      </c>
      <c r="G21" s="100"/>
    </row>
    <row r="22" spans="1:7">
      <c r="A22" s="107" t="s">
        <v>310</v>
      </c>
      <c r="B22" s="1153">
        <f t="shared" si="0"/>
        <v>37034</v>
      </c>
      <c r="C22" s="1153">
        <f t="shared" si="0"/>
        <v>37035</v>
      </c>
      <c r="D22" s="1153">
        <f t="shared" si="0"/>
        <v>37036</v>
      </c>
      <c r="E22" s="1153">
        <f t="shared" si="0"/>
        <v>37037</v>
      </c>
      <c r="F22" s="1154">
        <f t="shared" si="0"/>
        <v>37038</v>
      </c>
      <c r="G22" s="100"/>
    </row>
    <row r="23" spans="1:7">
      <c r="A23" s="100" t="s">
        <v>311</v>
      </c>
      <c r="B23" s="1147">
        <f>NSG_Supplies!R8/1000+NSG_Supplies!F8/1000-NSG_Requirements!H8/1000</f>
        <v>37.548000000000002</v>
      </c>
      <c r="C23" s="1147">
        <f>NSG_Supplies!R9/1000+NSG_Supplies!F9/1000-NSG_Requirements!H9/1000</f>
        <v>37.548000000000002</v>
      </c>
      <c r="D23" s="1147">
        <f>NSG_Supplies!R10/1000+NSG_Supplies!F10/1000-NSG_Requirements!H10/1000</f>
        <v>37.548000000000002</v>
      </c>
      <c r="E23" s="1147">
        <f>NSG_Supplies!R12/1000+NSG_Supplies!F11/1000-NSG_Requirements!H11/1000</f>
        <v>37.548000000000002</v>
      </c>
      <c r="F23" s="1142">
        <f>NSG_Supplies!R12/1000+NSG_Supplies!F12/1000-NSG_Requirements!H12/1000</f>
        <v>37.548000000000002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380</v>
      </c>
      <c r="C1" s="907">
        <f>Weather_Input!A6</f>
        <v>37034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215.96299999999999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175.50200000000001</v>
      </c>
      <c r="D11" s="788"/>
      <c r="E11" s="1124"/>
      <c r="F11" s="434" t="s">
        <v>377</v>
      </c>
      <c r="G11" s="446">
        <f>G8+G10</f>
        <v>219.46299999999999</v>
      </c>
      <c r="H11" s="433"/>
      <c r="I11" s="435"/>
    </row>
    <row r="12" spans="1:11" ht="15.75" customHeight="1">
      <c r="B12" s="248" t="s">
        <v>779</v>
      </c>
      <c r="C12" s="153">
        <v>35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140.50200000000001</v>
      </c>
      <c r="D14" s="437"/>
      <c r="E14" s="439">
        <f>AVERAGE(C14/24)</f>
        <v>5.8542500000000004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204.279</v>
      </c>
      <c r="H15" s="437" t="s">
        <v>11</v>
      </c>
      <c r="I15" s="439">
        <f>AVERAGE(G15/24)</f>
        <v>8.5116250000000004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15.183999999999999</v>
      </c>
      <c r="H16" s="447" t="s">
        <v>11</v>
      </c>
      <c r="I16" s="439">
        <f>AVERAGE(G16/24)</f>
        <v>0.6326666666666666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16.5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16.5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37034</v>
      </c>
      <c r="I1" s="930"/>
      <c r="J1" s="932"/>
      <c r="K1" s="932"/>
    </row>
    <row r="2" spans="1:22" ht="16.5" customHeight="1">
      <c r="A2" s="950" t="s">
        <v>679</v>
      </c>
      <c r="C2" s="1042">
        <v>373</v>
      </c>
      <c r="F2" s="1043">
        <v>372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64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-6.4519999999999982</v>
      </c>
      <c r="N11" s="933"/>
      <c r="O11" s="958"/>
      <c r="U11" s="932"/>
      <c r="V11" s="946"/>
    </row>
    <row r="12" spans="1:22" ht="14.45" customHeight="1">
      <c r="A12" s="930" t="s">
        <v>742</v>
      </c>
      <c r="H12" s="952"/>
      <c r="U12" s="932"/>
      <c r="V12" s="952"/>
    </row>
    <row r="13" spans="1:22" ht="14.45" customHeight="1">
      <c r="A13" s="1045">
        <f>PGL_Supplies!Y8/1000</f>
        <v>175.50200000000001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389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450</v>
      </c>
      <c r="D18" s="1050"/>
      <c r="E18" s="1050"/>
      <c r="F18" s="1043">
        <v>777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37.548000000000002</v>
      </c>
      <c r="N19" s="1053"/>
    </row>
    <row r="20" spans="1:17" ht="17.25" customHeight="1">
      <c r="A20" s="952">
        <f>Billy_Sheet!G15</f>
        <v>204.279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330</v>
      </c>
      <c r="L26" s="930" t="s">
        <v>683</v>
      </c>
      <c r="M26" s="952">
        <f>NSG_Deliveries!C6/1000</f>
        <v>64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247.09700000000001</v>
      </c>
      <c r="L28" s="933" t="s">
        <v>734</v>
      </c>
      <c r="M28" s="958">
        <f>SUM(J2+K17+K19+H11+H9-M26)</f>
        <v>-6.4519999999999982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37033</v>
      </c>
      <c r="G29" s="952">
        <f>PGL_Requirements!H7/1000</f>
        <v>24.673999999999999</v>
      </c>
      <c r="H29" s="931"/>
      <c r="J29" s="933" t="s">
        <v>687</v>
      </c>
      <c r="K29" s="952">
        <f>PGL_Supplies!AC8/1000+PGL_Supplies!L8/1000-PGL_Requirements!O8/1000</f>
        <v>37.267000000000003</v>
      </c>
    </row>
    <row r="30" spans="1:17" ht="10.5" customHeight="1">
      <c r="A30" s="935"/>
      <c r="B30" s="952"/>
      <c r="C30" s="933"/>
      <c r="D30" s="952"/>
      <c r="F30" s="1107">
        <f>PGL_Requirements!A8</f>
        <v>37034</v>
      </c>
      <c r="G30" s="952">
        <f>PGL_Requirements!H8/1000</f>
        <v>15.183999999999999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-45.635999999999967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451</v>
      </c>
      <c r="F38" s="1048">
        <v>753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412.28100000000001</v>
      </c>
      <c r="B40" s="946"/>
      <c r="C40" s="945"/>
      <c r="D40" s="946"/>
      <c r="E40" s="946"/>
      <c r="F40" s="1058"/>
      <c r="G40" s="1058">
        <f>SUM(G30:G35)</f>
        <v>165.184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247.09700000000001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373.5</v>
      </c>
      <c r="E45" s="1063"/>
      <c r="F45" s="1064">
        <v>6.7000000000000004E-2</v>
      </c>
      <c r="G45" s="1065">
        <f>(C45-D45)*F45</f>
        <v>2.4455</v>
      </c>
      <c r="H45" s="1065">
        <f>(D45-B45)*F45</f>
        <v>8.2744999999999997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381</v>
      </c>
      <c r="E47" s="1063"/>
      <c r="F47" s="1064">
        <v>0.14099999999999999</v>
      </c>
      <c r="G47" s="1065">
        <f>(C47-D47)*F47</f>
        <v>4.0889999999999995</v>
      </c>
      <c r="H47" s="1065">
        <f>(D47-B47)*F47</f>
        <v>18.470999999999997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450.5</v>
      </c>
      <c r="E48" s="1063"/>
      <c r="F48" s="1064">
        <v>0.161</v>
      </c>
      <c r="G48" s="1065">
        <f>(C48-D48)*F48</f>
        <v>48.219500000000004</v>
      </c>
      <c r="H48" s="1065">
        <f>(D48-B48)*F48</f>
        <v>26.645500000000002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54.754000000000005</v>
      </c>
      <c r="H49" s="1065">
        <f>SUM(H45:H48)</f>
        <v>53.390999999999998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37033</v>
      </c>
      <c r="B5" s="11">
        <v>61</v>
      </c>
      <c r="C5" s="49">
        <v>44</v>
      </c>
      <c r="D5" s="49">
        <v>11</v>
      </c>
      <c r="E5" s="11" t="s">
        <v>797</v>
      </c>
      <c r="F5" s="11">
        <v>97</v>
      </c>
      <c r="G5" s="11">
        <v>6504</v>
      </c>
      <c r="H5" s="11">
        <v>12</v>
      </c>
      <c r="I5" s="909" t="s">
        <v>798</v>
      </c>
      <c r="J5" s="909" t="s">
        <v>799</v>
      </c>
      <c r="K5" s="11">
        <v>2</v>
      </c>
      <c r="L5" s="11">
        <v>1</v>
      </c>
      <c r="N5" s="15" t="str">
        <f>I5&amp;" "&amp;I5</f>
        <v>BECOMING MOSTLY CLOUDY WITH 30% CHANCE OF P.M. SHOWERS. S.W. WINDS 10/20 BECOMING MOSTLY CLOUDY WITH 30% CHANCE OF P.M. SHOWERS. S.W. WINDS 10/20</v>
      </c>
      <c r="AE5" s="15">
        <v>1</v>
      </c>
      <c r="AH5" s="15" t="s">
        <v>34</v>
      </c>
    </row>
    <row r="6" spans="1:34" ht="16.5" customHeight="1">
      <c r="A6" s="88">
        <f>A5+1</f>
        <v>37034</v>
      </c>
      <c r="B6" s="11">
        <v>55</v>
      </c>
      <c r="C6" s="49">
        <v>41</v>
      </c>
      <c r="D6" s="49">
        <v>9</v>
      </c>
      <c r="E6" s="11" t="s">
        <v>11</v>
      </c>
      <c r="F6" s="11" t="s">
        <v>11</v>
      </c>
      <c r="G6" s="11"/>
      <c r="H6" s="11" t="s">
        <v>11</v>
      </c>
      <c r="I6" s="909" t="s">
        <v>800</v>
      </c>
      <c r="J6" s="909" t="s">
        <v>801</v>
      </c>
      <c r="K6" s="11">
        <v>2</v>
      </c>
      <c r="L6" s="11" t="s">
        <v>625</v>
      </c>
      <c r="N6" s="15" t="str">
        <f>I6&amp;" "&amp;J6</f>
        <v>MOSTLY CLOUDY AND COOL WITH SHOWERS. CHANCE OF RAIN 60% OVERNIGHT… CLOUDY WITH SHOWERS. CHANCE OF RAIN 60%</v>
      </c>
      <c r="AE6" s="15">
        <v>1</v>
      </c>
      <c r="AH6" s="15" t="s">
        <v>35</v>
      </c>
    </row>
    <row r="7" spans="1:34" ht="16.5" customHeight="1">
      <c r="A7" s="88">
        <f>A6+1</f>
        <v>37035</v>
      </c>
      <c r="B7" s="11">
        <v>54</v>
      </c>
      <c r="C7" s="49">
        <v>40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09" t="s">
        <v>802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SHOWERS LIKELY WITH POSSIBLE P.M. T'STORMS.  </v>
      </c>
    </row>
    <row r="8" spans="1:34" ht="16.5" customHeight="1">
      <c r="A8" s="88">
        <f>A7+1</f>
        <v>37036</v>
      </c>
      <c r="B8" s="11">
        <v>58</v>
      </c>
      <c r="C8" s="49">
        <v>44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796</v>
      </c>
      <c r="J8" s="909" t="s">
        <v>11</v>
      </c>
      <c r="K8" s="11">
        <v>6</v>
      </c>
      <c r="L8" s="11"/>
      <c r="N8" s="15" t="str">
        <f>I8&amp;" "&amp;J8</f>
        <v xml:space="preserve">SHOWERS LIKELY.  </v>
      </c>
    </row>
    <row r="9" spans="1:34" ht="16.5" customHeight="1">
      <c r="A9" s="88">
        <f>A8+1</f>
        <v>37037</v>
      </c>
      <c r="B9" s="11">
        <v>64</v>
      </c>
      <c r="C9" s="49">
        <v>45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CHANCE OF SHOWERS.  </v>
      </c>
    </row>
    <row r="10" spans="1:34" ht="16.5" customHeight="1">
      <c r="A10" s="88">
        <f>A9+1</f>
        <v>37038</v>
      </c>
      <c r="B10" s="11">
        <v>64</v>
      </c>
      <c r="C10" s="49">
        <v>45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5</v>
      </c>
      <c r="L10" s="11" t="s">
        <v>413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37033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173.40199999999999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748</v>
      </c>
      <c r="C21" s="175">
        <f>PGL_Requirements!J7/1000</f>
        <v>0.6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172.80199999999999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48.332999999999998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48.332999999999998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152.17400000000001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739</v>
      </c>
      <c r="B44" s="209" t="s">
        <v>11</v>
      </c>
      <c r="C44" s="225">
        <f>PGL_Requirements!R7/1000</f>
        <v>0.61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61</v>
      </c>
      <c r="C45" s="184"/>
      <c r="D45" s="60" t="s">
        <v>622</v>
      </c>
      <c r="E45" s="807">
        <f>PGL_Supplies!T7/1000</f>
        <v>7.5</v>
      </c>
      <c r="F45" s="170"/>
    </row>
    <row r="46" spans="1:13" ht="15">
      <c r="A46" s="171" t="s">
        <v>613</v>
      </c>
      <c r="B46" s="238">
        <f>Weather_Input!C5</f>
        <v>44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11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75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37033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39.408000000000001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38.011000000000003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355</v>
      </c>
      <c r="B1" s="51">
        <f>Weather_Input!A5</f>
        <v>37033</v>
      </c>
      <c r="C1" s="4"/>
    </row>
    <row r="2" spans="1:19">
      <c r="A2" s="111" t="s">
        <v>356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37032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153902</v>
      </c>
      <c r="O6" s="203">
        <v>0</v>
      </c>
      <c r="P6" s="203">
        <v>48400304</v>
      </c>
      <c r="Q6" s="203">
        <v>15045098</v>
      </c>
      <c r="R6" s="203">
        <v>33355206</v>
      </c>
      <c r="S6" s="203">
        <v>0</v>
      </c>
    </row>
    <row r="7" spans="1:19">
      <c r="A7" s="4">
        <f>B1</f>
        <v>37033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189902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48590206</v>
      </c>
      <c r="Q7">
        <f>IF(O7&gt;0,Q6+O7,Q6)</f>
        <v>15045098</v>
      </c>
      <c r="R7">
        <f>IF(P7&gt;Q7,P7-Q7,0)</f>
        <v>33545108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37033</v>
      </c>
      <c r="B5" s="1">
        <f>(Weather_Input!B5+Weather_Input!C5)/2</f>
        <v>52.5</v>
      </c>
      <c r="C5" s="910">
        <v>280000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37034</v>
      </c>
      <c r="B6" s="929">
        <f>(Weather_Input!B6+Weather_Input!C6)/2</f>
        <v>48</v>
      </c>
      <c r="C6" s="910">
        <v>330000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37035</v>
      </c>
      <c r="B7" s="929">
        <f>(Weather_Input!B7+Weather_Input!C7)/2</f>
        <v>47</v>
      </c>
      <c r="C7" s="910">
        <v>350000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37036</v>
      </c>
      <c r="B8" s="929">
        <f>(Weather_Input!B8+Weather_Input!C8)/2</f>
        <v>51</v>
      </c>
      <c r="C8" s="910">
        <v>310000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37037</v>
      </c>
      <c r="B9" s="929">
        <f>(Weather_Input!B9+Weather_Input!C9)/2</f>
        <v>54.5</v>
      </c>
      <c r="C9" s="910">
        <v>270000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37038</v>
      </c>
      <c r="B10" s="929">
        <f>(Weather_Input!B10+Weather_Input!C10)/2</f>
        <v>54.5</v>
      </c>
      <c r="C10" s="910">
        <v>270000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37033</v>
      </c>
      <c r="B5" s="1">
        <f>(Weather_Input!B5+Weather_Input!C5)/2</f>
        <v>52.5</v>
      </c>
      <c r="C5" s="910">
        <v>58000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37034</v>
      </c>
      <c r="B6" s="929">
        <f>(Weather_Input!B6+Weather_Input!C6)/2</f>
        <v>48</v>
      </c>
      <c r="C6" s="910">
        <v>64000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37035</v>
      </c>
      <c r="B7" s="929">
        <f>(Weather_Input!B7+Weather_Input!C7)/2</f>
        <v>47</v>
      </c>
      <c r="C7" s="910">
        <v>67000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37036</v>
      </c>
      <c r="B8" s="929">
        <f>(Weather_Input!B8+Weather_Input!C8)/2</f>
        <v>51</v>
      </c>
      <c r="C8" s="910">
        <v>59000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37037</v>
      </c>
      <c r="B9" s="929">
        <f>(Weather_Input!B9+Weather_Input!C9)/2</f>
        <v>54.5</v>
      </c>
      <c r="C9" s="910">
        <v>53000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37038</v>
      </c>
      <c r="B10" s="929">
        <f>(Weather_Input!B10+Weather_Input!C10)/2</f>
        <v>54.5</v>
      </c>
      <c r="C10" s="910">
        <v>53000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304" t="s">
        <v>830</v>
      </c>
      <c r="W4" s="1305"/>
      <c r="X4" s="1306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2.75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831</v>
      </c>
      <c r="W5" s="56" t="s">
        <v>834</v>
      </c>
      <c r="X5" s="3" t="s">
        <v>835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2.75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7" t="s">
        <v>832</v>
      </c>
      <c r="W6" s="1307" t="s">
        <v>833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2.75">
      <c r="A7" s="831">
        <f>Weather_Input!A5</f>
        <v>37033</v>
      </c>
      <c r="B7" s="919">
        <v>0</v>
      </c>
      <c r="C7" s="920">
        <v>0</v>
      </c>
      <c r="D7" s="624">
        <v>0</v>
      </c>
      <c r="E7" s="624">
        <v>0</v>
      </c>
      <c r="F7" s="919">
        <v>500</v>
      </c>
      <c r="G7" s="919">
        <v>9200</v>
      </c>
      <c r="H7" s="921">
        <v>24674</v>
      </c>
      <c r="I7" s="623">
        <v>0</v>
      </c>
      <c r="J7" s="623">
        <v>600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150000</v>
      </c>
      <c r="Q7" s="626">
        <f t="shared" ref="Q7:Q12" si="0">P7*0.015</f>
        <v>2250</v>
      </c>
      <c r="R7" s="624">
        <v>610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37033</v>
      </c>
    </row>
    <row r="8" spans="1:89" s="1" customFormat="1" ht="12.75">
      <c r="A8" s="831">
        <f>A7+1</f>
        <v>37034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15184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610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37034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37035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610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37035</v>
      </c>
      <c r="AN9" s="623"/>
    </row>
    <row r="10" spans="1:89" s="1" customFormat="1" ht="12.75">
      <c r="A10" s="831">
        <f>A9+1</f>
        <v>37036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610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37036</v>
      </c>
    </row>
    <row r="11" spans="1:89" s="1" customFormat="1" ht="12.75">
      <c r="A11" s="831">
        <f>A10+1</f>
        <v>37037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610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37037</v>
      </c>
    </row>
    <row r="12" spans="1:89" s="1" customFormat="1" ht="12.75">
      <c r="A12" s="831">
        <f>A11+1</f>
        <v>37038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610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37038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37033</v>
      </c>
      <c r="B7" s="626">
        <v>0</v>
      </c>
      <c r="C7" s="627">
        <v>0</v>
      </c>
      <c r="D7" s="626">
        <v>0</v>
      </c>
      <c r="E7" s="626">
        <v>13300</v>
      </c>
      <c r="F7" s="626">
        <v>0</v>
      </c>
      <c r="G7" s="919">
        <v>0</v>
      </c>
      <c r="H7" s="624">
        <v>1000</v>
      </c>
      <c r="I7" s="624">
        <v>15000</v>
      </c>
      <c r="J7" s="624">
        <v>0</v>
      </c>
      <c r="K7" s="922">
        <v>0</v>
      </c>
      <c r="L7" s="625">
        <v>40630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7500</v>
      </c>
      <c r="U7" s="624">
        <v>0</v>
      </c>
      <c r="V7" s="625">
        <v>178360</v>
      </c>
      <c r="W7" s="625">
        <v>0</v>
      </c>
      <c r="X7" s="623">
        <v>0</v>
      </c>
      <c r="Y7" s="922">
        <v>173402</v>
      </c>
      <c r="Z7" s="625">
        <v>40200</v>
      </c>
      <c r="AA7" s="1">
        <v>0</v>
      </c>
      <c r="AB7" s="623">
        <v>152174</v>
      </c>
      <c r="AC7" s="623">
        <v>48333</v>
      </c>
      <c r="AD7" s="623">
        <v>16500</v>
      </c>
      <c r="AE7" s="922">
        <v>0</v>
      </c>
      <c r="AF7" s="51">
        <f>Weather_Input!A5</f>
        <v>37033</v>
      </c>
      <c r="AI7" s="623"/>
      <c r="AJ7" s="623"/>
      <c r="AK7" s="623"/>
    </row>
    <row r="8" spans="1:37">
      <c r="A8" s="831">
        <f>A7+1</f>
        <v>37034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178360</v>
      </c>
      <c r="W8" s="625">
        <v>0</v>
      </c>
      <c r="X8" s="623">
        <v>0</v>
      </c>
      <c r="Y8" s="922">
        <v>175502</v>
      </c>
      <c r="Z8" s="625">
        <v>40200</v>
      </c>
      <c r="AA8" s="1">
        <v>0</v>
      </c>
      <c r="AB8" s="623">
        <v>215963</v>
      </c>
      <c r="AC8" s="623">
        <v>37267</v>
      </c>
      <c r="AD8" s="623">
        <v>16500</v>
      </c>
      <c r="AE8" s="922">
        <v>0</v>
      </c>
      <c r="AF8" s="831">
        <f>AF7+1</f>
        <v>37034</v>
      </c>
      <c r="AI8" s="623"/>
      <c r="AJ8" s="623"/>
      <c r="AK8" s="623"/>
    </row>
    <row r="9" spans="1:37" s="623" customFormat="1">
      <c r="A9" s="831">
        <f>A8+1</f>
        <v>37035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178360</v>
      </c>
      <c r="W9" s="625">
        <v>0</v>
      </c>
      <c r="X9" s="623">
        <v>0</v>
      </c>
      <c r="Y9" s="922">
        <v>175502</v>
      </c>
      <c r="Z9" s="625">
        <v>40200</v>
      </c>
      <c r="AA9" s="1">
        <v>0</v>
      </c>
      <c r="AB9" s="623">
        <v>215963</v>
      </c>
      <c r="AC9" s="623">
        <v>37267</v>
      </c>
      <c r="AD9" s="623">
        <v>16500</v>
      </c>
      <c r="AE9" s="922">
        <v>0</v>
      </c>
      <c r="AF9" s="831">
        <f>AF8+1</f>
        <v>37035</v>
      </c>
    </row>
    <row r="10" spans="1:37">
      <c r="A10" s="831">
        <f>A9+1</f>
        <v>37036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178360</v>
      </c>
      <c r="W10" s="625">
        <v>0</v>
      </c>
      <c r="X10" s="623">
        <v>0</v>
      </c>
      <c r="Y10" s="922">
        <v>175502</v>
      </c>
      <c r="Z10" s="625">
        <v>40200</v>
      </c>
      <c r="AA10" s="1">
        <v>0</v>
      </c>
      <c r="AB10" s="623">
        <v>215963</v>
      </c>
      <c r="AC10" s="623">
        <v>37267</v>
      </c>
      <c r="AD10" s="623">
        <v>16500</v>
      </c>
      <c r="AE10" s="922">
        <v>0</v>
      </c>
      <c r="AF10" s="831">
        <f>AF9+1</f>
        <v>37036</v>
      </c>
      <c r="AI10" s="623"/>
      <c r="AJ10" s="623"/>
      <c r="AK10" s="623"/>
    </row>
    <row r="11" spans="1:37">
      <c r="A11" s="831">
        <f>A10+1</f>
        <v>37037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178360</v>
      </c>
      <c r="W11" s="625">
        <v>0</v>
      </c>
      <c r="X11" s="623">
        <v>0</v>
      </c>
      <c r="Y11" s="922">
        <v>175502</v>
      </c>
      <c r="Z11" s="625">
        <v>40200</v>
      </c>
      <c r="AA11" s="1">
        <v>0</v>
      </c>
      <c r="AB11" s="623">
        <v>215963</v>
      </c>
      <c r="AC11" s="623">
        <v>37267</v>
      </c>
      <c r="AD11" s="623">
        <v>16500</v>
      </c>
      <c r="AE11" s="922">
        <v>0</v>
      </c>
      <c r="AF11" s="831">
        <f>AF10+1</f>
        <v>37037</v>
      </c>
    </row>
    <row r="12" spans="1:37">
      <c r="A12" s="831">
        <f>A11+1</f>
        <v>37038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178360</v>
      </c>
      <c r="W12" s="625">
        <v>0</v>
      </c>
      <c r="X12" s="623">
        <v>0</v>
      </c>
      <c r="Y12" s="922">
        <v>175502</v>
      </c>
      <c r="Z12" s="625">
        <v>40200</v>
      </c>
      <c r="AA12" s="1">
        <v>0</v>
      </c>
      <c r="AB12" s="623">
        <v>215963</v>
      </c>
      <c r="AC12" s="623">
        <v>37267</v>
      </c>
      <c r="AD12" s="623">
        <v>16500</v>
      </c>
      <c r="AE12" s="922">
        <v>0</v>
      </c>
      <c r="AF12" s="831">
        <f>AF11+1</f>
        <v>37038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2.75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2.75">
      <c r="A7" s="832">
        <f>Weather_Input!A5</f>
        <v>37033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910</v>
      </c>
      <c r="I7" s="920">
        <v>7197</v>
      </c>
      <c r="J7" s="920">
        <v>500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37033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37034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37034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37035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37035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37036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37036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37037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37037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37038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37038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37033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2935.8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39408</v>
      </c>
      <c r="S7" s="626">
        <v>19308</v>
      </c>
      <c r="T7" s="626">
        <v>0</v>
      </c>
      <c r="U7" s="626">
        <v>0</v>
      </c>
      <c r="V7" s="831">
        <f>Weather_Input!A5</f>
        <v>37033</v>
      </c>
      <c r="W7" s="623"/>
      <c r="X7" s="623"/>
    </row>
    <row r="8" spans="1:24">
      <c r="A8" s="831">
        <f>A7+1</f>
        <v>37034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2905.3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38798</v>
      </c>
      <c r="S8" s="626">
        <v>19308</v>
      </c>
      <c r="T8" s="626">
        <v>0</v>
      </c>
      <c r="U8" s="626">
        <v>0</v>
      </c>
      <c r="V8" s="831">
        <f>V7+1</f>
        <v>37034</v>
      </c>
      <c r="W8" s="623"/>
      <c r="X8" s="623"/>
    </row>
    <row r="9" spans="1:24">
      <c r="A9" s="831">
        <f>A8+1</f>
        <v>37035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2905.3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38798</v>
      </c>
      <c r="S9" s="626">
        <v>19308</v>
      </c>
      <c r="T9" s="626">
        <v>0</v>
      </c>
      <c r="U9" s="626">
        <v>0</v>
      </c>
      <c r="V9" s="831">
        <f>V8+1</f>
        <v>37035</v>
      </c>
      <c r="W9" s="623"/>
      <c r="X9" s="623"/>
    </row>
    <row r="10" spans="1:24">
      <c r="A10" s="831">
        <f>A9+1</f>
        <v>37036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2905.3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38798</v>
      </c>
      <c r="S10" s="626">
        <v>19308</v>
      </c>
      <c r="T10" s="626">
        <v>0</v>
      </c>
      <c r="U10" s="626">
        <v>0</v>
      </c>
      <c r="V10" s="831">
        <f>V9+1</f>
        <v>37036</v>
      </c>
      <c r="W10" s="623"/>
      <c r="X10" s="623"/>
    </row>
    <row r="11" spans="1:24">
      <c r="A11" s="831">
        <f>A10+1</f>
        <v>37037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2905.3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38798</v>
      </c>
      <c r="S11" s="626">
        <v>19308</v>
      </c>
      <c r="T11" s="626">
        <v>0</v>
      </c>
      <c r="U11" s="626">
        <v>0</v>
      </c>
      <c r="V11" s="831">
        <f>V10+1</f>
        <v>37037</v>
      </c>
      <c r="W11" s="623"/>
      <c r="X11" s="623"/>
    </row>
    <row r="12" spans="1:24">
      <c r="A12" s="831">
        <f>A11+1</f>
        <v>37038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2905.3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38798</v>
      </c>
      <c r="S12" s="626">
        <v>19308</v>
      </c>
      <c r="T12" s="626">
        <v>0</v>
      </c>
      <c r="U12" s="626">
        <v>0</v>
      </c>
      <c r="V12" s="831">
        <f>V11+1</f>
        <v>37038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TUE</v>
      </c>
      <c r="I1" s="836">
        <f>D4</f>
        <v>37033</v>
      </c>
    </row>
    <row r="2" spans="1:256" ht="15.75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</row>
    <row r="4" spans="1:256" ht="15.75" thickBot="1">
      <c r="A4" s="843"/>
      <c r="B4" s="844"/>
      <c r="C4" s="844"/>
      <c r="D4" s="465">
        <f>Weather_Input!A5</f>
        <v>37033</v>
      </c>
      <c r="E4" s="465">
        <f>Weather_Input!A6</f>
        <v>37034</v>
      </c>
      <c r="F4" s="465">
        <f>Weather_Input!A7</f>
        <v>37035</v>
      </c>
      <c r="G4" s="465">
        <f>Weather_Input!A8</f>
        <v>37036</v>
      </c>
      <c r="H4" s="465">
        <f>Weather_Input!A9</f>
        <v>37037</v>
      </c>
      <c r="I4" s="466">
        <f>Weather_Input!A10</f>
        <v>37038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61/44/53</v>
      </c>
      <c r="E5" s="467" t="str">
        <f>TEXT(Weather_Input!B6,"0")&amp;"/"&amp;TEXT(Weather_Input!C6,"0") &amp; "/" &amp; TEXT((Weather_Input!B6+Weather_Input!C6)/2,"0")</f>
        <v>55/41/48</v>
      </c>
      <c r="F5" s="467" t="str">
        <f>TEXT(Weather_Input!B7,"0")&amp;"/"&amp;TEXT(Weather_Input!C7,"0") &amp; "/" &amp; TEXT((Weather_Input!B7+Weather_Input!C7)/2,"0")</f>
        <v>54/40/47</v>
      </c>
      <c r="G5" s="467" t="str">
        <f>TEXT(Weather_Input!B8,"0")&amp;"/"&amp;TEXT(Weather_Input!C8,"0") &amp; "/" &amp; TEXT((Weather_Input!B8+Weather_Input!C8)/2,"0")</f>
        <v>58/44/51</v>
      </c>
      <c r="H5" s="467" t="str">
        <f>TEXT(Weather_Input!B9,"0")&amp;"/"&amp;TEXT(Weather_Input!C9,"0") &amp; "/" &amp; TEXT((Weather_Input!B9+Weather_Input!C9)/2,"0")</f>
        <v>64/45/55</v>
      </c>
      <c r="I5" s="468" t="str">
        <f>TEXT(Weather_Input!B10,"0")&amp;"/"&amp;TEXT(Weather_Input!C10,"0") &amp; "/" &amp; TEXT((Weather_Input!B10+Weather_Input!C10)/2,"0")</f>
        <v>64/45/55</v>
      </c>
    </row>
    <row r="6" spans="1:256" ht="15.75">
      <c r="A6" s="850" t="s">
        <v>138</v>
      </c>
      <c r="B6" s="838"/>
      <c r="C6" s="838"/>
      <c r="D6" s="467">
        <f>PGL_Deliveries!C5/1000</f>
        <v>280</v>
      </c>
      <c r="E6" s="467">
        <f>PGL_Deliveries!C6/1000</f>
        <v>330</v>
      </c>
      <c r="F6" s="467">
        <f>PGL_Deliveries!C7/1000</f>
        <v>350</v>
      </c>
      <c r="G6" s="467">
        <f>PGL_Deliveries!C8/1000</f>
        <v>310</v>
      </c>
      <c r="H6" s="467">
        <f>PGL_Deliveries!C9/1000</f>
        <v>270</v>
      </c>
      <c r="I6" s="468">
        <f>PGL_Deliveries!C10/1000</f>
        <v>270</v>
      </c>
    </row>
    <row r="7" spans="1:256" ht="15.75">
      <c r="A7" s="850" t="s">
        <v>566</v>
      </c>
      <c r="B7" s="838" t="s">
        <v>415</v>
      </c>
      <c r="C7" s="838"/>
      <c r="D7" s="467">
        <f>PGL_Requirements!H7/1000</f>
        <v>24.673999999999999</v>
      </c>
      <c r="E7" s="467">
        <f>PGL_Requirements!H8/1000</f>
        <v>15.183999999999999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787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735</v>
      </c>
      <c r="D15" s="467">
        <f>PGL_Requirements!R7/1000</f>
        <v>0.61</v>
      </c>
      <c r="E15" s="467">
        <f>PGL_Requirements!R8/1000</f>
        <v>0.61</v>
      </c>
      <c r="F15" s="467">
        <f>PGL_Requirements!R9/1000</f>
        <v>0.61</v>
      </c>
      <c r="G15" s="467">
        <f>PGL_Requirements!R10/1000</f>
        <v>0.61</v>
      </c>
      <c r="H15" s="467">
        <f>PGL_Requirements!R11/1000</f>
        <v>0.61</v>
      </c>
      <c r="I15" s="468">
        <f>PGL_Requirements!R12/1000</f>
        <v>0.61</v>
      </c>
    </row>
    <row r="16" spans="1:256" ht="15.75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140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148</v>
      </c>
      <c r="B24" s="838"/>
      <c r="C24" s="838"/>
      <c r="D24" s="467">
        <f>PGL_Requirements!G7/1000</f>
        <v>9.1999999999999993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149</v>
      </c>
      <c r="B25" s="838" t="s">
        <v>752</v>
      </c>
      <c r="C25" s="838"/>
      <c r="D25" s="467">
        <f>PGL_Requirements!J7/1000</f>
        <v>0.6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95</v>
      </c>
      <c r="C29" s="838"/>
      <c r="D29" s="469">
        <f>PGL_Requirements!F7/1000</f>
        <v>0.5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150</v>
      </c>
      <c r="B30" s="856"/>
      <c r="C30" s="856"/>
      <c r="D30" s="471">
        <f t="shared" ref="D30:I30" si="1">SUM(D6:D29)</f>
        <v>508.03399999999999</v>
      </c>
      <c r="E30" s="471">
        <f t="shared" si="1"/>
        <v>538.24400000000003</v>
      </c>
      <c r="F30" s="471">
        <f t="shared" si="1"/>
        <v>543.06000000000006</v>
      </c>
      <c r="G30" s="471">
        <f t="shared" si="1"/>
        <v>503.06</v>
      </c>
      <c r="H30" s="471">
        <f t="shared" si="1"/>
        <v>463.06</v>
      </c>
      <c r="I30" s="1169">
        <f t="shared" si="1"/>
        <v>463.06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140</v>
      </c>
      <c r="C37" s="838" t="s">
        <v>90</v>
      </c>
      <c r="D37" s="467">
        <f>PGL_Supplies!L7/1000</f>
        <v>40.630000000000003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620</v>
      </c>
      <c r="B43" s="838" t="s">
        <v>415</v>
      </c>
      <c r="C43" s="838"/>
      <c r="D43" s="467">
        <f>PGL_Supplies!T7/1000</f>
        <v>7.5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762</v>
      </c>
      <c r="B47" s="838" t="s">
        <v>741</v>
      </c>
      <c r="C47" s="838"/>
      <c r="D47" s="467">
        <f>PGL_Supplies!Y7/1000</f>
        <v>173.40199999999999</v>
      </c>
      <c r="E47" s="467">
        <f>PGL_Supplies!Y8/1000</f>
        <v>175.50200000000001</v>
      </c>
      <c r="F47" s="467">
        <f>PGL_Supplies!Y9/1000</f>
        <v>175.50200000000001</v>
      </c>
      <c r="G47" s="467">
        <f>PGL_Supplies!Y10/1000</f>
        <v>175.50200000000001</v>
      </c>
      <c r="H47" s="467">
        <f>PGL_Supplies!Y11/1000</f>
        <v>175.50200000000001</v>
      </c>
      <c r="I47" s="468">
        <f>PGL_Supplies!Y12/1000</f>
        <v>175.50200000000001</v>
      </c>
    </row>
    <row r="48" spans="1:9" ht="15.75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415</v>
      </c>
      <c r="C50" s="851"/>
      <c r="D50" s="467">
        <f>PGL_Supplies!AB7/1000</f>
        <v>152.17400000000001</v>
      </c>
      <c r="E50" s="467">
        <f>PGL_Supplies!AB8/1000</f>
        <v>215.96299999999999</v>
      </c>
      <c r="F50" s="467">
        <f>PGL_Supplies!AB9/1000</f>
        <v>215.96299999999999</v>
      </c>
      <c r="G50" s="467">
        <f>PGL_Supplies!AB10/1000</f>
        <v>215.96299999999999</v>
      </c>
      <c r="H50" s="467">
        <f>PGL_Supplies!AB11/1000</f>
        <v>215.96299999999999</v>
      </c>
      <c r="I50" s="468">
        <f>PGL_Supplies!AB12/1000</f>
        <v>215.96299999999999</v>
      </c>
    </row>
    <row r="51" spans="1:10" ht="15.75">
      <c r="A51" s="850"/>
      <c r="B51" s="838" t="s">
        <v>140</v>
      </c>
      <c r="C51" s="838"/>
      <c r="D51" s="467">
        <f>PGL_Supplies!AC7/1000</f>
        <v>48.332999999999998</v>
      </c>
      <c r="E51" s="467">
        <f>PGL_Supplies!AC8/1000</f>
        <v>37.267000000000003</v>
      </c>
      <c r="F51" s="467">
        <f>PGL_Supplies!AC9/1000</f>
        <v>37.267000000000003</v>
      </c>
      <c r="G51" s="467">
        <f>PGL_Supplies!AC10/1000</f>
        <v>37.267000000000003</v>
      </c>
      <c r="H51" s="467">
        <f>PGL_Supplies!AC11/1000</f>
        <v>37.267000000000003</v>
      </c>
      <c r="I51" s="468">
        <f>PGL_Supplies!AC12/1000</f>
        <v>37.267000000000003</v>
      </c>
    </row>
    <row r="52" spans="1:10" ht="15.75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16.5</v>
      </c>
      <c r="F52" s="467">
        <f>PGL_Supplies!AD9/1000</f>
        <v>16.5</v>
      </c>
      <c r="G52" s="467">
        <f>PGL_Supplies!AD10/1000</f>
        <v>16.5</v>
      </c>
      <c r="H52" s="467">
        <f>PGL_Supplies!AD11/1000</f>
        <v>16.5</v>
      </c>
      <c r="I52" s="468">
        <f>PGL_Supplies!AD12/1000</f>
        <v>16.5</v>
      </c>
    </row>
    <row r="53" spans="1:10" ht="15.75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415</v>
      </c>
      <c r="C59" s="838"/>
      <c r="D59" s="467">
        <f>PGL_Supplies!E7/1000</f>
        <v>13.3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141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159</v>
      </c>
      <c r="B61" s="869"/>
      <c r="C61" s="869"/>
      <c r="D61" s="477">
        <f t="shared" ref="D61:I61" si="2">SUM(D33:D60)</f>
        <v>508.03899999999993</v>
      </c>
      <c r="E61" s="477">
        <f t="shared" si="2"/>
        <v>508.43199999999996</v>
      </c>
      <c r="F61" s="477">
        <f t="shared" si="2"/>
        <v>501.43199999999996</v>
      </c>
      <c r="G61" s="477">
        <f t="shared" si="2"/>
        <v>501.43199999999996</v>
      </c>
      <c r="H61" s="477">
        <f t="shared" si="2"/>
        <v>501.43199999999996</v>
      </c>
      <c r="I61" s="1171">
        <f t="shared" si="2"/>
        <v>501.43199999999996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4.9999999999386091E-3</v>
      </c>
      <c r="E62" s="478">
        <f t="shared" si="3"/>
        <v>0</v>
      </c>
      <c r="F62" s="478">
        <f t="shared" si="3"/>
        <v>0</v>
      </c>
      <c r="G62" s="478">
        <f t="shared" si="3"/>
        <v>0</v>
      </c>
      <c r="H62" s="478">
        <f t="shared" si="3"/>
        <v>38.371999999999957</v>
      </c>
      <c r="I62" s="1172">
        <f t="shared" si="3"/>
        <v>38.371999999999957</v>
      </c>
    </row>
    <row r="63" spans="1:10" ht="15.75" thickBot="1">
      <c r="A63" s="872" t="s">
        <v>161</v>
      </c>
      <c r="B63" s="856"/>
      <c r="C63" s="873"/>
      <c r="D63" s="479">
        <f t="shared" ref="D63:I63" si="4">IF(D30-D61&lt;0,0,D30-D61)</f>
        <v>0</v>
      </c>
      <c r="E63" s="479">
        <f t="shared" si="4"/>
        <v>29.812000000000069</v>
      </c>
      <c r="F63" s="479">
        <f t="shared" si="4"/>
        <v>41.6280000000001</v>
      </c>
      <c r="G63" s="479">
        <f t="shared" si="4"/>
        <v>1.6280000000000427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766</v>
      </c>
      <c r="B64" s="1161"/>
      <c r="C64" s="1161"/>
      <c r="D64" s="1162">
        <f>PGL_Supplies!V7/1000</f>
        <v>178.36</v>
      </c>
      <c r="E64" s="1162">
        <f>PGL_Supplies!V8/1000</f>
        <v>178.36</v>
      </c>
      <c r="F64" s="1162">
        <f>PGL_Supplies!V9/1000</f>
        <v>178.36</v>
      </c>
      <c r="G64" s="1162">
        <f>PGL_Supplies!V10/1000</f>
        <v>178.36</v>
      </c>
      <c r="H64" s="1162">
        <f>PGL_Supplies!V11/1000</f>
        <v>178.36</v>
      </c>
      <c r="I64" s="1163">
        <f>PGL_Supplies!V12/1000</f>
        <v>178.36</v>
      </c>
    </row>
    <row r="65" spans="3:3" ht="15.75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2001-05-23T08:27:22Z</cp:lastPrinted>
  <dcterms:created xsi:type="dcterms:W3CDTF">1997-07-16T16:14:22Z</dcterms:created>
  <dcterms:modified xsi:type="dcterms:W3CDTF">2023-09-10T17:16:54Z</dcterms:modified>
</cp:coreProperties>
</file>