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4A8272-51E2-4698-9C17-6F1CBF8FFBB6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<sst xmlns="http://schemas.openxmlformats.org/spreadsheetml/2006/main" count="2147" uniqueCount="800">
  <si>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</si>
  <si>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</si>
  <si>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</si>
  <si>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</si>
  <si>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</si>
  <si>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</si>
  <si>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</si>
  <si>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</si>
  <si>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</si>
  <si>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</si>
  <si>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</si>
  <si>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</si>
  <si>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</si>
  <si>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</si>
  <si>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</si>
  <si>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</si>
  <si>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</si>
  <si>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</si>
  <si>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</si>
  <si>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</si>
  <si>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</si>
  <si>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</si>
  <si>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</si>
  <si>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</si>
  <si>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</si>
  <si>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</si>
  <si>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</si>
  <si>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</si>
  <si>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</si>
  <si>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</si>
  <si>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</si>
  <si>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</si>
  <si>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</si>
  <si>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</si>
  <si>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</si>
  <si>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</si>
  <si>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</si>
  <si>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</si>
  <si>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</si>
  <si>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</si>
  <si>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</si>
  <si>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</si>
  <si>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</si>
  <si>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</si>
  <si>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</si>
  <si>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</si>
  <si>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</si>
  <si>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</si>
  <si>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</si>
  <si>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</si>
  <si>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</si>
  <si>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</si>
  <si>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</si>
  <si>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</si>
  <si>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</si>
  <si>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</si>
  <si>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</si>
  <si>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</si>
  <si>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</si>
  <si>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</si>
  <si>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</si>
  <si>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</si>
  <si>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</si>
  <si>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</si>
  <si>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</si>
  <si>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</si>
  <si>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</si>
  <si>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</si>
  <si>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</si>
  <si>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</si>
  <si>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</si>
  <si>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</si>
  <si>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</si>
  <si>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</si>
  <si>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</si>
  <si>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</si>
  <si>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</si>
  <si>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</si>
  <si>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</si>
  <si>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</si>
  <si>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</si>
  <si>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</si>
  <si>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</si>
  <si>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</si>
  <si>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</si>
  <si>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</si>
  <si>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</si>
  <si>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</si>
  <si>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</si>
  <si>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</si>
  <si>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</si>
  <si>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</si>
  <si>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</si>
  <si>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</si>
  <si>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</si>
  <si>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</si>
  <si>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</si>
  <si>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</si>
  <si>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</si>
  <si>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</si>
  <si>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</si>
  <si>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</si>
  <si>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</si>
  <si>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</si>
  <si>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</si>
  <si>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</si>
  <si>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</si>
  <si>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</si>
  <si>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</si>
  <si>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</si>
  <si>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</si>
  <si>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</si>
  <si>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</si>
  <si>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</si>
  <si>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</si>
  <si>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</si>
  <si>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</si>
  <si>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</si>
  <si>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</si>
  <si>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</si>
  <si>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</si>
  <si>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</si>
  <si>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</si>
  <si>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</si>
  <si>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</si>
  <si>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</si>
  <si>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</si>
  <si>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</si>
  <si>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</si>
  <si>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</si>
  <si>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</si>
  <si>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</si>
  <si>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</si>
  <si>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</si>
  <si>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</si>
  <si>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</si>
  <si>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</si>
  <si>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</si>
  <si>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</si>
  <si>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</si>
  <si>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</si>
  <si>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</si>
  <si>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</si>
  <si>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</si>
  <si>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</si>
  <si>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</si>
  <si>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</si>
  <si>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</si>
  <si>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</si>
  <si>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</si>
  <si>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</si>
  <si>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</si>
  <si>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</si>
  <si>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</si>
  <si>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</si>
  <si>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</si>
  <si>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</si>
  <si>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</si>
  <si>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</si>
  <si>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</si>
  <si>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</si>
  <si>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</si>
  <si>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</si>
  <si>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</si>
  <si>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</si>
  <si>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</si>
  <si>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</si>
  <si>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</si>
  <si>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</si>
  <si>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</si>
  <si>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</si>
  <si>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</si>
  <si>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</si>
  <si>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</si>
  <si>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</si>
  <si>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</si>
  <si>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</si>
  <si>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</si>
  <si>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</si>
  <si>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</si>
  <si>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</si>
  <si>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</si>
  <si>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</si>
  <si>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</si>
  <si>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</si>
  <si>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</si>
  <si>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</si>
  <si>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</si>
  <si>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</si>
  <si>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</si>
  <si>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</si>
  <si>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</si>
  <si>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</si>
  <si>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</si>
  <si>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</si>
  <si>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</si>
  <si>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</si>
  <si>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</si>
  <si>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</si>
  <si>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</si>
  <si>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</si>
  <si>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</si>
  <si>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</si>
  <si>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</si>
  <si>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</si>
  <si>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</si>
  <si>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</si>
  <si>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</si>
  <si>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</si>
  <si>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</si>
  <si>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</si>
  <si>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</si>
  <si>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</si>
  <si>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</si>
  <si>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</si>
  <si>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</si>
  <si>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</si>
  <si>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</si>
  <si>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</si>
  <si>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</si>
  <si>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</si>
  <si>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</si>
  <si>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</si>
  <si>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</si>
  <si>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</si>
  <si>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</si>
  <si>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</si>
  <si>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</si>
  <si>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</si>
  <si>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</si>
  <si>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</si>
  <si>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</si>
  <si>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</si>
  <si>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</si>
  <si>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</si>
  <si>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</si>
  <si>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</si>
  <si>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</si>
  <si>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</si>
  <si>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</si>
  <si>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</si>
  <si>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</si>
  <si>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</si>
  <si>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</si>
  <si>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</si>
  <si>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</si>
  <si>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</si>
  <si>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</si>
  <si>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</si>
  <si>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</si>
  <si>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</si>
  <si>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</si>
  <si>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</si>
  <si>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</si>
  <si>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</si>
  <si>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</si>
  <si>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</si>
  <si>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</si>
  <si>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</si>
  <si>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</si>
  <si>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</si>
  <si>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</si>
  <si>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</si>
  <si>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</si>
  <si>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</si>
  <si>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</si>
  <si>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</si>
  <si>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</si>
  <si>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</si>
  <si>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</si>
  <si>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</si>
  <si>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</si>
  <si>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</si>
  <si>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</si>
  <si>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</si>
  <si>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</si>
  <si>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</si>
  <si>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</si>
  <si>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</si>
  <si>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</si>
  <si>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</si>
  <si>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</si>
  <si>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</si>
  <si>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</si>
  <si>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</si>
  <si>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</si>
  <si>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</si>
  <si>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</si>
  <si>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</si>
  <si>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</si>
  <si>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</si>
  <si>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</si>
  <si>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</si>
  <si>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</si>
  <si>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</si>
  <si>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</si>
  <si>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</si>
  <si>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</si>
  <si>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</si>
  <si>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</si>
  <si>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</si>
  <si>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</si>
  <si>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</si>
  <si>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</si>
  <si>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</si>
  <si>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</si>
  <si>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</si>
  <si>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</si>
  <si>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</si>
  <si>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</si>
  <si>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</si>
  <si>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</si>
  <si>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</si>
  <si>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</si>
  <si>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</si>
  <si>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</si>
  <si>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</si>
  <si>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</si>
  <si>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</si>
  <si>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</si>
  <si>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</si>
  <si>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</si>
  <si>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</si>
  <si>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</si>
  <si>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</si>
  <si>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</si>
  <si>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</si>
  <si>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</si>
  <si>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</si>
  <si>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</si>
  <si>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</si>
  <si>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</si>
  <si>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</si>
  <si>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</si>
  <si>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</si>
  <si>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</si>
  <si>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</si>
  <si>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</si>
  <si>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</si>
  <si>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</si>
  <si>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</si>
  <si>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</si>
  <si>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</si>
  <si>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</si>
  <si>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</si>
  <si>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</si>
  <si>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</si>
  <si>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</si>
  <si>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</si>
  <si>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</si>
  <si>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</si>
  <si>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</si>
  <si>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</si>
  <si>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</si>
  <si>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</si>
  <si>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</si>
  <si>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</si>
  <si>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</si>
  <si>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</si>
  <si>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</si>
  <si>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</si>
  <si>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</si>
  <si>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</si>
  <si>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</si>
  <si>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</si>
  <si>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</si>
  <si>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</si>
  <si>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</si>
  <si>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</si>
  <si>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</si>
  <si>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</si>
  <si>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</si>
  <si>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</si>
  <si>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</si>
  <si>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</si>
  <si>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</si>
  <si>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</si>
  <si>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</si>
  <si>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</si>
  <si>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</si>
  <si>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</si>
  <si>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</si>
  <si>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</si>
  <si>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</si>
  <si>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</si>
  <si>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</si>
  <si>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</si>
  <si>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</si>
  <si>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</si>
  <si>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</si>
  <si>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</si>
  <si>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</si>
  <si>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</si>
  <si>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</si>
  <si>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</si>
  <si>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</si>
  <si>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</si>
  <si>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</si>
  <si>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</si>
  <si>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</si>
  <si>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</si>
  <si>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</si>
  <si>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</si>
  <si>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</si>
  <si>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</si>
  <si>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</si>
  <si>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</si>
  <si>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</si>
  <si>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</si>
  <si>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</si>
  <si>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</si>
  <si>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</si>
  <si>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</si>
  <si>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</si>
  <si>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</si>
  <si>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</si>
  <si>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</si>
  <si>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</si>
  <si>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</si>
  <si>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</si>
  <si>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</si>
  <si>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</si>
  <si>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</si>
  <si>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</si>
  <si>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</si>
  <si>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</si>
  <si>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</si>
  <si>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</si>
  <si>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</si>
  <si>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</si>
  <si>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</si>
  <si>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</si>
  <si>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</si>
  <si>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</si>
  <si>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</si>
  <si>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</si>
  <si>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</si>
  <si>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</si>
  <si>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</si>
  <si>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</si>
  <si>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</si>
  <si>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</si>
  <si>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</si>
  <si>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</si>
  <si>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</si>
  <si>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</si>
  <si>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</si>
  <si>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</si>
  <si>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</si>
  <si>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</si>
  <si>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</si>
  <si>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</si>
  <si>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</si>
  <si>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</si>
  <si>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</si>
  <si>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</si>
  <si>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</si>
  <si>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</si>
  <si>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</si>
  <si>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</si>
  <si>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</si>
  <si>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</si>
  <si>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</si>
  <si>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</si>
  <si>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</si>
  <si>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</si>
  <si>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</si>
  <si>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</si>
  <si>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</si>
  <si>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</si>
  <si>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</si>
  <si>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</si>
  <si>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</si>
  <si>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</si>
  <si>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</si>
  <si>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</si>
  <si>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</si>
  <si>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</si>
  <si>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</si>
  <si>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</si>
  <si>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</si>
  <si>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</si>
  <si>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</si>
  <si>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</si>
  <si>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</si>
  <si>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</si>
  <si>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</si>
  <si>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</si>
  <si>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</si>
  <si>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</si>
  <si>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</si>
  <si>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</si>
  <si>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</si>
  <si>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</si>
  <si>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</si>
  <si>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</si>
  <si>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</si>
  <si>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</si>
  <si>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</si>
  <si>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</si>
  <si>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</si>
  <si>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</si>
  <si>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</si>
  <si>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</si>
  <si>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</si>
  <si>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</si>
  <si>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</si>
  <si>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</si>
  <si>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</si>
  <si>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</si>
  <si>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</si>
  <si>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</si>
  <si>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</si>
  <si>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</si>
  <si>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</si>
  <si>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</si>
  <si>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</si>
  <si>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</si>
  <si>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</si>
  <si>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</si>
  <si>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</si>
  <si>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</si>
  <si>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</si>
  <si>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</si>
  <si>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</si>
  <si>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</si>
  <si>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</si>
  <si>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</si>
  <si>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</si>
  <si>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</si>
  <si>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</si>
  <si>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</si>
  <si>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</si>
  <si>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</si>
  <si>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</si>
  <si>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</si>
  <si>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</si>
  <si>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</si>
  <si>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</si>
  <si>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</si>
  <si>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</si>
  <si>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</si>
  <si>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</si>
  <si>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</si>
  <si>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</si>
  <si>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</si>
  <si>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</si>
  <si>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</si>
  <si>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</si>
  <si>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</si>
  <si>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</si>
  <si>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</si>
  <si>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</si>
  <si>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</si>
  <si>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</si>
  <si>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</si>
  <si>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</si>
  <si>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</si>
  <si>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</si>
  <si>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</si>
  <si>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</si>
  <si>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</si>
  <si>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</si>
  <si>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</si>
  <si>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</si>
  <si>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</si>
  <si>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</si>
  <si>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</si>
  <si>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</si>
  <si>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</si>
  <si>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</si>
  <si>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</si>
  <si>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</si>
  <si>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</si>
  <si>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</si>
  <si>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</si>
  <si>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</si>
  <si>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</si>
  <si>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</si>
  <si>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</si>
  <si>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</si>
  <si>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</si>
  <si>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</si>
  <si>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</si>
  <si>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</si>
  <si>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</si>
  <si>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</si>
  <si>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</si>
  <si>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</si>
  <si>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</si>
  <si>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</si>
  <si>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</si>
  <si>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</si>
  <si>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</si>
  <si>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</si>
  <si>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</si>
  <si>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</si>
  <si>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</si>
  <si>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</si>
  <si>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</si>
  <si>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</si>
  <si>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</si>
  <si>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</si>
  <si>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</si>
  <si>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</si>
  <si>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</si>
  <si>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</si>
  <si>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</si>
  <si>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</si>
  <si>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</si>
  <si>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</si>
  <si>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</si>
  <si>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</si>
  <si>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</si>
  <si>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</si>
  <si>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</si>
  <si>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</si>
  <si>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</si>
  <si>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</si>
  <si>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</si>
  <si>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</si>
  <si>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</si>
  <si>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</si>
  <si>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</si>
  <si>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</si>
  <si>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</si>
  <si>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</si>
  <si>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</si>
  <si>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</si>
  <si>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</si>
  <si>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</si>
  <si>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</si>
  <si>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</si>
  <si>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</si>
  <si>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</si>
  <si>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</si>
  <si>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</si>
  <si>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</si>
  <si>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</si>
  <si>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</si>
  <si>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</si>
  <si>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</si>
  <si>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</si>
  <si>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</si>
  <si>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</si>
  <si>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</si>
  <si>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</si>
  <si>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</si>
  <si>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</si>
  <si>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</si>
  <si>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</si>
  <si>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</si>
  <si>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</si>
  <si>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</si>
  <si>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</si>
  <si>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</si>
  <si>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</si>
  <si>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</si>
  <si>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</si>
  <si>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</si>
  <si>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</si>
  <si>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</si>
  <si>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</si>
  <si>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</si>
  <si>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</si>
  <si>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</si>
  <si>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</si>
  <si>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</si>
  <si>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</si>
  <si>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</si>
  <si>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</si>
  <si>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</si>
  <si>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</si>
  <si>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</si>
  <si>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</si>
  <si>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</si>
  <si>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</si>
  <si>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</si>
  <si>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</si>
  <si>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</si>
  <si>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</si>
  <si>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</si>
  <si>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</si>
  <si>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</si>
  <si>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</si>
  <si>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</si>
  <si>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</si>
  <si>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</si>
  <si>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</si>
  <si>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</si>
  <si>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</si>
  <si>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</si>
  <si>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</si>
  <si>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</si>
  <si>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</si>
  <si>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</si>
  <si>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</si>
  <si>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</si>
  <si>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</si>
  <si>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</si>
  <si>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</si>
  <si>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</si>
  <si>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</si>
  <si>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</si>
  <si>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</si>
  <si>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</si>
  <si>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</si>
  <si>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</si>
  <si>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</si>
  <si>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</si>
  <si>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</si>
  <si>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</si>
  <si>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</si>
  <si>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</si>
  <si>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</si>
  <si>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</si>
  <si>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</si>
  <si>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</si>
  <si>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</si>
  <si>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</si>
  <si>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</si>
  <si>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</si>
  <si>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</si>
  <si>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</si>
  <si>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</si>
  <si>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</si>
  <si>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</si>
  <si>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</si>
  <si>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</si>
  <si>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</si>
  <si>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</si>
  <si>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</si>
  <si>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</si>
  <si>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</si>
  <si>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</si>
  <si>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</si>
  <si>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</si>
  <si>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</si>
  <si>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</si>
  <si>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</si>
  <si>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</si>
  <si>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</si>
  <si>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</si>
  <si>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</si>
  <si>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</si>
  <si>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</si>
  <si>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</si>
  <si>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</si>
  <si>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</si>
  <si>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</si>
  <si>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</si>
  <si>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</si>
  <si>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</si>
  <si>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</si>
  <si>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</si>
  <si>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</si>
  <si>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</si>
  <si>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</si>
  <si>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</si>
  <si>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</si>
  <si>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</si>
  <si>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</si>
  <si>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</si>
  <si>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</si>
  <si>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</si>
  <si>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</si>
  <si>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</si>
  <si>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</si>
  <si>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</si>
  <si>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</si>
  <si>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</si>
  <si>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</si>
  <si>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</si>
  <si>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</si>
  <si>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</si>
  <si>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</si>
  <si>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</si>
  <si>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</si>
  <si>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</si>
  <si>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</si>
  <si>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</si>
  <si>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</si>
  <si>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</si>
  <si>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</si>
  <si>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</si>
  <si>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</si>
  <si>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</si>
  <si>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</si>
  <si>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</si>
  <si>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</si>
  <si>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</si>
  <si>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</si>
  <si>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</si>
  <si>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</si>
  <si>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PARTLY SUNNY AND COLD.</t>
  </si>
  <si>
    <t xml:space="preserve">  SEVERAL HOURS OF SUN, TURNING BREEZY IN THE AFTERNOON.</t>
  </si>
  <si>
    <t xml:space="preserve">  OMINOUS CLOUDS</t>
  </si>
  <si>
    <t xml:space="preserve">  CLOUDY WITH RAIN AT TIMES; WINDY IN THE AFTERNOON.</t>
  </si>
  <si>
    <t xml:space="preserve">  WINDY; FREQUENT SHOWERS IN THE MORNING FOLLOWED BY AFTERNOON</t>
  </si>
  <si>
    <t xml:space="preserve">  SNOW FLURRIES.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</si>
</sst>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C535BD0-39CB-093B-5F47-B67563396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DDDF3AB-C230-DE80-A2E7-91982AD0E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2152EC4-664D-9B35-EBDF-391B0B3FD2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1008569-BB12-FAC1-7334-D30B4927E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4B9796F7-9692-BD68-A94B-A0CBA03299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8651CFF-2DAA-7915-A921-6D43D21EB3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DF987B3A-DAF4-5EF5-6A35-934CE9AB5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4175AB2-995C-5B81-C97B-D8A3873A3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C4695AAB-4D66-AB4A-1CC6-4F36400BD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E66E574-4ED3-6153-A21B-F74CFDD06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743B48F5-2A08-D9D3-4827-8560A19D8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325B9A61-6DC0-2EDA-37CC-52DEA79C2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6E2E392-794D-7918-3D10-BDC6E1C66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4AAE14C-F1D8-6C92-5EB1-7C0720AAF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EC2B136D-3F47-44E2-F84C-769009A01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4B19BC8-B575-DF05-0FBF-F4921D20F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9E9CBAB3-9E89-EDB8-44D9-EE0ED5EE4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60253D5A-9617-1058-1C36-BDA562847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D5479FE2-7F8D-7E83-5611-461CF4A1F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43230A57-2D20-6FD4-AA00-24F4F460AE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56FEDEDF-50BD-6D7C-AD4D-AAEE9672B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3D412FF7-FC40-B3ED-518E-353C8B19C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88933857-1777-6251-81BE-2281E8F03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EFB50E21-3CDA-ADC7-3D54-70C4EA426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602A928D-587E-2030-8168-A90A8CC46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65EC9E0C-3F84-65BE-3E47-5454E7D91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10B2F30D-DB3A-BF80-CF0C-49CE747A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CD82B942-8936-A27E-2B43-9FDDDBFAB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7E56A188-5370-5B81-244B-15C1BE388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57738488-0B80-F915-7190-61A2902D2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FA93754C-D87D-F854-ACEA-38F5A43C9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E395E01-B878-70A1-B461-F27E519A5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056AC4AC-5FDA-59A4-CDCF-B3CCD8200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40B26CD3-7D52-67B1-7201-1745D02E4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AB42CF4A-50B0-87CD-AE1D-B289D2149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E8F89A44-B993-5B0C-482C-7251719C2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37795801-E695-00CB-25B7-2CC1A09A5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093A3F6E-B7BF-7FC8-7F10-C221D0B0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B212A4A4-956A-D8B6-EB95-D67C547C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3D6D3859-97C4-61CD-26DC-D2889B45B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36684EDD-4290-35B3-E095-4D555F62F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D377F533-47CE-B234-0551-3C005BF93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A0CD0982-22EF-394F-C243-E3C7C35E9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584DC6F3-F5FA-88E9-0FC8-99C30245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233" name="Day_1">
          <a:extLst>
            <a:ext uri="{FF2B5EF4-FFF2-40B4-BE49-F238E27FC236}">
              <a16:creationId xmlns:a16="http://schemas.microsoft.com/office/drawing/2014/main" id="{83CC7328-AFB0-7B09-15D3-DA1B3E379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234" name="Day_2">
          <a:extLst>
            <a:ext uri="{FF2B5EF4-FFF2-40B4-BE49-F238E27FC236}">
              <a16:creationId xmlns:a16="http://schemas.microsoft.com/office/drawing/2014/main" id="{A9E08940-2A0D-E9D9-88AA-09D3BD064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235" name="Day_3">
          <a:extLst>
            <a:ext uri="{FF2B5EF4-FFF2-40B4-BE49-F238E27FC236}">
              <a16:creationId xmlns:a16="http://schemas.microsoft.com/office/drawing/2014/main" id="{9513A8FE-83D0-2AD4-3CF7-49DB500C7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236" name="Day_4">
          <a:extLst>
            <a:ext uri="{FF2B5EF4-FFF2-40B4-BE49-F238E27FC236}">
              <a16:creationId xmlns:a16="http://schemas.microsoft.com/office/drawing/2014/main" id="{7B43C06F-EDB4-B30D-304C-7995D785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237" name="Day_5">
          <a:extLst>
            <a:ext uri="{FF2B5EF4-FFF2-40B4-BE49-F238E27FC236}">
              <a16:creationId xmlns:a16="http://schemas.microsoft.com/office/drawing/2014/main" id="{12966414-474E-DA50-6134-BE479D0E6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238" name="Day_6">
          <a:extLst>
            <a:ext uri="{FF2B5EF4-FFF2-40B4-BE49-F238E27FC236}">
              <a16:creationId xmlns:a16="http://schemas.microsoft.com/office/drawing/2014/main" id="{38464AA9-86B2-BD37-377A-C87FEE85E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4331082E-C8D9-87A2-26D8-AFC4E16D6990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6C05A2B2-F938-8A6A-BEAA-92E6C155E8D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D2E74663-7816-E8B7-55E1-E6754DC64389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0E260E23-2BEB-517F-4193-F95F79E4C139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3ADB3DCB-2DEF-718C-DC01-3DBA61299EE1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82DAEAA6-C49B-A6EB-3DAF-796A5F113C9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500EEDB4-B00C-B5E3-C10A-1264052B9144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396831CD-DCEA-AB13-3EAB-8E72628C74BF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E6D25798-61E4-2F92-B846-22672FE2DD71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F9E25F6C-1974-14C5-AF80-16D7EEF7FD37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6201C978-4931-0F29-F91F-A9A35E150AD2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4093AD5-5BDD-E0E7-E942-B0BF7FC5D350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F89A0052-F7BA-8911-8154-9A74CB127668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B33B5277-5F8B-1642-BF8A-27232D3BC984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F8255188-6232-D553-00D3-1B9A57EADFDB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026DB31B-D3B5-75A1-F4F3-7331936F0537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1115C2EE-1CE2-C083-ABC9-5BEB100AC04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AAD99343-AF49-7377-571A-3C0A0494867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2E89A5E1-9B81-1233-C3B3-540277D121F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22E6534E-4D59-5B58-D836-DFD2AA8D38C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206C68F4-BD11-1951-9A93-1C6B0704EE52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E3A6998E-FF25-252C-C647-71C24B1E7E31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0FED8741-6832-A33E-7BEB-9CFCC6639AD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859E72E6-57E6-DEF0-2E5E-870E88BC8F0C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B982BC2A-3D58-E81C-D5EA-0AFDDFEA0A3F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BC44E566-3D3F-BC75-C523-43FA78CDBA83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EFF07161-B580-B7A1-01EA-736FD1CBF3C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29859A40-B6DC-E5B7-899D-022B15C1883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D66A6547-526E-0A78-71D5-81AA663CF23C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80CAF8A7-42A4-DA04-DE49-9FC29F351E6B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7193B67C-0A9C-96D3-8A23-9640D655717B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81A82634-1DAC-2892-628E-EF6B192CB86B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F80138BE-288F-836D-95B8-A60815F386A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D11B1EA5-16DB-3F67-DD60-A8F95C2120B7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6D595FE9-A7CA-AAAA-1069-3184052F995C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224E9ED4-238E-6BAD-FFD9-628083E33A8F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25BE6132-2156-0D66-B100-F526ED10D020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2A7775FA-49E0-7162-FA9B-8CB19B59C9CA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C5B3C057-02D6-8351-37CB-4E3EF7ABD835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6A59C1E4-57E0-64C8-E785-A4E4E569E344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6A04229B-C383-09C4-6B3C-6E2FC6C95DEC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6649D6FB-2F4E-E17A-4623-051F4E7D37A6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C19EAA7C-7C7F-12CF-8898-7F74E6249284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70BCDE05-BD68-5B28-18D1-BB5317940030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BC1C6D7D-9722-5FF4-1FE3-88AE05FE016C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35515B63-4452-D869-2A64-3B7D40BBF881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EBF2790-1DE3-E91B-FDE8-56B53092C14A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5FF63864-B33A-B6C8-4D3D-881D730DA6E9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9568FEB4-42CC-920B-863D-F1EA2ADF6948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E6CE35B9-E7BE-66A3-DE80-D0F60322843D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AEEC4844-9ADA-BD38-EB0D-7B124FA62C67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F40AEA87-9122-AFB7-9511-2F3B526A7873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BCC2B4A8-A24B-A8E1-2130-1C405B265D9D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7E30BFE7-182B-97F6-7BAD-CD6BB668C73F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2CCBAC3C-A2B4-2B94-CCCE-13CCB8C393EB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82DDD190-B30F-1B6C-6A2E-A7ACF90B2C85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A35041AB-49CB-9660-6B50-B2B9260BCDC5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DC4A007B-806B-700C-EE82-F19A74E4634B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BF9244B1-5132-D3CB-802A-1E8FD4AB09A5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2DE52521-514E-025C-CA05-1C1B10C2935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150EF779-BA4B-D705-9C50-38CED24D2E56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89A3019E-D698-BBDC-E2C1-1D08096DA45E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A6EC6581-3435-CA4C-05D0-0DA6194FDF72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5BA16390-6F6F-8200-6BA3-ED6CA6CC01CD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0BCBFCF2-DCD0-0804-C30B-9ACE10D8503B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DE45B3FB-A0C2-D87A-351A-0407C6611BF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C6AA1C39-A36D-6818-2F09-A0EFE358EB65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4C8A13B2-6340-0C13-90AB-C6D9127EF156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36D1966A-A39B-C535-6EDB-A6D2ECBC55D2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773AF3F6-FC30-07D0-DD3F-C7C13E90C41C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9ACED2C3-EC0D-C322-9AA3-2DB2DEF09007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D9B4CE31-BCDF-49FF-5862-1491AAF2EA31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76F42931-5496-ED1C-95A7-8D79C2C91BAA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B42E2D4D-4D3A-BA69-E514-F01046291683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07471DA3-0B11-964E-F95D-BEAC14B5F321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912F144B-B7BB-FAA3-CF51-520665E2FE0C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2E0D0B05-AF9F-BA58-85C3-5D33CBBF1D3A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9C40B4F3-BAD1-579F-677A-C394A46DD6E9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90004188-FCCB-5ED7-A045-3588DDE1F9CD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B5E81C8B-2D2F-12FC-6FE4-1A64449DC818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06A270A0-EB11-409C-97C0-690036483F90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6DCF7644-D6CD-15E9-D713-9F85788C995B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4D11F803-DD5A-7CA2-B381-6680E6C96222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935FA107-421E-8E20-23EA-8B006089BBE1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0449C0DE-8B95-2A27-E9EA-8EC269CA261C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4DDAEF32-A52D-49E0-F402-D740899A4907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B13BD9CE-DCF4-3413-2E63-88E1DAFEF18D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F0B1DF17-397D-35E7-6101-1619F33EB2E0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F7FFD59E-B50B-4155-8D4F-7EFB13991D78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0EBB853B-4642-93EE-6491-8E33C8222093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A0023D68-B38A-96D4-1F67-ABA3EF61A1EE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1AC41483-F802-E17C-7FE2-7F3AB63EC90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60382EA7-CCBA-7333-FCEC-A8BEC11B7304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85479B5B-188A-5F3C-5C33-58BEF9EF8B0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475FC70E-7B40-2978-B44E-78B75D819A62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627765EA-0058-39F8-6C09-A4BC7A3CC792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3FF3A8F4-F19E-C364-A08A-9D106C5F82CF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B6CC4A67-88BA-1086-6277-AD4878744E71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B24CA51A-9680-3C67-9C47-8D2B73B5BC61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A5668084-5B1D-0CCC-6BCB-56EDA2AB37A7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87807D54-1440-22C8-73F2-BA9644FE2737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F9429970-0571-2838-EDF5-E7FE0CF55881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290FA4BD-0247-A161-C4AC-D4A282F220DF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EF6A8ACF-49FD-172B-BB66-FA4B9CC57C78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94DB0632-B70E-2C42-EB73-7E9DF87CFADA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FBE2F186-8E7F-B10D-2980-94C652F3CB6E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220668F9-81FB-CB31-2262-A86334C2D0B7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A8A53290-098F-EA89-015F-3C0A7CFFA85B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F020DA2F-D2B5-E1CD-4666-DE12A31844AA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6C0E06FB-8B9E-D31B-5F17-65831D283C44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6CB356B-A106-CDFF-208C-E8D104DA9923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138A8A93-4116-D81F-D4C8-7FA8A4D54F9E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4E4684ED-A0A7-E09D-9B1D-9E9EB05B6590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F7124829-8265-1F97-7C1C-52FC6B203B6C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E9F82C78-BD62-66EF-0E71-A4BE0F41B2B0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67C58B9B-55E2-4C8F-9614-8F870756773E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7FD2E9C6-5D9A-7CFF-B8F0-4F7ACA003977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727EA245-DE1B-8DE4-1C59-D3D02337837B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85D79D62-4CAE-0DA3-5F46-DFAB1E0814CD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BB6D6E41-9F8B-FEC7-42BD-22E390E533C5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53C18799-80D4-A264-C346-29916EDABC09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28F40AF9-FF17-4518-6843-3BD4349093D5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B72D7BE6-04D1-C2A0-0BB5-0A3AFF5E3906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BF83E8E-15EB-849C-EF44-CA868A14B8C1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925B1BE8-C783-19DD-1946-F7411D84E7FF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7106D59E-4140-2845-5C69-98D17A516057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793950D7-0500-1ADE-563E-385654018173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A12DDFE-AD85-7536-CE14-719AE6432586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2CB90EDB-7673-4B84-8263-2FBA84F2AB64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F3A57FB8-E004-0B51-5479-0F2887CBCB4D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FRI</v>
      </c>
      <c r="I1" s="881">
        <f>D4</f>
        <v>36959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36959</v>
      </c>
      <c r="E4" s="848">
        <f>Weather_Input!A6</f>
        <v>36960</v>
      </c>
      <c r="F4" s="848">
        <f>Weather_Input!A7</f>
        <v>36961</v>
      </c>
      <c r="G4" s="848">
        <f>Weather_Input!A8</f>
        <v>36962</v>
      </c>
      <c r="H4" s="848">
        <f>Weather_Input!A9</f>
        <v>36963</v>
      </c>
      <c r="I4" s="849">
        <f>Weather_Input!A10</f>
        <v>36964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37/22/30</v>
      </c>
      <c r="E5" s="882" t="str">
        <f>TEXT(Weather_Input!B6,"0")&amp;"/"&amp;TEXT(Weather_Input!C6,"0") &amp; "/" &amp; TEXT((Weather_Input!B6+Weather_Input!C6)/2,"0")</f>
        <v>46/33/40</v>
      </c>
      <c r="F5" s="882" t="str">
        <f>TEXT(Weather_Input!B7,"0")&amp;"/"&amp;TEXT(Weather_Input!C7,"0") &amp; "/" &amp; TEXT((Weather_Input!B7+Weather_Input!C7)/2,"0")</f>
        <v>40/33/37</v>
      </c>
      <c r="G5" s="882" t="str">
        <f>TEXT(Weather_Input!B8,"0")&amp;"/"&amp;TEXT(Weather_Input!C8,"0") &amp; "/" &amp; TEXT((Weather_Input!B8+Weather_Input!C8)/2,"0")</f>
        <v>46/35/41</v>
      </c>
      <c r="H5" s="882" t="str">
        <f>TEXT(Weather_Input!B9,"0")&amp;"/"&amp;TEXT(Weather_Input!C9,"0") &amp; "/" &amp; TEXT((Weather_Input!B9+Weather_Input!C9)/2,"0")</f>
        <v>45/29/37</v>
      </c>
      <c r="I5" s="883" t="str">
        <f>TEXT(Weather_Input!B10,"0")&amp;"/"&amp;TEXT(Weather_Input!C10,"0") &amp; "/" &amp; TEXT((Weather_Input!B10+Weather_Input!C10)/2,"0")</f>
        <v>45/29/37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160</v>
      </c>
      <c r="E6" s="851">
        <f ca="1">VLOOKUP(E4,NSG_Sendouts,CELL("Col",NSG_Deliveries!C6),FALSE)/1000</f>
        <v>130</v>
      </c>
      <c r="F6" s="851">
        <f ca="1">VLOOKUP(F4,NSG_Sendouts,CELL("Col",NSG_Deliveries!C7),FALSE)/1000</f>
        <v>136</v>
      </c>
      <c r="G6" s="851">
        <f ca="1">VLOOKUP(G4,NSG_Sendouts,CELL("Col",NSG_Deliveries!C8),FALSE)/1000</f>
        <v>128</v>
      </c>
      <c r="H6" s="851">
        <f ca="1">VLOOKUP(H4,NSG_Sendouts,CELL("Col",NSG_Deliveries!C9),FALSE)/1000</f>
        <v>136</v>
      </c>
      <c r="I6" s="856">
        <f ca="1">VLOOKUP(I4,NSG_Sendouts,CELL("Col",NSG_Deliveries!C10),FALSE)/1000</f>
        <v>136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1.5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2.33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163.83000000000001</v>
      </c>
      <c r="E19" s="860">
        <f t="shared" ca="1" si="1"/>
        <v>130</v>
      </c>
      <c r="F19" s="860">
        <f t="shared" ca="1" si="1"/>
        <v>136</v>
      </c>
      <c r="G19" s="860">
        <f t="shared" ca="1" si="1"/>
        <v>128</v>
      </c>
      <c r="H19" s="860">
        <f t="shared" ca="1" si="1"/>
        <v>136</v>
      </c>
      <c r="I19" s="861">
        <f t="shared" ca="1" si="1"/>
        <v>136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40</v>
      </c>
      <c r="E23" s="851">
        <f>NSG_Supplies!L8/1000</f>
        <v>30</v>
      </c>
      <c r="F23" s="851">
        <f>NSG_Supplies!L9/1000</f>
        <v>30</v>
      </c>
      <c r="G23" s="851">
        <f>NSG_Supplies!L10/1000</f>
        <v>30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103.827</v>
      </c>
      <c r="E32" s="851">
        <f>NSG_Supplies!R8/1000</f>
        <v>83.802000000000007</v>
      </c>
      <c r="F32" s="851">
        <f>NSG_Supplies!R9/1000</f>
        <v>83.802000000000007</v>
      </c>
      <c r="G32" s="851">
        <f>NSG_Supplies!R10/1000</f>
        <v>83.802000000000007</v>
      </c>
      <c r="H32" s="851">
        <f>NSG_Supplies!R11/1000</f>
        <v>83.802000000000007</v>
      </c>
      <c r="I32" s="852">
        <f>NSG_Supplies!R12/1000</f>
        <v>83.802000000000007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163.827</v>
      </c>
      <c r="E37" s="891">
        <f t="shared" si="2"/>
        <v>133.80200000000002</v>
      </c>
      <c r="F37" s="891">
        <f t="shared" si="2"/>
        <v>133.80200000000002</v>
      </c>
      <c r="G37" s="891">
        <f t="shared" si="2"/>
        <v>133.80200000000002</v>
      </c>
      <c r="H37" s="891">
        <f t="shared" si="2"/>
        <v>123.80200000000001</v>
      </c>
      <c r="I37" s="892">
        <f t="shared" si="2"/>
        <v>123.80200000000001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3.8020000000000209</v>
      </c>
      <c r="F38" s="895">
        <f t="shared" ca="1" si="3"/>
        <v>0</v>
      </c>
      <c r="G38" s="895">
        <f t="shared" ca="1" si="3"/>
        <v>5.8020000000000209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3.0000000000143245E-3</v>
      </c>
      <c r="E39" s="877">
        <f t="shared" ca="1" si="4"/>
        <v>0</v>
      </c>
      <c r="F39" s="877">
        <f t="shared" ca="1" si="4"/>
        <v>2.1979999999999791</v>
      </c>
      <c r="G39" s="877">
        <f t="shared" ca="1" si="4"/>
        <v>0</v>
      </c>
      <c r="H39" s="877">
        <f t="shared" ca="1" si="4"/>
        <v>12.197999999999993</v>
      </c>
      <c r="I39" s="878">
        <f t="shared" ca="1" si="4"/>
        <v>12.197999999999993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33.817999999999998</v>
      </c>
      <c r="E40" s="1175">
        <f>NSG_Supplies!S8/1000</f>
        <v>33.817999999999998</v>
      </c>
      <c r="F40" s="1175">
        <f>NSG_Supplies!S9/1000</f>
        <v>33.817999999999998</v>
      </c>
      <c r="G40" s="1175">
        <f>NSG_Supplies!S10/1000</f>
        <v>33.817999999999998</v>
      </c>
      <c r="H40" s="1175">
        <f>NSG_Supplies!S11/1000</f>
        <v>33.817999999999998</v>
      </c>
      <c r="I40" s="1176">
        <f>NSG_Supplies!S12/1000</f>
        <v>33.817999999999998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8</v>
      </c>
      <c r="E42" s="902">
        <f>Weather_Input!D6</f>
        <v>12</v>
      </c>
      <c r="F42" s="902">
        <f>Weather_Input!D7</f>
        <v>12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>
      <selection activeCell="C2" sqref="C2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36959</v>
      </c>
      <c r="G1" s="771" t="str">
        <f>CHOOSE(WEEKDAY(F1),"SUN","MON","TUE","WED","THU","FRI","SAT")</f>
        <v>FRI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/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37</v>
      </c>
      <c r="C4" s="965">
        <f>Weather_Input!C5</f>
        <v>22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950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324.41199999999998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26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-249.66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148.762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236.78200000000001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76.2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6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571.49599999999998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378.50400000000002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378.50400000000002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-24.11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-358.14100000000002</v>
      </c>
      <c r="D29" s="987" t="s">
        <v>11</v>
      </c>
      <c r="E29" s="986">
        <f>-PGL_Supplies!AC7/1000</f>
        <v>-358.14100000000002</v>
      </c>
      <c r="F29" s="307"/>
      <c r="G29" s="986">
        <f>-PGL_Supplies!AC7/1000</f>
        <v>-358.14100000000002</v>
      </c>
      <c r="H29" s="515"/>
      <c r="I29" s="988">
        <f>-PGL_Supplies!AC7/1000</f>
        <v>-358.14100000000002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324.41199999999998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324.41199999999998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4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22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26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148.762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148.762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-249.66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236.78200000000001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236.78200000000001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76.2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236.78200000000001</v>
      </c>
    </row>
    <row r="63" spans="1:9" ht="16.5" thickBot="1">
      <c r="A63" s="800" t="s">
        <v>565</v>
      </c>
      <c r="B63" s="1020">
        <f>+B62+B61-B60+B59</f>
        <v>76.2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>
      <selection activeCell="C2" sqref="C2"/>
    </sheetView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FRI</v>
      </c>
      <c r="G1" s="1084">
        <f>Weather_Input!A5</f>
        <v>36959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/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37</v>
      </c>
      <c r="C4" s="759">
        <f>Weather_Input!C5</f>
        <v>22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160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101.5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18.5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40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101.5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2.33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-103.827</v>
      </c>
      <c r="D26" s="719"/>
      <c r="E26" s="712">
        <f>-NSG_Supplies!R7/1000</f>
        <v>-103.827</v>
      </c>
      <c r="F26" s="719"/>
      <c r="G26" s="712">
        <f>-NSG_Supplies!R7/1000</f>
        <v>-103.827</v>
      </c>
      <c r="H26" s="718"/>
      <c r="I26" s="777">
        <f>-NSG_Supplies!R7/1000</f>
        <v>-103.827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40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40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1.5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18.5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36959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37</v>
      </c>
      <c r="C5" s="266">
        <f>Weather_Input!C5</f>
        <v>22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950</v>
      </c>
      <c r="C8" s="274">
        <f>NSG_Deliveries!C5/1000</f>
        <v>160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26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450.94099999999997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150.61199999999997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6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-637.55299999999988</v>
      </c>
      <c r="C18" s="289">
        <f>-I63</f>
        <v>-40</v>
      </c>
      <c r="D18" s="290" t="s">
        <v>11</v>
      </c>
      <c r="E18" s="289">
        <f>-I63</f>
        <v>-40</v>
      </c>
      <c r="F18" s="290" t="s">
        <v>11</v>
      </c>
      <c r="G18" s="289">
        <f>-I63</f>
        <v>-40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312.44700000000012</v>
      </c>
      <c r="C20" s="295">
        <f>C8+C18+C19</f>
        <v>120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316.19700000000012</v>
      </c>
      <c r="C23" s="301">
        <f>C20</f>
        <v>120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-358.14100000000002</v>
      </c>
      <c r="C32" s="315">
        <f>-NSG_Supplies!R7/1000</f>
        <v>-103.827</v>
      </c>
      <c r="D32" s="315">
        <f>B32</f>
        <v>-358.14100000000002</v>
      </c>
      <c r="E32" s="315">
        <f>C32</f>
        <v>-103.827</v>
      </c>
      <c r="F32" s="315">
        <f>B32</f>
        <v>-358.14100000000002</v>
      </c>
      <c r="G32" s="315">
        <f>C32</f>
        <v>-103.827</v>
      </c>
      <c r="H32" s="320">
        <f>B32</f>
        <v>-358.14100000000002</v>
      </c>
      <c r="I32" s="321">
        <f>C32</f>
        <v>-103.827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-33.817999999999998</v>
      </c>
      <c r="D33" s="315">
        <f>B33</f>
        <v>0</v>
      </c>
      <c r="E33" s="315">
        <f>C33</f>
        <v>-33.817999999999998</v>
      </c>
      <c r="F33" s="315">
        <f>B33</f>
        <v>0</v>
      </c>
      <c r="G33" s="315">
        <f>C33</f>
        <v>-33.817999999999998</v>
      </c>
      <c r="H33" s="320">
        <f>B33</f>
        <v>0</v>
      </c>
      <c r="I33" s="321">
        <f>C33</f>
        <v>-33.817999999999998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2.33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-24.11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302.17899999999997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148.762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450.94099999999997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26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40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26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40</v>
      </c>
    </row>
    <row r="64" spans="1:9" ht="17.100000000000001" customHeight="1" thickBot="1">
      <c r="A64" s="425" t="s">
        <v>394</v>
      </c>
      <c r="B64" s="324">
        <f>PGL_Supplies!Y7/1000</f>
        <v>324.41199999999998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76.2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150.61199999999997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36959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22</v>
      </c>
      <c r="D97" s="603"/>
      <c r="E97" s="615">
        <f>+C97</f>
        <v>22</v>
      </c>
      <c r="F97" s="603"/>
      <c r="G97" s="615">
        <f>+C97</f>
        <v>22</v>
      </c>
      <c r="H97" s="603"/>
      <c r="I97" s="285">
        <f>+C97</f>
        <v>22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450.94099999999997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400.61199999999997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6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-22</v>
      </c>
      <c r="C116" s="419">
        <f>-NSG_Supplies!W7/1000</f>
        <v>0</v>
      </c>
      <c r="D116" s="315">
        <f>-PGL_Supplies!Z7/1000</f>
        <v>-22</v>
      </c>
      <c r="E116" s="315">
        <f>-NSG_Supplies!W7/1000</f>
        <v>0</v>
      </c>
      <c r="F116" s="315">
        <f>-PGL_Supplies!Z7/1000</f>
        <v>-22</v>
      </c>
      <c r="G116" s="315">
        <f>-NSG_Supplies!W7/1000</f>
        <v>0</v>
      </c>
      <c r="H116" s="320">
        <f>-PGL_Supplies!Z7/1000</f>
        <v>-22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-148.762</v>
      </c>
      <c r="C117" s="315">
        <f>-NSG_Supplies!X7/1000</f>
        <v>0</v>
      </c>
      <c r="D117" s="315">
        <f>-PGL_Supplies!AA7/1000</f>
        <v>-148.762</v>
      </c>
      <c r="E117" s="315">
        <f>-NSG_Supplies!X7/1000</f>
        <v>0</v>
      </c>
      <c r="F117" s="315">
        <f>-PGL_Supplies!AA7/1000</f>
        <v>-148.762</v>
      </c>
      <c r="G117" s="315">
        <f>-NSG_Supplies!X7/1000</f>
        <v>0</v>
      </c>
      <c r="H117" s="320">
        <f>-PGL_Supplies!AA7/1000</f>
        <v>-148.762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-33.817999999999998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22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22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148.762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302.17899999999997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450.94099999999997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76.2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324.41199999999998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400.61199999999997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36960.190033217594</v>
      </c>
      <c r="F22" s="164" t="s">
        <v>272</v>
      </c>
      <c r="G22" s="191">
        <f ca="1">NOW()</f>
        <v>36960.190033217594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36960.190033217594</v>
      </c>
      <c r="F22" s="164" t="s">
        <v>272</v>
      </c>
      <c r="G22" s="191">
        <f ca="1">NOW()</f>
        <v>36960.190033217594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36959</v>
      </c>
      <c r="C5" s="15"/>
      <c r="D5" s="22" t="s">
        <v>290</v>
      </c>
      <c r="E5" s="23">
        <f>Weather_Input!B5</f>
        <v>37</v>
      </c>
      <c r="F5" s="24" t="s">
        <v>291</v>
      </c>
      <c r="G5" s="25">
        <f>Weather_Input!H5</f>
        <v>34</v>
      </c>
      <c r="H5" s="26" t="s">
        <v>292</v>
      </c>
      <c r="I5" s="27">
        <f ca="1">G5-(VLOOKUP(B5,DD_Normal_Data,CELL("Col",B6),FALSE))</f>
        <v>4</v>
      </c>
    </row>
    <row r="6" spans="1:109" ht="15">
      <c r="A6" s="18"/>
      <c r="B6" s="21"/>
      <c r="C6" s="15"/>
      <c r="D6" s="22" t="s">
        <v>176</v>
      </c>
      <c r="E6" s="23">
        <f>Weather_Input!C5</f>
        <v>22</v>
      </c>
      <c r="F6" s="24" t="s">
        <v>293</v>
      </c>
      <c r="G6" s="25">
        <f>Weather_Input!F5</f>
        <v>307</v>
      </c>
      <c r="H6" s="26" t="s">
        <v>294</v>
      </c>
      <c r="I6" s="27">
        <f ca="1">G6-(VLOOKUP(B5,DD_Normal_Data,CELL("Col",C7),FALSE))</f>
        <v>24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29.5</v>
      </c>
      <c r="F7" s="24" t="s">
        <v>296</v>
      </c>
      <c r="G7" s="25">
        <f>Weather_Input!G5</f>
        <v>5392</v>
      </c>
      <c r="H7" s="26" t="s">
        <v>296</v>
      </c>
      <c r="I7" s="123">
        <f ca="1">G7-(VLOOKUP(B5,DD_Normal_Data,CELL("Col",D4),FALSE))</f>
        <v>314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PARTLY SUNNY AND COLD.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36960</v>
      </c>
      <c r="C10" s="15"/>
      <c r="D10" s="153" t="s">
        <v>290</v>
      </c>
      <c r="E10" s="23">
        <f>Weather_Input!B6</f>
        <v>46</v>
      </c>
      <c r="F10" s="24" t="s">
        <v>291</v>
      </c>
      <c r="G10" s="25">
        <f>IF(E12&lt;65,65-(Weather_Input!B6+Weather_Input!C6)/2,0)</f>
        <v>25.5</v>
      </c>
      <c r="H10" s="26" t="s">
        <v>292</v>
      </c>
      <c r="I10" s="27">
        <f ca="1">G10-(VLOOKUP(B10,DD_Normal_Data,CELL("Col",B11),FALSE))</f>
        <v>-4.5</v>
      </c>
    </row>
    <row r="11" spans="1:109" ht="15">
      <c r="A11" s="18"/>
      <c r="B11" s="21"/>
      <c r="C11" s="15"/>
      <c r="D11" s="22" t="s">
        <v>176</v>
      </c>
      <c r="E11" s="23">
        <f>Weather_Input!C6</f>
        <v>33</v>
      </c>
      <c r="F11" s="24" t="s">
        <v>293</v>
      </c>
      <c r="G11" s="25">
        <f>IF(DAY(B10)=1,G10,G6+G10)</f>
        <v>332.5</v>
      </c>
      <c r="H11" s="30" t="s">
        <v>294</v>
      </c>
      <c r="I11" s="27">
        <f ca="1">G11-(VLOOKUP(B10,DD_Normal_Data,CELL("Col",C12),FALSE))</f>
        <v>19.5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39.5</v>
      </c>
      <c r="F12" s="24" t="s">
        <v>296</v>
      </c>
      <c r="G12" s="25">
        <f>IF(AND(DAY(B10)=1,MONTH(B10)=8),G10,G7+G10)</f>
        <v>5417.5</v>
      </c>
      <c r="H12" s="26" t="s">
        <v>296</v>
      </c>
      <c r="I12" s="27">
        <f ca="1">G12-(VLOOKUP(B10,DD_Normal_Data,CELL("Col",D9),FALSE))</f>
        <v>309.5</v>
      </c>
    </row>
    <row r="13" spans="1:109" ht="15">
      <c r="A13" s="18"/>
      <c r="B13" s="21"/>
      <c r="C13" s="15"/>
      <c r="D13" s="32" t="str">
        <f>IF(Weather_Input!I6=""," ",Weather_Input!I6)</f>
        <v xml:space="preserve">  SEVERAL HOURS OF SUN, TURNING BREEZY IN THE AFTERNOON.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36961</v>
      </c>
      <c r="C15" s="15"/>
      <c r="D15" s="22" t="s">
        <v>290</v>
      </c>
      <c r="E15" s="23">
        <f>Weather_Input!B7</f>
        <v>40</v>
      </c>
      <c r="F15" s="24" t="s">
        <v>291</v>
      </c>
      <c r="G15" s="25">
        <f>IF(E17&lt;65,65-(Weather_Input!B7+Weather_Input!C7)/2,0)</f>
        <v>28.5</v>
      </c>
      <c r="H15" s="26" t="s">
        <v>292</v>
      </c>
      <c r="I15" s="27">
        <f ca="1">G15-(VLOOKUP(B15,DD_Normal_Data,CELL("Col",B16),FALSE))</f>
        <v>-1.5</v>
      </c>
    </row>
    <row r="16" spans="1:109" ht="15">
      <c r="A16" s="18"/>
      <c r="B16" s="20"/>
      <c r="C16" s="15"/>
      <c r="D16" s="22" t="s">
        <v>176</v>
      </c>
      <c r="E16" s="23">
        <f>Weather_Input!C7</f>
        <v>33</v>
      </c>
      <c r="F16" s="24" t="s">
        <v>293</v>
      </c>
      <c r="G16" s="25">
        <f>IF(DAY(B15)=1,G15,G11+G15)</f>
        <v>361</v>
      </c>
      <c r="H16" s="30" t="s">
        <v>294</v>
      </c>
      <c r="I16" s="27">
        <f ca="1">G16-(VLOOKUP(B15,DD_Normal_Data,CELL("Col",C17),FALSE))</f>
        <v>18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36.5</v>
      </c>
      <c r="F17" s="24" t="s">
        <v>296</v>
      </c>
      <c r="G17" s="25">
        <f>IF(AND(DAY(B15)=1,MONTH(B15)=8),G15,G12+G15)</f>
        <v>5446</v>
      </c>
      <c r="H17" s="26" t="s">
        <v>296</v>
      </c>
      <c r="I17" s="27">
        <f ca="1">G17-(VLOOKUP(B15,DD_Normal_Data,CELL("Col",D14),FALSE))</f>
        <v>308</v>
      </c>
    </row>
    <row r="18" spans="1:109" ht="15">
      <c r="A18" s="18"/>
      <c r="B18" s="20"/>
      <c r="C18" s="15"/>
      <c r="D18" s="32" t="str">
        <f>IF(Weather_Input!I7=""," ",Weather_Input!I7)</f>
        <v xml:space="preserve">  OMINOUS CLOUDS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36962</v>
      </c>
      <c r="C20" s="15"/>
      <c r="D20" s="22" t="s">
        <v>290</v>
      </c>
      <c r="E20" s="23">
        <f>Weather_Input!B8</f>
        <v>46</v>
      </c>
      <c r="F20" s="24" t="s">
        <v>291</v>
      </c>
      <c r="G20" s="25">
        <f>IF(E22&lt;65,65-(Weather_Input!B8+Weather_Input!C8)/2,0)</f>
        <v>24.5</v>
      </c>
      <c r="H20" s="26" t="s">
        <v>292</v>
      </c>
      <c r="I20" s="27">
        <f ca="1">G20-(VLOOKUP(B20,DD_Normal_Data,CELL("Col",B21),FALSE))</f>
        <v>-4.5</v>
      </c>
    </row>
    <row r="21" spans="1:109" ht="15">
      <c r="A21" s="18"/>
      <c r="B21" s="21"/>
      <c r="C21" s="15"/>
      <c r="D21" s="22" t="s">
        <v>176</v>
      </c>
      <c r="E21" s="23">
        <f>Weather_Input!C8</f>
        <v>35</v>
      </c>
      <c r="F21" s="24" t="s">
        <v>293</v>
      </c>
      <c r="G21" s="25">
        <f>IF(DAY(B20)=1,G20,G16+G20)</f>
        <v>385.5</v>
      </c>
      <c r="H21" s="30" t="s">
        <v>294</v>
      </c>
      <c r="I21" s="27">
        <f ca="1">G21-(VLOOKUP(B20,DD_Normal_Data,CELL("Col",C22),FALSE))</f>
        <v>13.5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40.5</v>
      </c>
      <c r="F22" s="24" t="s">
        <v>296</v>
      </c>
      <c r="G22" s="25">
        <f>IF(AND(DAY(B20)=1,MONTH(B20)=8),G20,G17+G20)</f>
        <v>5470.5</v>
      </c>
      <c r="H22" s="26" t="s">
        <v>296</v>
      </c>
      <c r="I22" s="27">
        <f ca="1">G22-(VLOOKUP(B20,DD_Normal_Data,CELL("Col",D19),FALSE))</f>
        <v>303.5</v>
      </c>
    </row>
    <row r="23" spans="1:109" ht="15">
      <c r="A23" s="18"/>
      <c r="B23" s="21"/>
      <c r="C23" s="15"/>
      <c r="D23" s="32" t="str">
        <f>IF(Weather_Input!I8=""," ",Weather_Input!I8)</f>
        <v xml:space="preserve">  CLOUDY WITH RAIN AT TIMES; WINDY IN THE AFTERNOON.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36963</v>
      </c>
      <c r="C25" s="15"/>
      <c r="D25" s="22" t="s">
        <v>290</v>
      </c>
      <c r="E25" s="23">
        <f>Weather_Input!B9</f>
        <v>45</v>
      </c>
      <c r="F25" s="24" t="s">
        <v>291</v>
      </c>
      <c r="G25" s="25">
        <f>IF(E27&lt;65,65-(Weather_Input!B9+Weather_Input!C9)/2,0)</f>
        <v>28</v>
      </c>
      <c r="H25" s="26" t="s">
        <v>292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176</v>
      </c>
      <c r="E26" s="23">
        <f>Weather_Input!C9</f>
        <v>29</v>
      </c>
      <c r="F26" s="24" t="s">
        <v>293</v>
      </c>
      <c r="G26" s="25">
        <f>IF(DAY(B25)=1,G25,G21+G25)</f>
        <v>413.5</v>
      </c>
      <c r="H26" s="30" t="s">
        <v>294</v>
      </c>
      <c r="I26" s="27">
        <f ca="1">G26-(VLOOKUP(B25,DD_Normal_Data,CELL("Col",C27),FALSE))</f>
        <v>12.5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37</v>
      </c>
      <c r="F27" s="24" t="s">
        <v>296</v>
      </c>
      <c r="G27" s="25">
        <f>IF(AND(DAY(B25)=1,MONTH(B25)=8),G25,G22+G25)</f>
        <v>5498.5</v>
      </c>
      <c r="H27" s="26" t="s">
        <v>296</v>
      </c>
      <c r="I27" s="27">
        <f ca="1">G27-(VLOOKUP(B25,DD_Normal_Data,CELL("Col",D24),FALSE))</f>
        <v>302.5</v>
      </c>
    </row>
    <row r="28" spans="1:109" ht="15">
      <c r="A28" s="18"/>
      <c r="B28" s="20"/>
      <c r="C28" s="15"/>
      <c r="D28" s="32" t="str">
        <f>IF(Weather_Input!I9=""," ",Weather_Input!I9)</f>
        <v xml:space="preserve">  WINDY; FREQUENT SHOWERS IN THE MORNING FOLLOWED BY AFTERNOON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 SNOW FLURRIES.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36964</v>
      </c>
      <c r="C30" s="15"/>
      <c r="D30" s="22" t="s">
        <v>290</v>
      </c>
      <c r="E30" s="23">
        <f>Weather_Input!B10</f>
        <v>45</v>
      </c>
      <c r="F30" s="24" t="s">
        <v>291</v>
      </c>
      <c r="G30" s="25">
        <f>IF(E32&lt;65,65-(Weather_Input!B10+Weather_Input!C10)/2,0)</f>
        <v>28</v>
      </c>
      <c r="H30" s="26" t="s">
        <v>292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176</v>
      </c>
      <c r="E31" s="23">
        <f>Weather_Input!C10</f>
        <v>29</v>
      </c>
      <c r="F31" s="24" t="s">
        <v>293</v>
      </c>
      <c r="G31" s="25">
        <f>IF(DAY(B30)=1,G30,G26+G30)</f>
        <v>441.5</v>
      </c>
      <c r="H31" s="30" t="s">
        <v>294</v>
      </c>
      <c r="I31" s="27">
        <f ca="1">G31-(VLOOKUP(B30,DD_Normal_Data,CELL("Col",C32),FALSE))</f>
        <v>11.5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37</v>
      </c>
      <c r="F32" s="24" t="s">
        <v>296</v>
      </c>
      <c r="G32" s="25">
        <f>IF(AND(DAY(B30)=1,MONTH(B30)=8),G30,G27+G30)</f>
        <v>5526.5</v>
      </c>
      <c r="H32" s="26" t="s">
        <v>296</v>
      </c>
      <c r="I32" s="27">
        <f ca="1">G32-(VLOOKUP(B30,DD_Normal_Data,CELL("Col",D29),FALSE))</f>
        <v>301.5</v>
      </c>
    </row>
    <row r="33" spans="1:9" ht="15">
      <c r="A33" s="15"/>
      <c r="B33" s="34"/>
      <c r="C33" s="15"/>
      <c r="D33" s="32" t="str">
        <f>IF(Weather_Input!I10=""," ",Weather_Input!I10)</f>
        <v xml:space="preserve">  WINDY; FREQUENT SHOWERS IN THE MORNING FOLLOWED BY AFTERNOON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 SNOW FLURRIES.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36959</v>
      </c>
      <c r="C36" s="91">
        <f>B10</f>
        <v>36960</v>
      </c>
      <c r="D36" s="91">
        <f>B15</f>
        <v>36961</v>
      </c>
      <c r="E36" s="91">
        <f xml:space="preserve">       B20</f>
        <v>36962</v>
      </c>
      <c r="F36" s="91">
        <f>B25</f>
        <v>36963</v>
      </c>
      <c r="G36" s="91">
        <f>B30</f>
        <v>36964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950</v>
      </c>
      <c r="C37" s="41">
        <f ca="1">(VLOOKUP(C36,PGL_Sendouts,(CELL("COL",PGL_Deliveries!C7))))/1000</f>
        <v>800</v>
      </c>
      <c r="D37" s="41">
        <f ca="1">(VLOOKUP(D36,PGL_Sendouts,(CELL("COL",PGL_Deliveries!C8))))/1000</f>
        <v>825</v>
      </c>
      <c r="E37" s="41">
        <f ca="1">(VLOOKUP(E36,PGL_Sendouts,(CELL("COL",PGL_Deliveries!C9))))/1000</f>
        <v>775</v>
      </c>
      <c r="F37" s="41">
        <f ca="1">(VLOOKUP(F36,PGL_Sendouts,(CELL("COL",PGL_Deliveries!C10))))/1000</f>
        <v>820</v>
      </c>
      <c r="G37" s="41">
        <f ca="1">(VLOOKUP(G36,PGL_Sendouts,(CELL("COL",PGL_Deliveries!C10))))/1000</f>
        <v>820</v>
      </c>
      <c r="H37" s="14"/>
      <c r="I37" s="15"/>
    </row>
    <row r="38" spans="1:9" ht="15">
      <c r="A38" s="15" t="s">
        <v>301</v>
      </c>
      <c r="B38" s="41">
        <f>PGL_6_Day_Report!D30</f>
        <v>1204.4100000000001</v>
      </c>
      <c r="C38" s="41">
        <f>PGL_6_Day_Report!E30</f>
        <v>1054.4100000000001</v>
      </c>
      <c r="D38" s="41">
        <f>PGL_6_Day_Report!F30</f>
        <v>1079.4100000000001</v>
      </c>
      <c r="E38" s="41">
        <f>PGL_6_Day_Report!G30</f>
        <v>1029.4100000000001</v>
      </c>
      <c r="F38" s="41">
        <f>PGL_6_Day_Report!H30</f>
        <v>1074.4100000000001</v>
      </c>
      <c r="G38" s="41">
        <f>PGL_6_Day_Report!I30</f>
        <v>1074.4100000000001</v>
      </c>
      <c r="H38" s="14"/>
      <c r="I38" s="15"/>
    </row>
    <row r="39" spans="1:9" ht="15">
      <c r="A39" s="42" t="s">
        <v>109</v>
      </c>
      <c r="B39" s="41">
        <f>SUM(PGL_Supplies!Z7:AE7)/1000</f>
        <v>841.88499999999999</v>
      </c>
      <c r="C39" s="41">
        <f>SUM(PGL_Supplies!Z8:AE8)/1000</f>
        <v>792.52800000000002</v>
      </c>
      <c r="D39" s="41">
        <f>SUM(PGL_Supplies!Z9:AE9)/1000</f>
        <v>792.52800000000002</v>
      </c>
      <c r="E39" s="41">
        <f>SUM(PGL_Supplies!Z10:AE10)/1000</f>
        <v>792.52800000000002</v>
      </c>
      <c r="F39" s="41">
        <f>SUM(PGL_Supplies!Z11:AE11)/1000</f>
        <v>792.52800000000002</v>
      </c>
      <c r="G39" s="41">
        <f>SUM(PGL_Supplies!Z12:AE12)/1000</f>
        <v>792.52800000000002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0.66</v>
      </c>
      <c r="C41" s="41">
        <f>SUM(PGL_Requirements!R7:U7)/1000</f>
        <v>0.66</v>
      </c>
      <c r="D41" s="41">
        <f>SUM(PGL_Requirements!R7:U7)/1000</f>
        <v>0.66</v>
      </c>
      <c r="E41" s="41">
        <f>SUM(PGL_Requirements!R7:U7)/1000</f>
        <v>0.66</v>
      </c>
      <c r="F41" s="41">
        <f>SUM(PGL_Requirements!R7:U7)/1000</f>
        <v>0.66</v>
      </c>
      <c r="G41" s="41">
        <f>SUM(PGL_Requirements!R7:U7)/1000</f>
        <v>0.66</v>
      </c>
      <c r="H41" s="14"/>
      <c r="I41" s="15"/>
    </row>
    <row r="42" spans="1:9" ht="15">
      <c r="A42" s="15" t="s">
        <v>132</v>
      </c>
      <c r="B42" s="41">
        <f>PGL_Supplies!V7/1000</f>
        <v>302.17899999999997</v>
      </c>
      <c r="C42" s="41">
        <f>PGL_Supplies!V8/1000</f>
        <v>302.17899999999997</v>
      </c>
      <c r="D42" s="41">
        <f>PGL_Supplies!V9/1000</f>
        <v>302.17899999999997</v>
      </c>
      <c r="E42" s="41">
        <f>PGL_Supplies!V10/1000</f>
        <v>302.17899999999997</v>
      </c>
      <c r="F42" s="41">
        <f>PGL_Supplies!V11/1000</f>
        <v>302.17899999999997</v>
      </c>
      <c r="G42" s="41">
        <f>PGL_Supplies!V12/1000</f>
        <v>302.17899999999997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36959</v>
      </c>
      <c r="C44" s="91">
        <f t="shared" si="0"/>
        <v>36960</v>
      </c>
      <c r="D44" s="91">
        <f t="shared" si="0"/>
        <v>36961</v>
      </c>
      <c r="E44" s="91">
        <f t="shared" si="0"/>
        <v>36962</v>
      </c>
      <c r="F44" s="91">
        <f t="shared" si="0"/>
        <v>36963</v>
      </c>
      <c r="G44" s="91">
        <f t="shared" si="0"/>
        <v>36964</v>
      </c>
      <c r="H44" s="14"/>
      <c r="I44" s="15"/>
    </row>
    <row r="45" spans="1:9" ht="15">
      <c r="A45" s="15" t="s">
        <v>56</v>
      </c>
      <c r="B45" s="41">
        <f ca="1">NSG_6_Day_Report!D6</f>
        <v>160</v>
      </c>
      <c r="C45" s="41">
        <f ca="1">NSG_6_Day_Report!E6</f>
        <v>130</v>
      </c>
      <c r="D45" s="41">
        <f ca="1">NSG_6_Day_Report!F6</f>
        <v>136</v>
      </c>
      <c r="E45" s="41">
        <f ca="1">NSG_6_Day_Report!G6</f>
        <v>128</v>
      </c>
      <c r="F45" s="41">
        <f ca="1">NSG_6_Day_Report!H6</f>
        <v>136</v>
      </c>
      <c r="G45" s="41">
        <f ca="1">NSG_6_Day_Report!I6</f>
        <v>136</v>
      </c>
      <c r="H45" s="14"/>
      <c r="I45" s="15"/>
    </row>
    <row r="46" spans="1:9" ht="15">
      <c r="A46" s="42" t="s">
        <v>301</v>
      </c>
      <c r="B46" s="41">
        <f ca="1">NSG_6_Day_Report!D19</f>
        <v>163.83000000000001</v>
      </c>
      <c r="C46" s="41">
        <f ca="1">NSG_6_Day_Report!E19</f>
        <v>130</v>
      </c>
      <c r="D46" s="41">
        <f ca="1">NSG_6_Day_Report!F19</f>
        <v>136</v>
      </c>
      <c r="E46" s="41">
        <f ca="1">NSG_6_Day_Report!G19</f>
        <v>128</v>
      </c>
      <c r="F46" s="41">
        <f ca="1">NSG_6_Day_Report!H19</f>
        <v>136</v>
      </c>
      <c r="G46" s="41">
        <f ca="1">NSG_6_Day_Report!I19</f>
        <v>136</v>
      </c>
      <c r="H46" s="14"/>
      <c r="I46" s="15"/>
    </row>
    <row r="47" spans="1:9" ht="15">
      <c r="A47" s="42" t="s">
        <v>109</v>
      </c>
      <c r="B47" s="41">
        <f>SUM(NSG_Supplies!P7:R7)/1000</f>
        <v>123.827</v>
      </c>
      <c r="C47" s="41">
        <f>SUM(NSG_Supplies!P8:R8)/1000</f>
        <v>103.80200000000001</v>
      </c>
      <c r="D47" s="41">
        <f>SUM(NSG_Supplies!P9:R9)/1000</f>
        <v>103.80200000000001</v>
      </c>
      <c r="E47" s="41">
        <f>SUM(NSG_Supplies!P10:R10)/1000</f>
        <v>103.80200000000001</v>
      </c>
      <c r="F47" s="41">
        <f>SUM(NSG_Supplies!P11:R11)/1000</f>
        <v>103.80200000000001</v>
      </c>
      <c r="G47" s="41">
        <f>SUM(NSG_Supplies!P12:R12)/1000</f>
        <v>103.80200000000001</v>
      </c>
      <c r="H47" s="14"/>
      <c r="I47" s="15"/>
    </row>
    <row r="48" spans="1:9" ht="15">
      <c r="A48" s="42" t="s">
        <v>302</v>
      </c>
      <c r="B48" s="41">
        <f>SUM(NSG_Supplies!I7:M7)/1000</f>
        <v>40</v>
      </c>
      <c r="C48" s="41">
        <f>SUM(NSG_Supplies!I8:M8)/1000</f>
        <v>30</v>
      </c>
      <c r="D48" s="41">
        <f>SUM(NSG_Supplies!I9:M9)/1000</f>
        <v>30</v>
      </c>
      <c r="E48" s="41">
        <f>SUM(NSG_Supplies!I10:M10)/1000</f>
        <v>30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33.817999999999998</v>
      </c>
      <c r="C50" s="41">
        <f>NSG_Supplies!S8/1000</f>
        <v>33.817999999999998</v>
      </c>
      <c r="D50" s="41">
        <f>NSG_Supplies!S9/1000</f>
        <v>33.817999999999998</v>
      </c>
      <c r="E50" s="41">
        <f>NSG_Supplies!S10/1000</f>
        <v>33.817999999999998</v>
      </c>
      <c r="F50" s="41">
        <f>NSG_Supplies!S11/1000</f>
        <v>33.817999999999998</v>
      </c>
      <c r="G50" s="41">
        <f>NSG_Supplies!S12/1000</f>
        <v>33.817999999999998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36959</v>
      </c>
      <c r="C52" s="91">
        <f t="shared" si="1"/>
        <v>36960</v>
      </c>
      <c r="D52" s="91">
        <f t="shared" si="1"/>
        <v>36961</v>
      </c>
      <c r="E52" s="91">
        <f t="shared" si="1"/>
        <v>36962</v>
      </c>
      <c r="F52" s="91">
        <f t="shared" si="1"/>
        <v>36963</v>
      </c>
      <c r="G52" s="91">
        <f t="shared" si="1"/>
        <v>36964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activeCell="B17" sqref="B17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Saturday</v>
      </c>
      <c r="C4" s="1144" t="str">
        <f>Six_Day_Summary!A15</f>
        <v>Sunday</v>
      </c>
      <c r="D4" s="1144" t="str">
        <f>Six_Day_Summary!A20</f>
        <v>Monday</v>
      </c>
      <c r="E4" s="1144" t="str">
        <f>Six_Day_Summary!A25</f>
        <v>Tuesday</v>
      </c>
      <c r="F4" s="1145" t="str">
        <f>Six_Day_Summary!A30</f>
        <v>Wednesday</v>
      </c>
      <c r="G4" s="100"/>
    </row>
    <row r="5" spans="1:8">
      <c r="A5" s="103" t="s">
        <v>312</v>
      </c>
      <c r="B5" s="1146">
        <f>Weather_Input!A6</f>
        <v>36960</v>
      </c>
      <c r="C5" s="1147">
        <f>Weather_Input!A7</f>
        <v>36961</v>
      </c>
      <c r="D5" s="1147">
        <f>Weather_Input!A8</f>
        <v>36962</v>
      </c>
      <c r="E5" s="1147">
        <f>Weather_Input!A9</f>
        <v>36963</v>
      </c>
      <c r="F5" s="1148">
        <f>Weather_Input!A10</f>
        <v>36964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256.33199999999999</v>
      </c>
      <c r="C6" s="1149">
        <f>PGL_Supplies!AC9/1000+PGL_Supplies!L9/1000-PGL_Requirements!O9/1000+C15-PGL_Requirements!T9/1000</f>
        <v>256.33199999999999</v>
      </c>
      <c r="D6" s="1149">
        <f>PGL_Supplies!AC10/1000+PGL_Supplies!L10/1000-PGL_Requirements!O10/1000+D15-PGL_Requirements!T10/1000</f>
        <v>256.33199999999999</v>
      </c>
      <c r="E6" s="1149">
        <f>PGL_Supplies!AC11/1000+PGL_Supplies!L11/1000-PGL_Requirements!O11/1000+E15-PGL_Requirements!T11/1000</f>
        <v>256.33199999999999</v>
      </c>
      <c r="F6" s="1150">
        <f>PGL_Supplies!AC12/1000+PGL_Supplies!L12/1000-PGL_Requirements!O12/1000+F15-PGL_Requirements!T12/1000</f>
        <v>256.33199999999999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Saturday</v>
      </c>
      <c r="C21" s="1159" t="str">
        <f t="shared" si="0"/>
        <v>Sunday</v>
      </c>
      <c r="D21" s="1159" t="str">
        <f t="shared" si="0"/>
        <v>Monday</v>
      </c>
      <c r="E21" s="1159" t="str">
        <f t="shared" si="0"/>
        <v>Tuesday</v>
      </c>
      <c r="F21" s="1160" t="str">
        <f t="shared" si="0"/>
        <v>Wednesday</v>
      </c>
      <c r="G21" s="100"/>
    </row>
    <row r="22" spans="1:7">
      <c r="A22" s="107" t="s">
        <v>312</v>
      </c>
      <c r="B22" s="1161">
        <f t="shared" si="0"/>
        <v>36960</v>
      </c>
      <c r="C22" s="1161">
        <f t="shared" si="0"/>
        <v>36961</v>
      </c>
      <c r="D22" s="1161">
        <f t="shared" si="0"/>
        <v>36962</v>
      </c>
      <c r="E22" s="1161">
        <f t="shared" si="0"/>
        <v>36963</v>
      </c>
      <c r="F22" s="1162">
        <f t="shared" si="0"/>
        <v>36964</v>
      </c>
      <c r="G22" s="100"/>
    </row>
    <row r="23" spans="1:7">
      <c r="A23" s="100" t="s">
        <v>313</v>
      </c>
      <c r="B23" s="1155">
        <f>NSG_Supplies!R8/1000+NSG_Supplies!F8/1000-NSG_Requirements!H8/1000</f>
        <v>83.802000000000007</v>
      </c>
      <c r="C23" s="1155">
        <f>NSG_Supplies!R9/1000+NSG_Supplies!F9/1000-NSG_Requirements!H9/1000</f>
        <v>83.802000000000007</v>
      </c>
      <c r="D23" s="1155">
        <f>NSG_Supplies!R10/1000+NSG_Supplies!F10/1000-NSG_Requirements!H10/1000</f>
        <v>83.802000000000007</v>
      </c>
      <c r="E23" s="1155">
        <f>NSG_Supplies!R12/1000+NSG_Supplies!F11/1000-NSG_Requirements!H11/1000</f>
        <v>83.802000000000007</v>
      </c>
      <c r="F23" s="1150">
        <f>NSG_Supplies!R12/1000+NSG_Supplies!F12/1000-NSG_Requirements!H12/1000</f>
        <v>83.802000000000007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36960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30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30</v>
      </c>
      <c r="D10" s="438"/>
      <c r="E10" s="440">
        <f>AVERAGE(C10/24)</f>
        <v>1.25</v>
      </c>
      <c r="F10" s="172" t="s">
        <v>450</v>
      </c>
      <c r="G10" s="154">
        <f>PGL_Supplies!AB8/1000</f>
        <v>260.45400000000001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282.01</v>
      </c>
      <c r="D11" s="790"/>
      <c r="E11" s="1132"/>
      <c r="F11" s="435" t="s">
        <v>379</v>
      </c>
      <c r="G11" s="447">
        <f>G8+G10</f>
        <v>260.45400000000001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282.01</v>
      </c>
      <c r="D14" s="438"/>
      <c r="E14" s="440">
        <f>AVERAGE(C14/24)</f>
        <v>11.750416666666666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45</v>
      </c>
      <c r="D15" s="60"/>
      <c r="E15" s="161"/>
      <c r="F15" s="783" t="s">
        <v>564</v>
      </c>
      <c r="G15" s="447">
        <f>G8+G10</f>
        <v>260.45400000000001</v>
      </c>
      <c r="H15" s="438"/>
      <c r="I15" s="440">
        <f>AVERAGE(G15/24)</f>
        <v>10.85225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45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45</v>
      </c>
      <c r="D20" s="441" t="s">
        <v>11</v>
      </c>
      <c r="E20" s="440">
        <f>AVERAGE(C20/24)</f>
        <v>1.875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124.542</v>
      </c>
      <c r="D21" s="154" t="s">
        <v>11</v>
      </c>
      <c r="E21" s="161"/>
      <c r="F21" s="172" t="s">
        <v>109</v>
      </c>
      <c r="G21" s="154">
        <f>PGL_Supplies!AD8/1000</f>
        <v>106.2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124.542</v>
      </c>
      <c r="D22" s="434"/>
      <c r="E22" s="436"/>
      <c r="F22" s="435" t="s">
        <v>379</v>
      </c>
      <c r="G22" s="447">
        <f>G21</f>
        <v>106.2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124.542</v>
      </c>
      <c r="D25" s="438"/>
      <c r="E25" s="440">
        <f>AVERAGE(C25/24)</f>
        <v>5.1892500000000004</v>
      </c>
      <c r="F25" s="552" t="s">
        <v>556</v>
      </c>
      <c r="G25" s="906">
        <f>G22+G23-H24+G20</f>
        <v>106.2</v>
      </c>
      <c r="H25" s="430"/>
      <c r="I25" s="907">
        <f>AVERAGE(G25/24)</f>
        <v>4.4249999999999998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32" workbookViewId="0">
      <selection activeCell="C57" sqref="C57"/>
    </sheetView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36960</v>
      </c>
      <c r="I1" s="933"/>
      <c r="J1" s="935"/>
      <c r="K1" s="935"/>
    </row>
    <row r="2" spans="1:22" ht="16.5" customHeight="1">
      <c r="A2" s="953" t="s">
        <v>688</v>
      </c>
      <c r="C2" s="1048">
        <v>282</v>
      </c>
      <c r="F2" s="1049">
        <v>260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130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45</v>
      </c>
      <c r="B11" s="1053"/>
      <c r="H11" s="955">
        <f>NSG_Supplies!U8/1000</f>
        <v>0</v>
      </c>
      <c r="K11" s="936" t="s">
        <v>693</v>
      </c>
      <c r="L11" s="961">
        <f>SUM(K4+K17+K19+H11+H9-L9)</f>
        <v>3.8020000000000209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282.01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30</v>
      </c>
      <c r="N17" s="955"/>
    </row>
    <row r="18" spans="1:17" ht="15" customHeight="1">
      <c r="A18" s="941"/>
      <c r="C18" s="1054">
        <v>473</v>
      </c>
      <c r="D18" s="1056"/>
      <c r="E18" s="1056"/>
      <c r="F18" s="1049">
        <v>473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83.802000000000007</v>
      </c>
      <c r="N19" s="1059"/>
    </row>
    <row r="20" spans="1:17" ht="17.25" customHeight="1">
      <c r="A20" s="955">
        <f>Billy_Sheet!G15</f>
        <v>260.45400000000001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124.542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106.2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800</v>
      </c>
      <c r="L26" s="933" t="s">
        <v>692</v>
      </c>
      <c r="M26" s="955">
        <f>NSG_Deliveries!C6/1000</f>
        <v>130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572.20600000000002</v>
      </c>
      <c r="L28" s="936" t="s">
        <v>746</v>
      </c>
      <c r="M28" s="961">
        <f>SUM(J2+K17+K19+H11+H9-M26)</f>
        <v>3.8020000000000209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36959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256.33199999999999</v>
      </c>
    </row>
    <row r="30" spans="1:17" ht="10.5" customHeight="1">
      <c r="A30" s="938"/>
      <c r="B30" s="955"/>
      <c r="C30" s="936"/>
      <c r="D30" s="955"/>
      <c r="F30" s="1114">
        <f>PGL_Requirements!A8</f>
        <v>36960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28.538000000000011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495</v>
      </c>
      <c r="F38" s="1054">
        <v>693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822.20600000000002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572.20600000000002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300</v>
      </c>
      <c r="E45" s="1069"/>
      <c r="F45" s="1070">
        <v>6.7000000000000004E-2</v>
      </c>
      <c r="G45" s="1071">
        <f>(C45-D45)*F45</f>
        <v>-9.7149999999999999</v>
      </c>
      <c r="H45" s="1071">
        <f>(D45-B45)*F45</f>
        <v>18.760000000000002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583</v>
      </c>
      <c r="E46" s="1069"/>
      <c r="F46" s="1070">
        <v>0.13900000000000001</v>
      </c>
      <c r="G46" s="1071">
        <f>(C46-D46)*F46</f>
        <v>-59.492000000000004</v>
      </c>
      <c r="H46" s="1071">
        <f>(D46-B46)*F46</f>
        <v>78.257000000000005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311</v>
      </c>
      <c r="E47" s="1069"/>
      <c r="F47" s="1070">
        <v>0.14099999999999999</v>
      </c>
      <c r="G47" s="1071">
        <f>(C47-D47)*F47</f>
        <v>26.648999999999997</v>
      </c>
      <c r="H47" s="1071">
        <f>(D47-B47)*F47</f>
        <v>8.6009999999999991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484</v>
      </c>
      <c r="E48" s="1069"/>
      <c r="F48" s="1070">
        <v>0.161</v>
      </c>
      <c r="G48" s="1071">
        <f>(C48-D48)*F48</f>
        <v>50.876000000000005</v>
      </c>
      <c r="H48" s="1071">
        <f>(D48-B48)*F48</f>
        <v>13.524000000000001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8.3179999999999978</v>
      </c>
      <c r="H49" s="1071">
        <f>SUM(H45:H48)</f>
        <v>119.14200000000001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36959</v>
      </c>
      <c r="B5" s="11">
        <v>37</v>
      </c>
      <c r="C5" s="49">
        <v>22</v>
      </c>
      <c r="D5" s="49">
        <v>8</v>
      </c>
      <c r="E5" s="11" t="s">
        <v>787</v>
      </c>
      <c r="F5" s="11">
        <v>307</v>
      </c>
      <c r="G5" s="11">
        <v>5392</v>
      </c>
      <c r="H5" s="11">
        <v>34</v>
      </c>
      <c r="I5" s="912" t="s">
        <v>794</v>
      </c>
      <c r="J5" s="912" t="s">
        <v>11</v>
      </c>
      <c r="K5" s="11">
        <v>3</v>
      </c>
      <c r="L5" s="11">
        <v>1</v>
      </c>
      <c r="N5" s="15" t="str">
        <f>I5&amp;" "&amp;I5</f>
        <v xml:space="preserve">  PARTLY SUNNY AND COLD.   PARTLY SUNNY AND COLD.</v>
      </c>
      <c r="AE5" s="15">
        <v>1</v>
      </c>
      <c r="AH5" s="15" t="s">
        <v>34</v>
      </c>
    </row>
    <row r="6" spans="1:34" ht="16.5" customHeight="1">
      <c r="A6" s="88">
        <f>A5+1</f>
        <v>36960</v>
      </c>
      <c r="B6" s="11">
        <v>46</v>
      </c>
      <c r="C6" s="49">
        <v>33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11</v>
      </c>
      <c r="K6" s="11">
        <v>3</v>
      </c>
      <c r="L6" s="11" t="s">
        <v>634</v>
      </c>
      <c r="N6" s="15" t="str">
        <f>I6&amp;" "&amp;J6</f>
        <v xml:space="preserve">  SEVERAL HOURS OF SUN, TURNING BREEZY IN THE AFTERNOON.  </v>
      </c>
      <c r="AE6" s="15">
        <v>1</v>
      </c>
      <c r="AH6" s="15" t="s">
        <v>35</v>
      </c>
    </row>
    <row r="7" spans="1:34" ht="16.5" customHeight="1">
      <c r="A7" s="88">
        <f>A6+1</f>
        <v>36961</v>
      </c>
      <c r="B7" s="11">
        <v>40</v>
      </c>
      <c r="C7" s="49">
        <v>33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2" t="s">
        <v>796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  OMINOUS CLOUDS  </v>
      </c>
    </row>
    <row r="8" spans="1:34" ht="16.5" customHeight="1">
      <c r="A8" s="88">
        <f>A7+1</f>
        <v>36962</v>
      </c>
      <c r="B8" s="11">
        <v>46</v>
      </c>
      <c r="C8" s="49">
        <v>35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2" t="s">
        <v>797</v>
      </c>
      <c r="J8" s="912" t="s">
        <v>11</v>
      </c>
      <c r="K8" s="11">
        <v>2</v>
      </c>
      <c r="L8" s="11">
        <v>0</v>
      </c>
      <c r="N8" s="15" t="str">
        <f>I8&amp;" "&amp;J8</f>
        <v xml:space="preserve">  CLOUDY WITH RAIN AT TIMES; WINDY IN THE AFTERNOON.  </v>
      </c>
    </row>
    <row r="9" spans="1:34" ht="16.5" customHeight="1">
      <c r="A9" s="88">
        <f>A8+1</f>
        <v>36963</v>
      </c>
      <c r="B9" s="11">
        <v>45</v>
      </c>
      <c r="C9" s="49">
        <v>29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2" t="s">
        <v>798</v>
      </c>
      <c r="J9" s="912" t="s">
        <v>799</v>
      </c>
      <c r="K9" s="11">
        <v>5</v>
      </c>
      <c r="L9" s="11">
        <v>0</v>
      </c>
      <c r="M9" s="89"/>
      <c r="N9" s="15" t="str">
        <f>I10&amp;" "&amp;J9</f>
        <v xml:space="preserve">  WINDY; FREQUENT SHOWERS IN THE MORNING FOLLOWED BY AFTERNOON   SNOW FLURRIES.</v>
      </c>
    </row>
    <row r="10" spans="1:34" ht="16.5" customHeight="1">
      <c r="A10" s="88">
        <f>A9+1</f>
        <v>36964</v>
      </c>
      <c r="B10" s="11">
        <v>45</v>
      </c>
      <c r="C10" s="49">
        <v>29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2" t="s">
        <v>798</v>
      </c>
      <c r="J10" s="912" t="s">
        <v>799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4.1950000000000003</v>
      </c>
      <c r="C2" s="60"/>
      <c r="D2" s="121" t="s">
        <v>325</v>
      </c>
      <c r="E2" s="426">
        <f>Weather_Input!A5</f>
        <v>36959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165.42699999999999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8.1240000000000006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149.911</v>
      </c>
      <c r="C10" s="64"/>
      <c r="D10" s="117" t="s">
        <v>213</v>
      </c>
      <c r="E10" s="154">
        <f>PGL_Deliveries!S5/1000</f>
        <v>4.1950000000000003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3.665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247.40100000000001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54.424999999999997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292.95000000000005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46.133000000000003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875.77</v>
      </c>
      <c r="C18" s="169"/>
      <c r="D18" s="179" t="s">
        <v>592</v>
      </c>
      <c r="E18" s="178">
        <f>SUM(E5:E17)</f>
        <v>4.1950000000000003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324.41199999999998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99.028000000000006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103.248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324.41199999999998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22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148.762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76.2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12.311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54.424999999999997</v>
      </c>
      <c r="C34" s="64"/>
      <c r="D34" s="60" t="s">
        <v>197</v>
      </c>
      <c r="E34" s="154">
        <f>PGL_Supplies!AC7/1000</f>
        <v>358.14100000000002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4.8079999999999998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370.452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99.028000000000006</v>
      </c>
      <c r="C42" s="64"/>
      <c r="D42" s="251" t="s">
        <v>529</v>
      </c>
      <c r="E42" s="809">
        <f>PGL_Supplies!AB7/1000</f>
        <v>236.78200000000001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37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22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8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1.028</v>
      </c>
      <c r="C49" s="162"/>
      <c r="D49" s="60" t="s">
        <v>625</v>
      </c>
      <c r="E49" s="154">
        <f>PGL_Deliveries!AJ5/1000</f>
        <v>3.665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36959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10.419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103.827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0.97799999999999998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40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104.80499999999999</v>
      </c>
      <c r="C27" s="148"/>
      <c r="D27" s="241" t="s">
        <v>355</v>
      </c>
      <c r="E27" s="221">
        <f>SUM(E18:E26)-SUM(F18:F26)</f>
        <v>40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6" workbookViewId="0">
      <selection activeCell="B6" sqref="B6:S6"/>
    </sheetView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36959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36958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381342</v>
      </c>
      <c r="O6" s="204">
        <v>0</v>
      </c>
      <c r="P6" s="204">
        <v>34519455</v>
      </c>
      <c r="Q6" s="204">
        <v>15045098</v>
      </c>
      <c r="R6" s="204">
        <v>19474357</v>
      </c>
      <c r="S6" s="204">
        <v>0</v>
      </c>
    </row>
    <row r="7" spans="1:19">
      <c r="A7" s="4">
        <f>B1</f>
        <v>36959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346187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34865642</v>
      </c>
      <c r="Q7">
        <f>IF(O7&gt;0,Q6+O7,Q6)</f>
        <v>15045098</v>
      </c>
      <c r="R7">
        <f>IF(P7&gt;Q7,P7-Q7,0)</f>
        <v>19820544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36959</v>
      </c>
      <c r="B5" s="1">
        <f>(Weather_Input!B5+Weather_Input!C5)/2</f>
        <v>29.5</v>
      </c>
      <c r="C5" s="913">
        <v>950000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4195</v>
      </c>
      <c r="T5" s="1163">
        <v>0</v>
      </c>
      <c r="U5" s="913">
        <f>SUM(D5:S5)-T5</f>
        <v>4195</v>
      </c>
      <c r="V5" s="913">
        <v>165427</v>
      </c>
      <c r="W5" s="11">
        <v>8124</v>
      </c>
      <c r="X5" s="11">
        <v>149911</v>
      </c>
      <c r="Y5" s="11">
        <v>0</v>
      </c>
      <c r="Z5" s="11">
        <v>247401</v>
      </c>
      <c r="AA5" s="11">
        <v>0</v>
      </c>
      <c r="AB5" s="11">
        <v>0</v>
      </c>
      <c r="AC5" s="11">
        <v>0</v>
      </c>
      <c r="AD5" s="11">
        <v>54425</v>
      </c>
      <c r="AE5" s="11">
        <v>0</v>
      </c>
      <c r="AF5" s="11">
        <v>99028</v>
      </c>
      <c r="AG5" s="11">
        <v>0</v>
      </c>
      <c r="AH5" s="11">
        <v>0</v>
      </c>
      <c r="AI5" s="11">
        <v>25</v>
      </c>
      <c r="AJ5" s="11">
        <v>3665</v>
      </c>
      <c r="AK5" s="11">
        <v>0</v>
      </c>
      <c r="AL5" s="11">
        <v>0</v>
      </c>
      <c r="AM5" s="1">
        <v>1028</v>
      </c>
      <c r="AN5" s="1"/>
      <c r="AO5" s="1">
        <v>46133</v>
      </c>
      <c r="AP5" s="1">
        <v>0</v>
      </c>
      <c r="AQ5" s="1">
        <v>0</v>
      </c>
      <c r="AR5" s="1">
        <v>12311</v>
      </c>
      <c r="AS5" s="1">
        <v>4808</v>
      </c>
      <c r="AT5" s="1">
        <v>0</v>
      </c>
      <c r="AU5" s="1">
        <v>0</v>
      </c>
      <c r="AV5" s="1">
        <v>770</v>
      </c>
      <c r="AW5" s="628">
        <v>0</v>
      </c>
      <c r="AX5" s="1">
        <v>199500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36960</v>
      </c>
      <c r="B6" s="1">
        <f>(Weather_Input!B6+Weather_Input!C6)/2</f>
        <v>39.5</v>
      </c>
      <c r="C6" s="913">
        <v>800000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36961</v>
      </c>
      <c r="B7" s="932">
        <f>(Weather_Input!B7+Weather_Input!C7)/2</f>
        <v>36.5</v>
      </c>
      <c r="C7" s="913">
        <v>825000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36962</v>
      </c>
      <c r="B8" s="932">
        <f>(Weather_Input!B8+Weather_Input!C8)/2</f>
        <v>40.5</v>
      </c>
      <c r="C8" s="913">
        <v>775000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36963</v>
      </c>
      <c r="B9" s="932">
        <f>(Weather_Input!B9+Weather_Input!C9)/2</f>
        <v>37</v>
      </c>
      <c r="C9" s="913">
        <v>820000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36964</v>
      </c>
      <c r="B10" s="932">
        <f>(Weather_Input!B10+Weather_Input!C10)/2</f>
        <v>37</v>
      </c>
      <c r="C10" s="913">
        <v>820000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36959</v>
      </c>
      <c r="B5" s="1">
        <f>(Weather_Input!B5+Weather_Input!C5)/2</f>
        <v>29.5</v>
      </c>
      <c r="C5" s="913">
        <v>160000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0</v>
      </c>
      <c r="L5" s="1">
        <v>978</v>
      </c>
      <c r="M5" s="1">
        <v>10419</v>
      </c>
      <c r="N5" s="1">
        <v>0</v>
      </c>
    </row>
    <row r="6" spans="1:14">
      <c r="A6" s="12">
        <f>A5+1</f>
        <v>36960</v>
      </c>
      <c r="B6" s="1">
        <f>(Weather_Input!B6+Weather_Input!C6)/2</f>
        <v>39.5</v>
      </c>
      <c r="C6" s="913">
        <v>130000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36961</v>
      </c>
      <c r="B7" s="932">
        <f>(Weather_Input!B7+Weather_Input!C7)/2</f>
        <v>36.5</v>
      </c>
      <c r="C7" s="913">
        <v>136000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36962</v>
      </c>
      <c r="B8" s="932">
        <f>(Weather_Input!B8+Weather_Input!C8)/2</f>
        <v>40.5</v>
      </c>
      <c r="C8" s="913">
        <v>128000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36963</v>
      </c>
      <c r="B9" s="932">
        <f>(Weather_Input!B9+Weather_Input!C9)/2</f>
        <v>37</v>
      </c>
      <c r="C9" s="913">
        <v>136000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36964</v>
      </c>
      <c r="B10" s="932">
        <f>(Weather_Input!B10+Weather_Input!C10)/2</f>
        <v>37</v>
      </c>
      <c r="C10" s="913">
        <v>136000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A7" sqref="A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36959</v>
      </c>
      <c r="B7" s="922">
        <v>0</v>
      </c>
      <c r="C7" s="923">
        <v>0</v>
      </c>
      <c r="D7" s="626">
        <v>0</v>
      </c>
      <c r="E7" s="626">
        <v>0</v>
      </c>
      <c r="F7" s="922">
        <v>0</v>
      </c>
      <c r="G7" s="922">
        <v>0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250000</v>
      </c>
      <c r="Q7" s="628">
        <f t="shared" ref="Q7:Q12" si="0">P7*0.015</f>
        <v>3750</v>
      </c>
      <c r="R7" s="626">
        <v>660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36959</v>
      </c>
    </row>
    <row r="8" spans="1:89" s="1" customFormat="1" ht="12.75">
      <c r="A8" s="834">
        <f>A7+1</f>
        <v>36960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36960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36961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36961</v>
      </c>
      <c r="AN9" s="625"/>
    </row>
    <row r="10" spans="1:89" s="1" customFormat="1" ht="12.75">
      <c r="A10" s="834">
        <f>A9+1</f>
        <v>36962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36962</v>
      </c>
    </row>
    <row r="11" spans="1:89" s="1" customFormat="1" ht="12.75">
      <c r="A11" s="834">
        <f>A10+1</f>
        <v>36963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36963</v>
      </c>
    </row>
    <row r="12" spans="1:89" s="1" customFormat="1" ht="12.75">
      <c r="A12" s="834">
        <f>A11+1</f>
        <v>36964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36964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F1" zoomScale="75" workbookViewId="0">
      <selection activeCell="L7" sqref="L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36959</v>
      </c>
      <c r="B7" s="628">
        <v>6000</v>
      </c>
      <c r="C7" s="629">
        <v>4000</v>
      </c>
      <c r="D7" s="628">
        <v>0</v>
      </c>
      <c r="E7" s="628">
        <v>0</v>
      </c>
      <c r="F7" s="628">
        <v>0</v>
      </c>
      <c r="G7" s="922">
        <v>0</v>
      </c>
      <c r="H7" s="626">
        <v>1000</v>
      </c>
      <c r="I7" s="626">
        <v>3000</v>
      </c>
      <c r="J7" s="626">
        <v>0</v>
      </c>
      <c r="K7" s="925">
        <v>0</v>
      </c>
      <c r="L7" s="627">
        <v>24110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302179</v>
      </c>
      <c r="W7" s="627">
        <v>0</v>
      </c>
      <c r="X7" s="625">
        <v>0</v>
      </c>
      <c r="Y7" s="925">
        <v>324412</v>
      </c>
      <c r="Z7" s="627">
        <v>22000</v>
      </c>
      <c r="AA7" s="1">
        <v>148762</v>
      </c>
      <c r="AB7" s="625">
        <v>236782</v>
      </c>
      <c r="AC7" s="625">
        <v>358141</v>
      </c>
      <c r="AD7" s="625">
        <v>76200</v>
      </c>
      <c r="AE7" s="925">
        <v>0</v>
      </c>
      <c r="AF7" s="51">
        <f>Weather_Input!A5</f>
        <v>36959</v>
      </c>
      <c r="AI7" s="625"/>
      <c r="AJ7" s="625"/>
      <c r="AK7" s="625"/>
    </row>
    <row r="8" spans="1:37">
      <c r="A8" s="834">
        <f>A7+1</f>
        <v>36960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302179</v>
      </c>
      <c r="W8" s="627">
        <v>0</v>
      </c>
      <c r="X8" s="625">
        <v>0</v>
      </c>
      <c r="Y8" s="925">
        <v>282010</v>
      </c>
      <c r="Z8" s="627">
        <v>45000</v>
      </c>
      <c r="AA8" s="1">
        <v>124542</v>
      </c>
      <c r="AB8" s="625">
        <v>260454</v>
      </c>
      <c r="AC8" s="625">
        <v>256332</v>
      </c>
      <c r="AD8" s="625">
        <v>106200</v>
      </c>
      <c r="AE8" s="925">
        <v>0</v>
      </c>
      <c r="AF8" s="834">
        <f>AF7+1</f>
        <v>36960</v>
      </c>
      <c r="AI8" s="625"/>
      <c r="AJ8" s="625"/>
      <c r="AK8" s="625"/>
    </row>
    <row r="9" spans="1:37" s="625" customFormat="1">
      <c r="A9" s="834">
        <f>A8+1</f>
        <v>36961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302179</v>
      </c>
      <c r="W9" s="627">
        <v>0</v>
      </c>
      <c r="X9" s="625">
        <v>0</v>
      </c>
      <c r="Y9" s="925">
        <v>282010</v>
      </c>
      <c r="Z9" s="627">
        <v>45000</v>
      </c>
      <c r="AA9" s="1">
        <v>124542</v>
      </c>
      <c r="AB9" s="625">
        <v>260454</v>
      </c>
      <c r="AC9" s="625">
        <v>256332</v>
      </c>
      <c r="AD9" s="625">
        <v>106200</v>
      </c>
      <c r="AE9" s="925">
        <v>0</v>
      </c>
      <c r="AF9" s="834">
        <f>AF8+1</f>
        <v>36961</v>
      </c>
    </row>
    <row r="10" spans="1:37">
      <c r="A10" s="834">
        <f>A9+1</f>
        <v>36962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302179</v>
      </c>
      <c r="W10" s="627">
        <v>0</v>
      </c>
      <c r="X10" s="625">
        <v>0</v>
      </c>
      <c r="Y10" s="925">
        <v>282010</v>
      </c>
      <c r="Z10" s="627">
        <v>45000</v>
      </c>
      <c r="AA10" s="1">
        <v>124542</v>
      </c>
      <c r="AB10" s="625">
        <v>260454</v>
      </c>
      <c r="AC10" s="625">
        <v>256332</v>
      </c>
      <c r="AD10" s="625">
        <v>106200</v>
      </c>
      <c r="AE10" s="925">
        <v>0</v>
      </c>
      <c r="AF10" s="834">
        <f>AF9+1</f>
        <v>36962</v>
      </c>
      <c r="AI10" s="625"/>
      <c r="AJ10" s="625"/>
      <c r="AK10" s="625"/>
    </row>
    <row r="11" spans="1:37">
      <c r="A11" s="834">
        <f>A10+1</f>
        <v>36963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302179</v>
      </c>
      <c r="W11" s="627">
        <v>0</v>
      </c>
      <c r="X11" s="625">
        <v>0</v>
      </c>
      <c r="Y11" s="925">
        <v>252010</v>
      </c>
      <c r="Z11" s="627">
        <v>45000</v>
      </c>
      <c r="AA11" s="1">
        <v>124542</v>
      </c>
      <c r="AB11" s="625">
        <v>260454</v>
      </c>
      <c r="AC11" s="625">
        <v>256332</v>
      </c>
      <c r="AD11" s="625">
        <v>106200</v>
      </c>
      <c r="AE11" s="925">
        <v>0</v>
      </c>
      <c r="AF11" s="834">
        <f>AF10+1</f>
        <v>36963</v>
      </c>
    </row>
    <row r="12" spans="1:37">
      <c r="A12" s="834">
        <f>A11+1</f>
        <v>36964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302179</v>
      </c>
      <c r="W12" s="627">
        <v>0</v>
      </c>
      <c r="X12" s="625">
        <v>0</v>
      </c>
      <c r="Y12" s="925">
        <v>252010</v>
      </c>
      <c r="Z12" s="627">
        <v>45000</v>
      </c>
      <c r="AA12" s="1">
        <v>124542</v>
      </c>
      <c r="AB12" s="625">
        <v>260454</v>
      </c>
      <c r="AC12" s="625">
        <v>256332</v>
      </c>
      <c r="AD12" s="625">
        <v>106200</v>
      </c>
      <c r="AE12" s="925">
        <v>0</v>
      </c>
      <c r="AF12" s="834">
        <f>AF11+1</f>
        <v>36964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E1" zoomScale="75" workbookViewId="0">
      <selection activeCell="H7" sqref="H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36959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2330</v>
      </c>
      <c r="I7" s="923">
        <v>7197</v>
      </c>
      <c r="J7" s="923">
        <v>1500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36959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36960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36960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36961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36961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36962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36962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36963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36963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36964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36964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7" sqref="F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36959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6882.25</v>
      </c>
      <c r="H7" s="629">
        <v>0</v>
      </c>
      <c r="I7" s="628">
        <v>0</v>
      </c>
      <c r="J7" s="628">
        <v>0</v>
      </c>
      <c r="K7" s="628">
        <v>0</v>
      </c>
      <c r="L7" s="628">
        <v>40000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103827</v>
      </c>
      <c r="S7" s="628">
        <v>33818</v>
      </c>
      <c r="T7" s="628">
        <v>0</v>
      </c>
      <c r="U7" s="628">
        <v>0</v>
      </c>
      <c r="V7" s="834">
        <f>Weather_Input!A5</f>
        <v>36959</v>
      </c>
      <c r="W7" s="625"/>
      <c r="X7" s="625"/>
    </row>
    <row r="8" spans="1:24">
      <c r="A8" s="834">
        <f>A7+1</f>
        <v>36960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5881</v>
      </c>
      <c r="H8" s="629">
        <v>0</v>
      </c>
      <c r="I8" s="628">
        <v>0</v>
      </c>
      <c r="J8" s="628">
        <v>0</v>
      </c>
      <c r="K8" s="628">
        <v>0</v>
      </c>
      <c r="L8" s="628">
        <v>30000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83802</v>
      </c>
      <c r="S8" s="628">
        <v>33818</v>
      </c>
      <c r="T8" s="628">
        <v>0</v>
      </c>
      <c r="U8" s="628">
        <v>0</v>
      </c>
      <c r="V8" s="834">
        <f>V7+1</f>
        <v>36960</v>
      </c>
      <c r="W8" s="625"/>
      <c r="X8" s="625"/>
    </row>
    <row r="9" spans="1:24">
      <c r="A9" s="834">
        <f>A8+1</f>
        <v>36961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5881</v>
      </c>
      <c r="H9" s="629">
        <v>0</v>
      </c>
      <c r="I9" s="628">
        <v>0</v>
      </c>
      <c r="J9" s="628">
        <v>0</v>
      </c>
      <c r="K9" s="628">
        <v>0</v>
      </c>
      <c r="L9" s="628">
        <v>30000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83802</v>
      </c>
      <c r="S9" s="628">
        <v>33818</v>
      </c>
      <c r="T9" s="628">
        <v>0</v>
      </c>
      <c r="U9" s="628">
        <v>0</v>
      </c>
      <c r="V9" s="834">
        <f>V8+1</f>
        <v>36961</v>
      </c>
      <c r="W9" s="625"/>
      <c r="X9" s="625"/>
    </row>
    <row r="10" spans="1:24">
      <c r="A10" s="834">
        <f>A9+1</f>
        <v>36962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5881</v>
      </c>
      <c r="H10" s="629">
        <v>0</v>
      </c>
      <c r="I10" s="628">
        <v>0</v>
      </c>
      <c r="J10" s="628">
        <v>0</v>
      </c>
      <c r="K10" s="628">
        <v>0</v>
      </c>
      <c r="L10" s="628">
        <v>30000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83802</v>
      </c>
      <c r="S10" s="628">
        <v>33818</v>
      </c>
      <c r="T10" s="628">
        <v>0</v>
      </c>
      <c r="U10" s="628">
        <v>0</v>
      </c>
      <c r="V10" s="834">
        <f>V9+1</f>
        <v>36962</v>
      </c>
      <c r="W10" s="625"/>
      <c r="X10" s="625"/>
    </row>
    <row r="11" spans="1:24">
      <c r="A11" s="834">
        <f>A10+1</f>
        <v>36963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5881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83802</v>
      </c>
      <c r="S11" s="628">
        <v>33818</v>
      </c>
      <c r="T11" s="628">
        <v>0</v>
      </c>
      <c r="U11" s="628">
        <v>0</v>
      </c>
      <c r="V11" s="834">
        <f>V10+1</f>
        <v>36963</v>
      </c>
      <c r="W11" s="625"/>
      <c r="X11" s="625"/>
    </row>
    <row r="12" spans="1:24">
      <c r="A12" s="834">
        <f>A11+1</f>
        <v>36964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5881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83802</v>
      </c>
      <c r="S12" s="628">
        <v>33818</v>
      </c>
      <c r="T12" s="628">
        <v>0</v>
      </c>
      <c r="U12" s="628">
        <v>0</v>
      </c>
      <c r="V12" s="834">
        <f>V11+1</f>
        <v>36964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FRI</v>
      </c>
      <c r="I1" s="839">
        <f>D4</f>
        <v>36959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</row>
    <row r="4" spans="1:256" ht="15.75" thickBot="1">
      <c r="A4" s="846"/>
      <c r="B4" s="847"/>
      <c r="C4" s="847"/>
      <c r="D4" s="466">
        <f>Weather_Input!A5</f>
        <v>36959</v>
      </c>
      <c r="E4" s="466">
        <f>Weather_Input!A6</f>
        <v>36960</v>
      </c>
      <c r="F4" s="466">
        <f>Weather_Input!A7</f>
        <v>36961</v>
      </c>
      <c r="G4" s="466">
        <f>Weather_Input!A8</f>
        <v>36962</v>
      </c>
      <c r="H4" s="466">
        <f>Weather_Input!A9</f>
        <v>36963</v>
      </c>
      <c r="I4" s="467">
        <f>Weather_Input!A10</f>
        <v>36964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37/22/30</v>
      </c>
      <c r="E5" s="468" t="str">
        <f>TEXT(Weather_Input!B6,"0")&amp;"/"&amp;TEXT(Weather_Input!C6,"0") &amp; "/" &amp; TEXT((Weather_Input!B6+Weather_Input!C6)/2,"0")</f>
        <v>46/33/40</v>
      </c>
      <c r="F5" s="468" t="str">
        <f>TEXT(Weather_Input!B7,"0")&amp;"/"&amp;TEXT(Weather_Input!C7,"0") &amp; "/" &amp; TEXT((Weather_Input!B7+Weather_Input!C7)/2,"0")</f>
        <v>40/33/37</v>
      </c>
      <c r="G5" s="468" t="str">
        <f>TEXT(Weather_Input!B8,"0")&amp;"/"&amp;TEXT(Weather_Input!C8,"0") &amp; "/" &amp; TEXT((Weather_Input!B8+Weather_Input!C8)/2,"0")</f>
        <v>46/35/41</v>
      </c>
      <c r="H5" s="468" t="str">
        <f>TEXT(Weather_Input!B9,"0")&amp;"/"&amp;TEXT(Weather_Input!C9,"0") &amp; "/" &amp; TEXT((Weather_Input!B9+Weather_Input!C9)/2,"0")</f>
        <v>45/29/37</v>
      </c>
      <c r="I5" s="469" t="str">
        <f>TEXT(Weather_Input!B10,"0")&amp;"/"&amp;TEXT(Weather_Input!C10,"0") &amp; "/" &amp; TEXT((Weather_Input!B10+Weather_Input!C10)/2,"0")</f>
        <v>45/29/37</v>
      </c>
    </row>
    <row r="6" spans="1:256" ht="15.75">
      <c r="A6" s="853" t="s">
        <v>139</v>
      </c>
      <c r="B6" s="841"/>
      <c r="C6" s="841"/>
      <c r="D6" s="468">
        <f>PGL_Deliveries!C5/1000</f>
        <v>950</v>
      </c>
      <c r="E6" s="468">
        <f>PGL_Deliveries!C6/1000</f>
        <v>800</v>
      </c>
      <c r="F6" s="468">
        <f>PGL_Deliveries!C7/1000</f>
        <v>825</v>
      </c>
      <c r="G6" s="468">
        <f>PGL_Deliveries!C8/1000</f>
        <v>775</v>
      </c>
      <c r="H6" s="468">
        <f>PGL_Deliveries!C9/1000</f>
        <v>820</v>
      </c>
      <c r="I6" s="469">
        <f>PGL_Deliveries!C10/1000</f>
        <v>820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250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3.75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1204.4100000000001</v>
      </c>
      <c r="E30" s="472">
        <f t="shared" si="1"/>
        <v>1054.4100000000001</v>
      </c>
      <c r="F30" s="472">
        <f t="shared" si="1"/>
        <v>1079.4100000000001</v>
      </c>
      <c r="G30" s="472">
        <f t="shared" si="1"/>
        <v>1029.4100000000001</v>
      </c>
      <c r="H30" s="472">
        <f t="shared" si="1"/>
        <v>1074.4100000000001</v>
      </c>
      <c r="I30" s="1177">
        <f t="shared" si="1"/>
        <v>1074.4100000000001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24.11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324.41199999999998</v>
      </c>
      <c r="E47" s="468">
        <f>PGL_Supplies!Y8/1000</f>
        <v>282.01</v>
      </c>
      <c r="F47" s="468">
        <f>PGL_Supplies!Y9/1000</f>
        <v>282.01</v>
      </c>
      <c r="G47" s="468">
        <f>PGL_Supplies!Y10/1000</f>
        <v>282.01</v>
      </c>
      <c r="H47" s="468">
        <f>PGL_Supplies!Y11/1000</f>
        <v>252.01</v>
      </c>
      <c r="I47" s="469">
        <f>PGL_Supplies!Y12/1000</f>
        <v>252.01</v>
      </c>
    </row>
    <row r="48" spans="1:9" ht="15.75">
      <c r="A48" s="853"/>
      <c r="B48" s="841" t="s">
        <v>143</v>
      </c>
      <c r="C48" s="854"/>
      <c r="D48" s="468">
        <f>PGL_Supplies!Z7/1000</f>
        <v>22</v>
      </c>
      <c r="E48" s="468">
        <f>PGL_Supplies!Z8/1000</f>
        <v>45</v>
      </c>
      <c r="F48" s="468">
        <f>PGL_Supplies!Z9/1000</f>
        <v>45</v>
      </c>
      <c r="G48" s="468">
        <f>PGL_Supplies!Z10/1000</f>
        <v>45</v>
      </c>
      <c r="H48" s="468">
        <f>PGL_Supplies!Z11/1000</f>
        <v>45</v>
      </c>
      <c r="I48" s="469">
        <f>PGL_Supplies!Z12/1000</f>
        <v>45</v>
      </c>
    </row>
    <row r="49" spans="1:10" ht="15.75">
      <c r="A49" s="853"/>
      <c r="B49" s="841" t="s">
        <v>147</v>
      </c>
      <c r="C49" s="854"/>
      <c r="D49" s="468">
        <f>PGL_Supplies!AA7/1000</f>
        <v>148.762</v>
      </c>
      <c r="E49" s="468">
        <f>PGL_Supplies!AA8/1000</f>
        <v>124.542</v>
      </c>
      <c r="F49" s="468">
        <f>PGL_Supplies!AA9/1000</f>
        <v>124.542</v>
      </c>
      <c r="G49" s="468">
        <f>PGL_Supplies!AA10/1000</f>
        <v>124.542</v>
      </c>
      <c r="H49" s="468">
        <f>PGL_Supplies!AA11/1000</f>
        <v>124.542</v>
      </c>
      <c r="I49" s="469">
        <f>PGL_Supplies!AA12/1000</f>
        <v>124.542</v>
      </c>
    </row>
    <row r="50" spans="1:10" ht="15.75">
      <c r="A50" s="853"/>
      <c r="B50" s="841" t="s">
        <v>421</v>
      </c>
      <c r="C50" s="854"/>
      <c r="D50" s="468">
        <f>PGL_Supplies!AB7/1000</f>
        <v>236.78200000000001</v>
      </c>
      <c r="E50" s="468">
        <f>PGL_Supplies!AB8/1000</f>
        <v>260.45400000000001</v>
      </c>
      <c r="F50" s="468">
        <f>PGL_Supplies!AB9/1000</f>
        <v>260.45400000000001</v>
      </c>
      <c r="G50" s="468">
        <f>PGL_Supplies!AB10/1000</f>
        <v>260.45400000000001</v>
      </c>
      <c r="H50" s="468">
        <f>PGL_Supplies!AB11/1000</f>
        <v>260.45400000000001</v>
      </c>
      <c r="I50" s="469">
        <f>PGL_Supplies!AB12/1000</f>
        <v>260.45400000000001</v>
      </c>
    </row>
    <row r="51" spans="1:10" ht="15.75">
      <c r="A51" s="853"/>
      <c r="B51" s="841" t="s">
        <v>141</v>
      </c>
      <c r="C51" s="841"/>
      <c r="D51" s="468">
        <f>PGL_Supplies!AC7/1000</f>
        <v>358.14100000000002</v>
      </c>
      <c r="E51" s="468">
        <f>PGL_Supplies!AC8/1000</f>
        <v>256.33199999999999</v>
      </c>
      <c r="F51" s="468">
        <f>PGL_Supplies!AC9/1000</f>
        <v>256.33199999999999</v>
      </c>
      <c r="G51" s="468">
        <f>PGL_Supplies!AC10/1000</f>
        <v>256.33199999999999</v>
      </c>
      <c r="H51" s="468">
        <f>PGL_Supplies!AC11/1000</f>
        <v>256.33199999999999</v>
      </c>
      <c r="I51" s="469">
        <f>PGL_Supplies!AC12/1000</f>
        <v>256.33199999999999</v>
      </c>
    </row>
    <row r="52" spans="1:10" ht="15.75">
      <c r="A52" s="853"/>
      <c r="B52" s="841" t="s">
        <v>142</v>
      </c>
      <c r="C52" s="841"/>
      <c r="D52" s="468">
        <f>PGL_Supplies!AD7/1000</f>
        <v>76.2</v>
      </c>
      <c r="E52" s="468">
        <f>PGL_Supplies!AD8/1000</f>
        <v>106.2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 ht="15.75">
      <c r="A53" s="867"/>
      <c r="B53" s="841" t="s">
        <v>158</v>
      </c>
      <c r="C53" s="841"/>
      <c r="D53" s="468">
        <f>PGL_Supplies!I7/1000</f>
        <v>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793</v>
      </c>
      <c r="B55" s="841"/>
      <c r="C55" s="841"/>
      <c r="D55" s="468">
        <f>PGL_Supplies!B7/1000</f>
        <v>6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4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1204.4070000000002</v>
      </c>
      <c r="E61" s="478">
        <f t="shared" si="2"/>
        <v>1078.538</v>
      </c>
      <c r="F61" s="478">
        <f t="shared" si="2"/>
        <v>1078.538</v>
      </c>
      <c r="G61" s="478">
        <f t="shared" si="2"/>
        <v>1078.538</v>
      </c>
      <c r="H61" s="478">
        <f t="shared" si="2"/>
        <v>1048.538</v>
      </c>
      <c r="I61" s="1179">
        <f t="shared" si="2"/>
        <v>1048.538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24.127999999999929</v>
      </c>
      <c r="F62" s="479">
        <f t="shared" si="3"/>
        <v>0</v>
      </c>
      <c r="G62" s="479">
        <f t="shared" si="3"/>
        <v>49.127999999999929</v>
      </c>
      <c r="H62" s="479">
        <f t="shared" si="3"/>
        <v>0</v>
      </c>
      <c r="I62" s="1180">
        <f t="shared" si="3"/>
        <v>0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2.9999999999290594E-3</v>
      </c>
      <c r="E63" s="480">
        <f t="shared" si="4"/>
        <v>0</v>
      </c>
      <c r="F63" s="480">
        <f t="shared" si="4"/>
        <v>0.87200000000007094</v>
      </c>
      <c r="G63" s="480">
        <f t="shared" si="4"/>
        <v>0</v>
      </c>
      <c r="H63" s="480">
        <f t="shared" si="4"/>
        <v>25.872000000000071</v>
      </c>
      <c r="I63" s="1181">
        <f t="shared" si="4"/>
        <v>25.872000000000071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302.17899999999997</v>
      </c>
      <c r="E64" s="1170">
        <f>PGL_Supplies!V8/1000</f>
        <v>302.17899999999997</v>
      </c>
      <c r="F64" s="1170">
        <f>PGL_Supplies!V9/1000</f>
        <v>302.17899999999997</v>
      </c>
      <c r="G64" s="1170">
        <f>PGL_Supplies!V10/1000</f>
        <v>302.17899999999997</v>
      </c>
      <c r="H64" s="1170">
        <f>PGL_Supplies!V11/1000</f>
        <v>302.17899999999997</v>
      </c>
      <c r="I64" s="1171">
        <f>PGL_Supplies!V12/1000</f>
        <v>302.17899999999997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2001-03-10T10:33:40Z</cp:lastPrinted>
  <dcterms:created xsi:type="dcterms:W3CDTF">1997-07-16T16:14:22Z</dcterms:created>
  <dcterms:modified xsi:type="dcterms:W3CDTF">2023-09-10T17:17:46Z</dcterms:modified>
</cp:coreProperties>
</file>