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7FDF39-365E-4839-905B-FD756D719BE9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<sst xmlns="http://schemas.openxmlformats.org/spreadsheetml/2006/main" count="2148" uniqueCount="800">
  <si>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</si>
  <si>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</si>
  <si>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</si>
  <si>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</si>
  <si>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</si>
  <si>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</si>
  <si>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</si>
  <si>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</si>
  <si>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</si>
  <si>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</si>
  <si>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</si>
  <si>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</si>
  <si>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</si>
  <si>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</si>
  <si>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</si>
  <si>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</si>
  <si>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</si>
  <si>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</si>
  <si>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</si>
  <si>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</si>
  <si>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</si>
  <si>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</si>
  <si>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</si>
  <si>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</si>
  <si>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</si>
  <si>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</si>
  <si>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</si>
  <si>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</si>
  <si>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</si>
  <si>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</si>
  <si>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</si>
  <si>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</si>
  <si>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</si>
  <si>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</si>
  <si>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</si>
  <si>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</si>
  <si>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</si>
  <si>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</si>
  <si>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</si>
  <si>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</si>
  <si>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</si>
  <si>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</si>
  <si>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</si>
  <si>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</si>
  <si>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</si>
  <si>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</si>
  <si>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</si>
  <si>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</si>
  <si>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</si>
  <si>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</si>
  <si>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</si>
  <si>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</si>
  <si>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</si>
  <si>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</si>
  <si>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</si>
  <si>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</si>
  <si>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</si>
  <si>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</si>
  <si>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</si>
  <si>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</si>
  <si>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</si>
  <si>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</si>
  <si>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</si>
  <si>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</si>
  <si>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</si>
  <si>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</si>
  <si>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</si>
  <si>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</si>
  <si>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</si>
  <si>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</si>
  <si>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</si>
  <si>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</si>
  <si>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</si>
  <si>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</si>
  <si>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</si>
  <si>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</si>
  <si>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</si>
  <si>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</si>
  <si>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</si>
  <si>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</si>
  <si>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</si>
  <si>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</si>
  <si>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</si>
  <si>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</si>
  <si>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</si>
  <si>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</si>
  <si>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</si>
  <si>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</si>
  <si>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</si>
  <si>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</si>
  <si>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</si>
  <si>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</si>
  <si>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</si>
  <si>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</si>
  <si>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</si>
  <si>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</si>
  <si>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</si>
  <si>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</si>
  <si>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</si>
  <si>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</si>
  <si>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</si>
  <si>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</si>
  <si>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</si>
  <si>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</si>
  <si>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</si>
  <si>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</si>
  <si>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</si>
  <si>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</si>
  <si>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</si>
  <si>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</si>
  <si>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</si>
  <si>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</si>
  <si>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</si>
  <si>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</si>
  <si>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</si>
  <si>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</si>
  <si>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</si>
  <si>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</si>
  <si>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</si>
  <si>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</si>
  <si>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</si>
  <si>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</si>
  <si>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</si>
  <si>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</si>
  <si>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</si>
  <si>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</si>
  <si>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</si>
  <si>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</si>
  <si>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</si>
  <si>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</si>
  <si>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</si>
  <si>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</si>
  <si>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</si>
  <si>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</si>
  <si>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</si>
  <si>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</si>
  <si>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</si>
  <si>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</si>
  <si>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</si>
  <si>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</si>
  <si>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</si>
  <si>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</si>
  <si>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</si>
  <si>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</si>
  <si>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</si>
  <si>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</si>
  <si>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</si>
  <si>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</si>
  <si>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</si>
  <si>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</si>
  <si>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</si>
  <si>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</si>
  <si>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</si>
  <si>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</si>
  <si>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</si>
  <si>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</si>
  <si>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</si>
  <si>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</si>
  <si>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</si>
  <si>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</si>
  <si>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</si>
  <si>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</si>
  <si>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</si>
  <si>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</si>
  <si>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</si>
  <si>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</si>
  <si>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</si>
  <si>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</si>
  <si>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</si>
  <si>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</si>
  <si>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</si>
  <si>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</si>
  <si>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</si>
  <si>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</si>
  <si>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</si>
  <si>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</si>
  <si>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</si>
  <si>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</si>
  <si>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</si>
  <si>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</si>
  <si>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</si>
  <si>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</si>
  <si>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</si>
  <si>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</si>
  <si>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</si>
  <si>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</si>
  <si>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</si>
  <si>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</si>
  <si>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</si>
  <si>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</si>
  <si>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</si>
  <si>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</si>
  <si>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</si>
  <si>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</si>
  <si>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</si>
  <si>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</si>
  <si>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</si>
  <si>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</si>
  <si>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</si>
  <si>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</si>
  <si>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</si>
  <si>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</si>
  <si>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</si>
  <si>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</si>
  <si>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</si>
  <si>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</si>
  <si>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</si>
  <si>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</si>
  <si>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</si>
  <si>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</si>
  <si>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</si>
  <si>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</si>
  <si>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</si>
  <si>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</si>
  <si>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</si>
  <si>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</si>
  <si>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</si>
  <si>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</si>
  <si>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</si>
  <si>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</si>
  <si>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</si>
  <si>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</si>
  <si>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</si>
  <si>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</si>
  <si>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</si>
  <si>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</si>
  <si>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</si>
  <si>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</si>
  <si>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</si>
  <si>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</si>
  <si>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</si>
  <si>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</si>
  <si>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</si>
  <si>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</si>
  <si>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</si>
  <si>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</si>
  <si>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</si>
  <si>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</si>
  <si>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</si>
  <si>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</si>
  <si>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</si>
  <si>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</si>
  <si>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</si>
  <si>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</si>
  <si>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</si>
  <si>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</si>
  <si>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</si>
  <si>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</si>
  <si>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</si>
  <si>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</si>
  <si>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</si>
  <si>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</si>
  <si>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</si>
  <si>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</si>
  <si>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</si>
  <si>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</si>
  <si>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</si>
  <si>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</si>
  <si>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</si>
  <si>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</si>
  <si>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</si>
  <si>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</si>
  <si>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</si>
  <si>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</si>
  <si>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</si>
  <si>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</si>
  <si>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</si>
  <si>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</si>
  <si>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</si>
  <si>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</si>
  <si>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</si>
  <si>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</si>
  <si>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</si>
  <si>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</si>
  <si>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</si>
  <si>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</si>
  <si>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</si>
  <si>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</si>
  <si>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</si>
  <si>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</si>
  <si>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</si>
  <si>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</si>
  <si>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</si>
  <si>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</si>
  <si>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</si>
  <si>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</si>
  <si>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</si>
  <si>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</si>
  <si>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</si>
  <si>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</si>
  <si>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</si>
  <si>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</si>
  <si>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</si>
  <si>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</si>
  <si>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</si>
  <si>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</si>
  <si>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</si>
  <si>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</si>
  <si>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</si>
  <si>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</si>
  <si>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</si>
  <si>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</si>
  <si>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</si>
  <si>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</si>
  <si>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</si>
  <si>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</si>
  <si>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</si>
  <si>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</si>
  <si>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</si>
  <si>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</si>
  <si>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</si>
  <si>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</si>
  <si>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</si>
  <si>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</si>
  <si>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</si>
  <si>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</si>
  <si>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</si>
  <si>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</si>
  <si>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</si>
  <si>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</si>
  <si>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</si>
  <si>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</si>
  <si>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</si>
  <si>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</si>
  <si>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</si>
  <si>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</si>
  <si>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</si>
  <si>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</si>
  <si>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</si>
  <si>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</si>
  <si>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</si>
  <si>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</si>
  <si>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</si>
  <si>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</si>
  <si>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</si>
  <si>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</si>
  <si>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</si>
  <si>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</si>
  <si>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</si>
  <si>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</si>
  <si>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</si>
  <si>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</si>
  <si>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</si>
  <si>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</si>
  <si>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</si>
  <si>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</si>
  <si>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</si>
  <si>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</si>
  <si>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</si>
  <si>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</si>
  <si>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</si>
  <si>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</si>
  <si>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</si>
  <si>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</si>
  <si>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</si>
  <si>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</si>
  <si>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</si>
  <si>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</si>
  <si>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</si>
  <si>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</si>
  <si>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</si>
  <si>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</si>
  <si>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</si>
  <si>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</si>
  <si>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</si>
  <si>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</si>
  <si>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</si>
  <si>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</si>
  <si>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</si>
  <si>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</si>
  <si>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</si>
  <si>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</si>
  <si>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</si>
  <si>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</si>
  <si>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</si>
  <si>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</si>
  <si>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</si>
  <si>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</si>
  <si>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</si>
  <si>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</si>
  <si>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</si>
  <si>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</si>
  <si>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</si>
  <si>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</si>
  <si>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</si>
  <si>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</si>
  <si>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</si>
  <si>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</si>
  <si>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</si>
  <si>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</si>
  <si>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</si>
  <si>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</si>
  <si>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</si>
  <si>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</si>
  <si>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</si>
  <si>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</si>
  <si>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</si>
  <si>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</si>
  <si>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</si>
  <si>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</si>
  <si>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</si>
  <si>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</si>
  <si>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</si>
  <si>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</si>
  <si>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</si>
  <si>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</si>
  <si>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</si>
  <si>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</si>
  <si>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</si>
  <si>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</si>
  <si>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</si>
  <si>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</si>
  <si>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</si>
  <si>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</si>
  <si>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</si>
  <si>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</si>
  <si>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</si>
  <si>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</si>
  <si>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</si>
  <si>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</si>
  <si>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</si>
  <si>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</si>
  <si>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</si>
  <si>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</si>
  <si>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</si>
  <si>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</si>
  <si>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</si>
  <si>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</si>
  <si>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</si>
  <si>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</si>
  <si>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</si>
  <si>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</si>
  <si>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</si>
  <si>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</si>
  <si>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</si>
  <si>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</si>
  <si>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</si>
  <si>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</si>
  <si>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</si>
  <si>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</si>
  <si>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</si>
  <si>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</si>
  <si>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</si>
  <si>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</si>
  <si>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</si>
  <si>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</si>
  <si>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</si>
  <si>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</si>
  <si>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</si>
  <si>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</si>
  <si>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</si>
  <si>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</si>
  <si>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</si>
  <si>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</si>
  <si>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</si>
  <si>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</si>
  <si>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</si>
  <si>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</si>
  <si>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</si>
  <si>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</si>
  <si>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</si>
  <si>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</si>
  <si>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</si>
  <si>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</si>
  <si>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</si>
  <si>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</si>
  <si>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</si>
  <si>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</si>
  <si>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</si>
  <si>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</si>
  <si>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</si>
  <si>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</si>
  <si>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</si>
  <si>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</si>
  <si>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</si>
  <si>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</si>
  <si>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</si>
  <si>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</si>
  <si>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</si>
  <si>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</si>
  <si>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</si>
  <si>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</si>
  <si>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</si>
  <si>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</si>
  <si>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</si>
  <si>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</si>
  <si>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</si>
  <si>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</si>
  <si>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</si>
  <si>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</si>
  <si>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</si>
  <si>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</si>
  <si>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</si>
  <si>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</si>
  <si>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</si>
  <si>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</si>
  <si>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</si>
  <si>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</si>
  <si>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</si>
  <si>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</si>
  <si>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</si>
  <si>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</si>
  <si>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</si>
  <si>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</si>
  <si>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</si>
  <si>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</si>
  <si>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</si>
  <si>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</si>
  <si>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</si>
  <si>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</si>
  <si>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</si>
  <si>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</si>
  <si>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</si>
  <si>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</si>
  <si>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</si>
  <si>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</si>
  <si>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</si>
  <si>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</si>
  <si>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</si>
  <si>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</si>
  <si>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</si>
  <si>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</si>
  <si>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</si>
  <si>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</si>
  <si>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</si>
  <si>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</si>
  <si>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</si>
  <si>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</si>
  <si>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</si>
  <si>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</si>
  <si>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</si>
  <si>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</si>
  <si>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</si>
  <si>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</si>
  <si>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</si>
  <si>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</si>
  <si>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</si>
  <si>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</si>
  <si>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</si>
  <si>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</si>
  <si>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</si>
  <si>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</si>
  <si>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</si>
  <si>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</si>
  <si>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</si>
  <si>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</si>
  <si>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</si>
  <si>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</si>
  <si>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</si>
  <si>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</si>
  <si>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</si>
  <si>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</si>
  <si>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</si>
  <si>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</si>
  <si>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</si>
  <si>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</si>
  <si>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</si>
  <si>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</si>
  <si>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</si>
  <si>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</si>
  <si>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</si>
  <si>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</si>
  <si>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</si>
  <si>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</si>
  <si>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</si>
  <si>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</si>
  <si>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</si>
  <si>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</si>
  <si>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</si>
  <si>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</si>
  <si>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</si>
  <si>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</si>
  <si>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</si>
  <si>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</si>
  <si>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</si>
  <si>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</si>
  <si>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</si>
  <si>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</si>
  <si>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</si>
  <si>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</si>
  <si>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</si>
  <si>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</si>
  <si>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</si>
  <si>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</si>
  <si>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</si>
  <si>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</si>
  <si>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</si>
  <si>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</si>
  <si>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</si>
  <si>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</si>
  <si>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</si>
  <si>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</si>
  <si>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</si>
  <si>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</si>
  <si>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</si>
  <si>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</si>
  <si>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</si>
  <si>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</si>
  <si>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</si>
  <si>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</si>
  <si>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</si>
  <si>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</si>
  <si>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</si>
  <si>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</si>
  <si>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</si>
  <si>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</si>
  <si>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</si>
  <si>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</si>
  <si>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</si>
  <si>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</si>
  <si>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</si>
  <si>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</si>
  <si>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</si>
  <si>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</si>
  <si>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</si>
  <si>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</si>
  <si>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</si>
  <si>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</si>
  <si>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</si>
  <si>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</si>
  <si>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</si>
  <si>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</si>
  <si>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</si>
  <si>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</si>
  <si>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</si>
  <si>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</si>
  <si>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</si>
  <si>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</si>
  <si>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</si>
  <si>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</si>
  <si>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</si>
  <si>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</si>
  <si>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</si>
  <si>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</si>
  <si>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</si>
  <si>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</si>
  <si>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</si>
  <si>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</si>
  <si>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</si>
  <si>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</si>
  <si>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</si>
  <si>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</si>
  <si>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</si>
  <si>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</si>
  <si>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</si>
  <si>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</si>
  <si>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</si>
  <si>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</si>
  <si>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</si>
  <si>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</si>
  <si>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</si>
  <si>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</si>
  <si>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</si>
  <si>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</si>
  <si>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</si>
  <si>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</si>
  <si>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</si>
  <si>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</si>
  <si>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</si>
  <si>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</si>
  <si>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</si>
  <si>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</si>
  <si>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</si>
  <si>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</si>
  <si>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</si>
  <si>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</si>
  <si>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</si>
  <si>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</si>
  <si>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</si>
  <si>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</si>
  <si>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</si>
  <si>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</si>
  <si>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</si>
  <si>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</si>
  <si>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</si>
  <si>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</si>
  <si>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</si>
  <si>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</si>
  <si>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</si>
  <si>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</si>
  <si>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</si>
  <si>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</si>
  <si>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</si>
  <si>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</si>
  <si>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</si>
  <si>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</si>
  <si>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</si>
  <si>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</si>
  <si>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</si>
  <si>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</si>
  <si>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</si>
  <si>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</si>
  <si>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</si>
  <si>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</si>
  <si>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</si>
  <si>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</si>
  <si>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</si>
  <si>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</si>
  <si>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</si>
  <si>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</si>
  <si>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</si>
  <si>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</si>
  <si>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</si>
  <si>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</si>
  <si>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</si>
  <si>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</si>
  <si>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</si>
  <si>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</si>
  <si>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</si>
  <si>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</si>
  <si>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</si>
  <si>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</si>
  <si>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</si>
  <si>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</si>
  <si>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</si>
  <si>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</si>
  <si>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</si>
  <si>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</si>
  <si>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</si>
  <si>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</si>
  <si>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</si>
  <si>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</si>
  <si>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</si>
  <si>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</si>
  <si>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</si>
  <si>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</si>
  <si>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</si>
  <si>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</si>
  <si>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</si>
  <si>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</si>
  <si>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</si>
  <si>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</si>
  <si>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</si>
  <si>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</si>
  <si>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</si>
  <si>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</si>
  <si>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</si>
  <si>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</si>
  <si>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</si>
  <si>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</si>
  <si>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</si>
  <si>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</si>
  <si>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</si>
  <si>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</si>
  <si>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</si>
  <si>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</si>
  <si>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</si>
  <si>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</si>
  <si>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</si>
  <si>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</si>
  <si>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</si>
  <si>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</si>
  <si>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</si>
  <si>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</si>
  <si>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</si>
  <si>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</si>
  <si>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</si>
  <si>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</si>
  <si>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</si>
  <si>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</si>
  <si>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</si>
  <si>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</si>
  <si>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</si>
  <si>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</si>
  <si>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</si>
  <si>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</si>
  <si>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</si>
  <si>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</si>
  <si>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</si>
  <si>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</si>
  <si>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</si>
  <si>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</si>
  <si>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</si>
  <si>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</si>
  <si>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</si>
  <si>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</si>
  <si>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</si>
  <si>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</si>
  <si>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</si>
  <si>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</si>
  <si>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</si>
  <si>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</si>
  <si>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</si>
  <si>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</si>
  <si>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</si>
  <si>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</si>
  <si>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</si>
  <si>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</si>
  <si>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</si>
  <si>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</si>
  <si>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</si>
  <si>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</si>
  <si>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</si>
  <si>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</si>
  <si>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>MOSTLY CLOUDY.</t>
  </si>
  <si>
    <t>WINDY WITH WET SNOW…ACCUMULATING AN INCH OR TWO. N.E. WINDS 20/30 MPH</t>
  </si>
  <si>
    <t>AT NIGHT, CLOUDY WITH SNOW LIKELY. 1" ACCUM. NORTH WINDS 15/25 MPH.</t>
  </si>
  <si>
    <t>BECOMING PARTLY SUNNY. AT NIGHT, MOSTLY CLEAR.</t>
  </si>
  <si>
    <t>MOSTLY SUNNY AND WARMER.</t>
  </si>
  <si>
    <t>A CHANCE OF 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</si>
</sst>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4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4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2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3D0A1CA-CE30-E9BC-2D6B-FC035E02C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F4CECA-D4D9-792B-3698-A1FE63AA30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D57C910-E324-ABC3-ED0B-34520F072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75E230F-B162-2E60-6C4B-1032AFC37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6962DB8-EE1E-BCA9-5C5F-0A93D5332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05C7147-DA9B-B5AC-C465-A076EE31B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7A3A8C7-A1E7-3C1F-B85B-E9768D5EA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125B978-DF0E-849C-5F69-C5D7BC78F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30BE178-4A15-D41E-02AA-53CDF00648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FF388A3-254E-54F6-CBC7-13D9AADF2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6F3CE1E-95B6-00C2-8AB3-08FEC1CDF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AB676C4-8ADE-F2E6-3150-CD6FFC16CB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B4DD75C-65BF-3D7C-A605-B0E7C5A25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A65C388-E461-72C6-797F-B127CCDF4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C58AC99-131B-28C7-62D1-6CFC7086F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BF8A9DD-CF74-5A85-AA23-984ABBD60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2D21E45-28BA-E073-422D-77A2B8DCF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D69AFF59-F7B1-E26B-049C-D7AF41E7BA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717B10CA-C04E-88FA-4E86-C3BACB6A3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F002C8B3-2D7B-C2B6-E4FF-7929D3C5E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3BFD2125-F168-AF9E-B6A8-52E3033C3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21CB6959-1655-FEFC-B2E0-34CE7A3E2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34A4C8E-C26E-0C65-BC82-93D0AD679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FACBB6D9-6EE1-1B89-08AA-59FFDB8F9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B014FAA6-4055-A7E1-9DFD-AB2402643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BDBF1BFA-9981-EF62-4983-DB1934A4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E9C8F59A-F219-828F-6EBD-01A4B4B79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321C8DEA-02AD-3F5D-7C6E-006AC877A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106B195-BD89-CDEE-0D31-4CF97BD2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FB8DCFA-8597-66A2-02E8-77F656B4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30043AA4-82F4-D448-EA1B-B5CB63CD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AD30DD1-2645-D3EE-40D7-E8D021AB8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25350B76-812F-A2AC-B5BC-6FB8B1519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CA0E5106-537C-C842-497D-A42A961F1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0DA336BE-5B34-D011-D243-3E09C695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BCF8964-49DF-21CA-6F25-101A00D4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6EBFC46-58B2-4CAA-9FD9-48C50428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7871723B-C2C2-CE2F-0A93-66F8C905F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06646E8-105F-8648-E7F2-C930A8F12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84F7D79D-90AD-FD9D-A67C-F313958C3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37B62B9E-9211-383D-CFE5-6F29B039E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5976A126-9DC0-1483-2EE2-0A9CD25B8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84EC72AC-2B5D-920E-E75B-F2C240403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42D69497-C36A-A775-FB36-4BE41CE1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317" name="Day_1">
          <a:extLst>
            <a:ext uri="{FF2B5EF4-FFF2-40B4-BE49-F238E27FC236}">
              <a16:creationId xmlns:a16="http://schemas.microsoft.com/office/drawing/2014/main" id="{F6B76459-116D-6F88-7809-107E19E43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318" name="Day_2">
          <a:extLst>
            <a:ext uri="{FF2B5EF4-FFF2-40B4-BE49-F238E27FC236}">
              <a16:creationId xmlns:a16="http://schemas.microsoft.com/office/drawing/2014/main" id="{F9D0C66E-7D98-3010-75FA-24CBA2646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319" name="Day_3">
          <a:extLst>
            <a:ext uri="{FF2B5EF4-FFF2-40B4-BE49-F238E27FC236}">
              <a16:creationId xmlns:a16="http://schemas.microsoft.com/office/drawing/2014/main" id="{650902B2-1FC5-34CB-E856-3CD8423DE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320" name="Day_4">
          <a:extLst>
            <a:ext uri="{FF2B5EF4-FFF2-40B4-BE49-F238E27FC236}">
              <a16:creationId xmlns:a16="http://schemas.microsoft.com/office/drawing/2014/main" id="{B6107FD6-C741-347D-0A02-9F69B2F8F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321" name="Day_5">
          <a:extLst>
            <a:ext uri="{FF2B5EF4-FFF2-40B4-BE49-F238E27FC236}">
              <a16:creationId xmlns:a16="http://schemas.microsoft.com/office/drawing/2014/main" id="{8E10D655-DED7-66B6-5BA5-A8117E8DB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322" name="Day_6">
          <a:extLst>
            <a:ext uri="{FF2B5EF4-FFF2-40B4-BE49-F238E27FC236}">
              <a16:creationId xmlns:a16="http://schemas.microsoft.com/office/drawing/2014/main" id="{478DB835-FF3F-AB9E-0AFC-F45F1C7EB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954407FC-DFB8-65C1-D518-3F24CF81E4F1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F88A2A94-4434-DB58-50A6-E8096F47F1D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DA806217-2D69-F54D-C5AA-A167D9B64B2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3F067468-BF74-AE23-5470-86AE606BF849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8D8613A-1C0D-324C-D3BF-E96C340E96B6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20EE036D-AC8A-16D2-99A6-389282104AF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7CB2ED67-1DBA-0DE7-0B34-6CBA1F3CD4E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7A81A49-D968-75DA-4105-33CF3F51006F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794BAB82-8753-FAAC-33C1-2F705B95C267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71A0C594-6CBD-3FC0-149B-CD51FB3148D1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E2AE37C3-4937-D7F7-59D4-930E99D5D02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5F35B98D-5F6D-ABF6-1A04-37387BA74C3A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6D92A06C-1B3F-BB28-39F9-624DE0ED069A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56736156-EEBF-F8EC-1D7D-FEA5EEBCF190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CA4BDAA5-5062-D54C-6286-FAFAB9B1A160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09AB429-2A27-01B4-8C14-07FD2C12B462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8E09246-3845-CBA8-272B-5FD11523C99E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02398C6E-D843-00BF-35B5-9973D3FF1124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6CF36195-5F66-630F-EB98-D4442E09F9DB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1A912E18-DC4D-32F1-AAE2-4DDC99C477F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05459976-1C06-0208-430A-D017499CBCF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6AECF7A6-F55D-D217-1D89-B63589F3BBEE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F1D06527-ECEF-8C54-2757-643D688F459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4A6D5C81-5CE3-1D53-65FC-694C6BBC6177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CB8F36F0-7833-5C40-63E0-FC30BE37A39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1D3F3D36-0DF9-9DF2-6BA7-4FE38CC08A3D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C36D2BFE-E80C-D7AB-4520-6EDB699A0BC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E938C8D-5408-7814-5F35-00092D33F16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DCDE6607-3376-D48A-DC19-42AC32E613C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325723F-ED69-143E-2ADE-ADDC95002D9D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B4764D6F-FDDF-AC75-B913-A01C9CE6130A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D5BCF914-F642-B9BA-727F-C3E2390ABE04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E2708229-CF78-940A-0160-B2BAE06FFB1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8A1953A1-58E2-E38D-EAF6-A34019E6B905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A3E59332-C47E-122C-3908-58E1F9467FE7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510D268-2FFE-1548-944E-89C3CAD1A2DF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60A24C11-813F-074D-7ACE-A6E9CB20EAB3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BC106C10-B381-2F92-64E0-BF9004AD07B2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C4F72DA-D1F6-F36E-BD8B-DBB1B83EC75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2A64265F-FC44-1FB1-ED10-DCAEC5A0926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2A7EFD37-4603-0296-45D1-115370C91B6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6308253C-3D72-79AB-0C7D-C1E6AD39B94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AAC23A08-076F-3CFD-8F67-568FD516F86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F59344A5-6577-EB72-F99E-228D218CCED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5478DB11-51BC-2144-0DC4-71DF8B09F4D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8A76980-1E92-EBCE-A19F-3461C36E9541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C050FC53-5F7A-428D-97E5-01BA343FA8E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46915527-02D8-BAF7-59F2-A5758F6970A4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C15B070-37CA-5027-FB81-549E73B5337F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C936E8E3-50B6-A88D-FC81-788B7F3AF8F5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2F4836D-3D61-2E67-C280-01BFAAD7BDF2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B38D32D-AE7C-938E-AB73-18EE43D95618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505B74A-3593-FDFC-D0A0-C40BF70AA894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02CE5C1-AFA8-CD6C-0CA3-86C068BC045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C23B630A-5DDD-26A7-0605-F7AF05ED906C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6F14D4CA-6D20-DA8C-4E0D-71B4D348741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A2C10875-174E-0DCA-F1A4-0F4777FADD5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5D5D56B-34BB-8AA6-1343-E8998CE4308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7166D24-BAF4-51E4-8658-29A1899AC204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3C9ACA45-2107-431B-D890-46D4F90B6A81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2BE1303-A748-69BC-5B3B-A2120CF2593D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4CE7944-7829-DDD4-FF54-A7C9799ABD6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EC588D1F-FE8C-6132-339C-974CEDAD2682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3FA534A-22BF-7E7C-7D30-0275B9F8662F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833AC8C6-6BC4-E32F-9B4C-2D9AD87B3FB1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2FF94692-FA50-0CD3-2D31-954F33FE35E4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3F8D29B3-D03B-B37F-3F2C-E3C961FD275E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A70F1BD6-0EBD-DFDF-1AE3-7A60BB5C8F3B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52F7D3DF-FB00-4A52-FF5D-3161F1DBA59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047CBF3-EF0C-080C-157B-2B486442F520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EF70660-A902-2C34-3541-5D2CA5A6A46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B3A48212-6579-BAA4-E049-B112B6E24CA7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644400D7-ADD6-F4FB-1341-585D8EF75985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4A229444-B190-FFD6-F6AD-4BDAA1116885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8ECB9635-F205-F1DD-0E39-4B37B712F92F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9CBFFACE-7FF6-A800-6E23-42B86F124D67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F55BD591-B4E6-9055-87A1-CF7A7E5DF69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20ED5DFE-59BC-C278-4D05-8B6EB198095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87993954-AE97-FFA0-7B2A-69C33B846578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0DED8F52-E542-0AEA-8AFC-58C2244BE31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4515CD6-F95D-74A4-7F9C-DEE931B1E167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755A0A69-2A6E-295F-849A-D8A0777728FC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DB875C36-0B54-5E83-8BF2-76EF4A3D2FB6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6E972FC6-71B9-8AA1-F560-AC70DCACC97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CBF35180-99FA-6811-F41E-38C10B10F6C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91FF77FD-7482-65AF-EF7A-58B3F82C111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81AA4F9D-FB8A-DBE8-F4C7-FC35D4B49C01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1335A165-D61C-368B-2E93-A42C6D67E5DD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47A60CCA-A306-1EF7-EB6C-295804F9DBE5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291C350A-D8A1-9276-C8CE-61457A3CB862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D3EB395A-2A49-E48F-D604-9C94B5D2CEBA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E69EA24-306C-2E5E-6F2F-6374FA7F1E7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CB2AABC6-8A05-92DC-C3EF-33F6FA65256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DF1F55D-1C86-EAB5-FCC5-707ECF2728E5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620287C-5DAC-6592-5850-A8FBCAE90AC9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8FF69DAA-E189-8544-4630-3EBC846FED91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801975A9-4E6F-38AA-29A7-C1FA208F8D8C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7BBEB8F5-FA91-5A42-72D7-DE6541ABB481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228091F4-058D-E814-E52F-BCB90155A1C0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A961F609-98EE-C18B-C15C-F3374A978C7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DBF14BCD-B3C1-077E-143D-427FFE353E34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0913C57-9F08-838A-6D59-557C16CDC2B0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BB8AA1E9-07F0-E749-62D7-0FB4FA94ADA7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0254F2EE-7705-7D3E-9B45-9B35811B43C0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F7684A8-C33E-0B89-A366-405C63183B6B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2AE7CA33-E699-81EE-F9D6-2DAB15EF54E9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4ECB58E4-94E3-E588-4F3E-56A29E8AF85B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ACFC0C2B-C49A-C3DC-F683-DF2C81F860F2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EB3BE73C-E14A-9D74-A90D-8C582D1F4A1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A559BE5-30E0-ADF8-E24E-C49E7E8299BD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4A62FDD-6EA2-67C8-A0D8-9DB3D5323DDF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E8EE8E4A-63BF-3E71-DD75-8EB127F22AF2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AB1EBA8-F97B-F099-0FC5-B388D6B5290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03A90373-3CE6-0CC0-B0B2-A121A876560B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50477023-832E-0CC3-A599-7DBB0707A1B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759CD283-6651-2C3D-7880-1EB6D84EE96E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88EE37F8-BC90-3094-70C7-873D84C4BD2A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F5C281D-4DE5-A7C0-7780-8F2942F7D0F4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1386D599-32DB-D526-22F2-D03EAA88E630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3048CBE-78D1-3C1B-DC86-5A8AE2B40FB6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E2FF77DA-A822-3E2D-8E46-C2B1640557C7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B01DF206-09A6-BC9D-CA28-58C8D726EB9C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77E8DA94-30E7-BAF4-EA14-C4CF93968C5E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0BFB2BF-3F79-34F4-BE13-8FC9FF840924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B532D335-8744-5C7D-CA12-A21287B904F0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7F332FC-5F8A-688F-8968-4C91BF659232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35CEFA17-BBCB-3D18-D904-74CE8DFB8B29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A775B571-19D8-F37D-D82D-B199DCA6FBAC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0068AAC7-F75D-6A88-5450-19A0C2FAE7C1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B41CDC6-392D-7513-5F13-370E065D2BC5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11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FRI</v>
      </c>
      <c r="I1" s="881">
        <f>D4</f>
        <v>36966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36966</v>
      </c>
      <c r="E4" s="848">
        <f>Weather_Input!A6</f>
        <v>36967</v>
      </c>
      <c r="F4" s="848">
        <f>Weather_Input!A7</f>
        <v>36968</v>
      </c>
      <c r="G4" s="848">
        <f>Weather_Input!A8</f>
        <v>36969</v>
      </c>
      <c r="H4" s="848">
        <f>Weather_Input!A9</f>
        <v>36970</v>
      </c>
      <c r="I4" s="849">
        <f>Weather_Input!A10</f>
        <v>36971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32/27/30</v>
      </c>
      <c r="E5" s="882" t="str">
        <f>TEXT(Weather_Input!B6,"0")&amp;"/"&amp;TEXT(Weather_Input!C6,"0") &amp; "/" &amp; TEXT((Weather_Input!B6+Weather_Input!C6)/2,"0")</f>
        <v>37/19/28</v>
      </c>
      <c r="F5" s="882" t="str">
        <f>TEXT(Weather_Input!B7,"0")&amp;"/"&amp;TEXT(Weather_Input!C7,"0") &amp; "/" &amp; TEXT((Weather_Input!B7+Weather_Input!C7)/2,"0")</f>
        <v>44/30/37</v>
      </c>
      <c r="G5" s="882" t="str">
        <f>TEXT(Weather_Input!B8,"0")&amp;"/"&amp;TEXT(Weather_Input!C8,"0") &amp; "/" &amp; TEXT((Weather_Input!B8+Weather_Input!C8)/2,"0")</f>
        <v>47/35/41</v>
      </c>
      <c r="H5" s="882" t="str">
        <f>TEXT(Weather_Input!B9,"0")&amp;"/"&amp;TEXT(Weather_Input!C9,"0") &amp; "/" &amp; TEXT((Weather_Input!B9+Weather_Input!C9)/2,"0")</f>
        <v>52/36/44</v>
      </c>
      <c r="I5" s="883" t="str">
        <f>TEXT(Weather_Input!B10,"0")&amp;"/"&amp;TEXT(Weather_Input!C10,"0") &amp; "/" &amp; TEXT((Weather_Input!B10+Weather_Input!C10)/2,"0")</f>
        <v>52/36/44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173</v>
      </c>
      <c r="E6" s="851">
        <f ca="1">VLOOKUP(E4,NSG_Sendouts,CELL("Col",NSG_Deliveries!C6),FALSE)/1000</f>
        <v>160</v>
      </c>
      <c r="F6" s="851">
        <f ca="1">VLOOKUP(F4,NSG_Sendouts,CELL("Col",NSG_Deliveries!C7),FALSE)/1000</f>
        <v>137</v>
      </c>
      <c r="G6" s="851">
        <f ca="1">VLOOKUP(G4,NSG_Sendouts,CELL("Col",NSG_Deliveries!C8),FALSE)/1000</f>
        <v>124</v>
      </c>
      <c r="H6" s="851">
        <f ca="1">VLOOKUP(H4,NSG_Sendouts,CELL("Col",NSG_Deliveries!C9),FALSE)/1000</f>
        <v>112</v>
      </c>
      <c r="I6" s="856">
        <f ca="1">VLOOKUP(I4,NSG_Sendouts,CELL("Col",NSG_Deliveries!C10),FALSE)/1000</f>
        <v>110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3.03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176.03</v>
      </c>
      <c r="E19" s="860">
        <f t="shared" ca="1" si="1"/>
        <v>160</v>
      </c>
      <c r="F19" s="860">
        <f t="shared" ca="1" si="1"/>
        <v>137</v>
      </c>
      <c r="G19" s="860">
        <f t="shared" ca="1" si="1"/>
        <v>124</v>
      </c>
      <c r="H19" s="860">
        <f t="shared" ca="1" si="1"/>
        <v>112</v>
      </c>
      <c r="I19" s="861">
        <f t="shared" ca="1" si="1"/>
        <v>110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65</v>
      </c>
      <c r="E23" s="851">
        <f>NSG_Supplies!L8/1000</f>
        <v>60</v>
      </c>
      <c r="F23" s="851">
        <f>NSG_Supplies!L9/1000</f>
        <v>40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91.025000000000006</v>
      </c>
      <c r="E32" s="851">
        <f>NSG_Supplies!R8/1000</f>
        <v>85.649000000000001</v>
      </c>
      <c r="F32" s="851">
        <f>NSG_Supplies!R9/1000</f>
        <v>85.649000000000001</v>
      </c>
      <c r="G32" s="851">
        <f>NSG_Supplies!R10/1000</f>
        <v>85.649000000000001</v>
      </c>
      <c r="H32" s="851">
        <f>NSG_Supplies!R11/1000</f>
        <v>85.649000000000001</v>
      </c>
      <c r="I32" s="852">
        <f>NSG_Supplies!R12/1000</f>
        <v>85.649000000000001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176.02500000000001</v>
      </c>
      <c r="E37" s="891">
        <f t="shared" si="2"/>
        <v>165.649</v>
      </c>
      <c r="F37" s="891">
        <f t="shared" si="2"/>
        <v>145.649</v>
      </c>
      <c r="G37" s="891">
        <f t="shared" si="2"/>
        <v>125.649</v>
      </c>
      <c r="H37" s="891">
        <f t="shared" si="2"/>
        <v>125.649</v>
      </c>
      <c r="I37" s="892">
        <f t="shared" si="2"/>
        <v>125.649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</v>
      </c>
      <c r="E38" s="895">
        <f t="shared" ca="1" si="3"/>
        <v>5.6490000000000009</v>
      </c>
      <c r="F38" s="895">
        <f t="shared" ca="1" si="3"/>
        <v>8.6490000000000009</v>
      </c>
      <c r="G38" s="895">
        <f t="shared" ca="1" si="3"/>
        <v>1.6490000000000009</v>
      </c>
      <c r="H38" s="895">
        <f t="shared" ca="1" si="3"/>
        <v>13.649000000000001</v>
      </c>
      <c r="I38" s="896">
        <f t="shared" ca="1" si="3"/>
        <v>15.649000000000001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4.9999999999954525E-3</v>
      </c>
      <c r="E39" s="877">
        <f t="shared" ca="1" si="4"/>
        <v>0</v>
      </c>
      <c r="F39" s="877">
        <f t="shared" ca="1" si="4"/>
        <v>0</v>
      </c>
      <c r="G39" s="877">
        <f t="shared" ca="1" si="4"/>
        <v>0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41.015999999999998</v>
      </c>
      <c r="E40" s="1175">
        <f>NSG_Supplies!S8/1000</f>
        <v>41.015999999999998</v>
      </c>
      <c r="F40" s="1175">
        <f>NSG_Supplies!S9/1000</f>
        <v>41.015999999999998</v>
      </c>
      <c r="G40" s="1175">
        <f>NSG_Supplies!S10/1000</f>
        <v>41.015999999999998</v>
      </c>
      <c r="H40" s="1175">
        <f>NSG_Supplies!S11/1000</f>
        <v>41.015999999999998</v>
      </c>
      <c r="I40" s="1176">
        <f>NSG_Supplies!S12/1000</f>
        <v>41.015999999999998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16</v>
      </c>
      <c r="E42" s="902">
        <f>Weather_Input!D6</f>
        <v>12</v>
      </c>
      <c r="F42" s="902">
        <f>Weather_Input!D7</f>
        <v>8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14" zoomScale="75" workbookViewId="0">
      <selection activeCell="E20" sqref="D20:E20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172</v>
      </c>
      <c r="B1" s="589"/>
      <c r="C1" s="589"/>
      <c r="D1" s="589"/>
      <c r="E1" s="590" t="s">
        <v>173</v>
      </c>
      <c r="F1" s="591">
        <f>Weather_Input!A5</f>
        <v>36966</v>
      </c>
      <c r="G1" s="771" t="str">
        <f>CHOOSE(WEEKDAY(F1),"SUN","MON","TUE","WED","THU","FRI","SAT")</f>
        <v>FRI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>
        <v>30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32</v>
      </c>
      <c r="C4" s="965">
        <f>Weather_Input!C5</f>
        <v>27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1058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232.06300000000002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61.5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-249.64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142.61500000000001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296.44499999999999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7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163.494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0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653.47699999999998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404.52300000000002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SUM(B54+B56+B57)</f>
        <v>3.75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408.27300000000002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-51.81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-356.46499999999997</v>
      </c>
      <c r="D29" s="987" t="s">
        <v>11</v>
      </c>
      <c r="E29" s="986">
        <f>-PGL_Supplies!AC7/1000</f>
        <v>-356.46499999999997</v>
      </c>
      <c r="F29" s="307"/>
      <c r="G29" s="986">
        <f>-PGL_Supplies!AC7/1000</f>
        <v>-356.46499999999997</v>
      </c>
      <c r="H29" s="515"/>
      <c r="I29" s="988">
        <f>-PGL_Supplies!AC7/1000</f>
        <v>-356.46499999999997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7.2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239.26300000000001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232.06300000000002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0.5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62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61.5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143.61500000000001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142.61500000000001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0.64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-249.64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0.1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296.54500000000002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8.6999999999999993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296.44499999999999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172.19399999999999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296.54500000000002</v>
      </c>
    </row>
    <row r="63" spans="1:9" ht="16.5" thickBot="1">
      <c r="A63" s="800" t="s">
        <v>565</v>
      </c>
      <c r="B63" s="1020">
        <f>+B62+B61-B60+B59</f>
        <v>163.494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FRI</v>
      </c>
      <c r="G1" s="1084">
        <f>Weather_Input!A5</f>
        <v>36966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>
        <v>30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32</v>
      </c>
      <c r="C4" s="759">
        <f>Weather_Input!C5</f>
        <v>27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173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88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20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65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88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3.03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-91.025000000000006</v>
      </c>
      <c r="D26" s="719"/>
      <c r="E26" s="712">
        <f>-NSG_Supplies!R7/1000</f>
        <v>-91.025000000000006</v>
      </c>
      <c r="F26" s="719"/>
      <c r="G26" s="712">
        <f>-NSG_Supplies!R7/1000</f>
        <v>-91.025000000000006</v>
      </c>
      <c r="H26" s="718"/>
      <c r="I26" s="777">
        <f>-NSG_Supplies!R7/1000</f>
        <v>-91.025000000000006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65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65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20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36966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32</v>
      </c>
      <c r="C5" s="266">
        <f>Weather_Input!C5</f>
        <v>27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1058</v>
      </c>
      <c r="C8" s="274">
        <f>NSG_Deliveries!C5/1000</f>
        <v>173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61.5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479.69800000000004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7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152.75700000000001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-701.95500000000015</v>
      </c>
      <c r="C18" s="289">
        <f>-I63</f>
        <v>-65</v>
      </c>
      <c r="D18" s="290" t="s">
        <v>11</v>
      </c>
      <c r="E18" s="289">
        <f>-I63</f>
        <v>-65</v>
      </c>
      <c r="F18" s="290" t="s">
        <v>11</v>
      </c>
      <c r="G18" s="289">
        <f>-I63</f>
        <v>-65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356.04499999999985</v>
      </c>
      <c r="C20" s="295">
        <f>C8+C18+C19</f>
        <v>108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359.79499999999985</v>
      </c>
      <c r="C23" s="301">
        <f>C20</f>
        <v>108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-356.46499999999997</v>
      </c>
      <c r="C32" s="315">
        <f>-NSG_Supplies!R7/1000</f>
        <v>-91.025000000000006</v>
      </c>
      <c r="D32" s="315">
        <f>B32</f>
        <v>-356.46499999999997</v>
      </c>
      <c r="E32" s="315">
        <f>C32</f>
        <v>-91.025000000000006</v>
      </c>
      <c r="F32" s="315">
        <f>B32</f>
        <v>-356.46499999999997</v>
      </c>
      <c r="G32" s="315">
        <f>C32</f>
        <v>-91.025000000000006</v>
      </c>
      <c r="H32" s="320">
        <f>B32</f>
        <v>-356.46499999999997</v>
      </c>
      <c r="I32" s="321">
        <f>C32</f>
        <v>-91.025000000000006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-41.015999999999998</v>
      </c>
      <c r="D33" s="315">
        <f>B33</f>
        <v>0</v>
      </c>
      <c r="E33" s="315">
        <f>C33</f>
        <v>-41.015999999999998</v>
      </c>
      <c r="F33" s="315">
        <f>B33</f>
        <v>0</v>
      </c>
      <c r="G33" s="315">
        <f>C33</f>
        <v>-41.015999999999998</v>
      </c>
      <c r="H33" s="320">
        <f>B33</f>
        <v>0</v>
      </c>
      <c r="I33" s="321">
        <f>C33</f>
        <v>-41.015999999999998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3.03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-51.81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343.28300000000002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143.61500000000001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7.2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479.69800000000004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61.5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65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61.5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65</v>
      </c>
    </row>
    <row r="64" spans="1:9" ht="17.100000000000001" customHeight="1" thickBot="1">
      <c r="A64" s="425" t="s">
        <v>394</v>
      </c>
      <c r="B64" s="324">
        <f>PGL_Supplies!Y7/1000</f>
        <v>239.26300000000001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163.494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8.6999999999999993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152.75700000000001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36966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61.5</v>
      </c>
      <c r="D97" s="603"/>
      <c r="E97" s="615">
        <f>+C97</f>
        <v>61.5</v>
      </c>
      <c r="F97" s="603"/>
      <c r="G97" s="615">
        <f>+C97</f>
        <v>61.5</v>
      </c>
      <c r="H97" s="603"/>
      <c r="I97" s="285">
        <f>+C97</f>
        <v>61.5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-7713.1019999999999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402.75700000000001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0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0.5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-62</v>
      </c>
      <c r="C116" s="419">
        <f>-NSG_Supplies!W7/1000</f>
        <v>0</v>
      </c>
      <c r="D116" s="315">
        <f>-PGL_Supplies!Z7/1000</f>
        <v>-62</v>
      </c>
      <c r="E116" s="315">
        <f>-NSG_Supplies!W7/1000</f>
        <v>0</v>
      </c>
      <c r="F116" s="315">
        <f>-PGL_Supplies!Z7/1000</f>
        <v>-62</v>
      </c>
      <c r="G116" s="315">
        <f>-NSG_Supplies!W7/1000</f>
        <v>0</v>
      </c>
      <c r="H116" s="320">
        <f>-PGL_Supplies!Z7/1000</f>
        <v>-62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-143.61500000000001</v>
      </c>
      <c r="C117" s="315">
        <f>-NSG_Supplies!X7/1000</f>
        <v>0</v>
      </c>
      <c r="D117" s="315">
        <f>-PGL_Supplies!AA7/1000</f>
        <v>-143.61500000000001</v>
      </c>
      <c r="E117" s="315">
        <f>-NSG_Supplies!X7/1000</f>
        <v>0</v>
      </c>
      <c r="F117" s="315">
        <f>-PGL_Supplies!AA7/1000</f>
        <v>-143.61500000000001</v>
      </c>
      <c r="G117" s="315">
        <f>-NSG_Supplies!X7/1000</f>
        <v>0</v>
      </c>
      <c r="H117" s="320">
        <f>-PGL_Supplies!AA7/1000</f>
        <v>-143.61500000000001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-41.015999999999998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0.5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62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61.5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7200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143.61500000000001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343.28300000000002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-7713.1019999999999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8.6999999999999993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172.19399999999999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239.26300000000001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402.75700000000001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36967.181449768519</v>
      </c>
      <c r="F22" s="164" t="s">
        <v>272</v>
      </c>
      <c r="G22" s="191">
        <f ca="1">NOW()</f>
        <v>36967.181449768519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36967.181449768519</v>
      </c>
      <c r="F22" s="164" t="s">
        <v>272</v>
      </c>
      <c r="G22" s="191">
        <f ca="1">NOW()</f>
        <v>36967.181449768519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36966</v>
      </c>
      <c r="C5" s="15"/>
      <c r="D5" s="22" t="s">
        <v>290</v>
      </c>
      <c r="E5" s="23">
        <f>Weather_Input!B5</f>
        <v>32</v>
      </c>
      <c r="F5" s="24" t="s">
        <v>291</v>
      </c>
      <c r="G5" s="25">
        <f>Weather_Input!H5</f>
        <v>33</v>
      </c>
      <c r="H5" s="26" t="s">
        <v>292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27</v>
      </c>
      <c r="F6" s="24" t="s">
        <v>293</v>
      </c>
      <c r="G6" s="25">
        <f>Weather_Input!F5</f>
        <v>509</v>
      </c>
      <c r="H6" s="26" t="s">
        <v>294</v>
      </c>
      <c r="I6" s="27">
        <f ca="1">G6-(VLOOKUP(B5,DD_Normal_Data,CELL("Col",C7),FALSE))</f>
        <v>23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29.5</v>
      </c>
      <c r="F7" s="24" t="s">
        <v>296</v>
      </c>
      <c r="G7" s="25">
        <f>Weather_Input!G5</f>
        <v>5594</v>
      </c>
      <c r="H7" s="26" t="s">
        <v>296</v>
      </c>
      <c r="I7" s="123">
        <f ca="1">G7-(VLOOKUP(B5,DD_Normal_Data,CELL("Col",D4),FALSE))</f>
        <v>313</v>
      </c>
      <c r="J7" s="123"/>
    </row>
    <row r="8" spans="1:109" ht="15">
      <c r="A8" s="18"/>
      <c r="B8" s="20"/>
      <c r="C8" s="15"/>
      <c r="D8" s="32" t="str">
        <f>IF(Weather_Input!I5=""," ",Weather_Input!I5)</f>
        <v>WINDY WITH WET SNOW…ACCUMULATING AN INCH OR TWO. N.E. WINDS 20/30 MPH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AT NIGHT, CLOUDY WITH SNOW LIKELY. 1" ACCUM. NORTH WINDS 15/25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36967</v>
      </c>
      <c r="C10" s="15"/>
      <c r="D10" s="153" t="s">
        <v>290</v>
      </c>
      <c r="E10" s="23">
        <f>Weather_Input!B6</f>
        <v>37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10</v>
      </c>
    </row>
    <row r="11" spans="1:109" ht="15">
      <c r="A11" s="18"/>
      <c r="B11" s="21"/>
      <c r="C11" s="15"/>
      <c r="D11" s="22" t="s">
        <v>176</v>
      </c>
      <c r="E11" s="23">
        <f>Weather_Input!C6</f>
        <v>19</v>
      </c>
      <c r="F11" s="24" t="s">
        <v>293</v>
      </c>
      <c r="G11" s="25">
        <f>IF(DAY(B10)=1,G10,G6+G10)</f>
        <v>546</v>
      </c>
      <c r="H11" s="30" t="s">
        <v>294</v>
      </c>
      <c r="I11" s="27">
        <f ca="1">G11-(VLOOKUP(B10,DD_Normal_Data,CELL("Col",C12),FALSE))</f>
        <v>33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5631</v>
      </c>
      <c r="H12" s="26" t="s">
        <v>296</v>
      </c>
      <c r="I12" s="27">
        <f ca="1">G12-(VLOOKUP(B10,DD_Normal_Data,CELL("Col",D9),FALSE))</f>
        <v>323</v>
      </c>
    </row>
    <row r="13" spans="1:109" ht="15">
      <c r="A13" s="18"/>
      <c r="B13" s="21"/>
      <c r="C13" s="15"/>
      <c r="D13" s="32" t="str">
        <f>IF(Weather_Input!I6=""," ",Weather_Input!I6)</f>
        <v>BECOMING PARTLY SUNNY. AT NIGHT, MOSTLY CLEAR.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36968</v>
      </c>
      <c r="C15" s="15"/>
      <c r="D15" s="22" t="s">
        <v>290</v>
      </c>
      <c r="E15" s="23">
        <f>Weather_Input!B7</f>
        <v>44</v>
      </c>
      <c r="F15" s="24" t="s">
        <v>291</v>
      </c>
      <c r="G15" s="25">
        <f>IF(E17&lt;65,65-(Weather_Input!B7+Weather_Input!C7)/2,0)</f>
        <v>28</v>
      </c>
      <c r="H15" s="26" t="s">
        <v>292</v>
      </c>
      <c r="I15" s="27">
        <f ca="1">G15-(VLOOKUP(B15,DD_Normal_Data,CELL("Col",B16),FALSE))</f>
        <v>1</v>
      </c>
    </row>
    <row r="16" spans="1:109" ht="15">
      <c r="A16" s="18"/>
      <c r="B16" s="20"/>
      <c r="C16" s="15"/>
      <c r="D16" s="22" t="s">
        <v>176</v>
      </c>
      <c r="E16" s="23">
        <f>Weather_Input!C7</f>
        <v>30</v>
      </c>
      <c r="F16" s="24" t="s">
        <v>293</v>
      </c>
      <c r="G16" s="25">
        <f>IF(DAY(B15)=1,G15,G11+G15)</f>
        <v>574</v>
      </c>
      <c r="H16" s="30" t="s">
        <v>294</v>
      </c>
      <c r="I16" s="27">
        <f ca="1">G16-(VLOOKUP(B15,DD_Normal_Data,CELL("Col",C17),FALSE))</f>
        <v>34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37</v>
      </c>
      <c r="F17" s="24" t="s">
        <v>296</v>
      </c>
      <c r="G17" s="25">
        <f>IF(AND(DAY(B15)=1,MONTH(B15)=8),G15,G12+G15)</f>
        <v>5659</v>
      </c>
      <c r="H17" s="26" t="s">
        <v>296</v>
      </c>
      <c r="I17" s="27">
        <f ca="1">G17-(VLOOKUP(B15,DD_Normal_Data,CELL("Col",D14),FALSE))</f>
        <v>324</v>
      </c>
    </row>
    <row r="18" spans="1:109" ht="15">
      <c r="A18" s="18"/>
      <c r="B18" s="20"/>
      <c r="C18" s="15"/>
      <c r="D18" s="32" t="str">
        <f>IF(Weather_Input!I7=""," ",Weather_Input!I7)</f>
        <v>MOSTLY SUNNY AND WARMER.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36969</v>
      </c>
      <c r="C20" s="15"/>
      <c r="D20" s="22" t="s">
        <v>290</v>
      </c>
      <c r="E20" s="23">
        <f>Weather_Input!B8</f>
        <v>47</v>
      </c>
      <c r="F20" s="24" t="s">
        <v>291</v>
      </c>
      <c r="G20" s="25">
        <f>IF(E22&lt;65,65-(Weather_Input!B8+Weather_Input!C8)/2,0)</f>
        <v>24</v>
      </c>
      <c r="H20" s="26" t="s">
        <v>292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176</v>
      </c>
      <c r="E21" s="23">
        <f>Weather_Input!C8</f>
        <v>35</v>
      </c>
      <c r="F21" s="24" t="s">
        <v>293</v>
      </c>
      <c r="G21" s="25">
        <f>IF(DAY(B20)=1,G20,G16+G20)</f>
        <v>598</v>
      </c>
      <c r="H21" s="30" t="s">
        <v>294</v>
      </c>
      <c r="I21" s="27">
        <f ca="1">G21-(VLOOKUP(B20,DD_Normal_Data,CELL("Col",C22),FALSE))</f>
        <v>32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41</v>
      </c>
      <c r="F22" s="24" t="s">
        <v>296</v>
      </c>
      <c r="G22" s="25">
        <f>IF(AND(DAY(B20)=1,MONTH(B20)=8),G20,G17+G20)</f>
        <v>5683</v>
      </c>
      <c r="H22" s="26" t="s">
        <v>296</v>
      </c>
      <c r="I22" s="27">
        <f ca="1">G22-(VLOOKUP(B20,DD_Normal_Data,CELL("Col",D19),FALSE))</f>
        <v>322</v>
      </c>
    </row>
    <row r="23" spans="1:109" ht="15">
      <c r="A23" s="18"/>
      <c r="B23" s="21"/>
      <c r="C23" s="15"/>
      <c r="D23" s="32" t="str">
        <f>IF(Weather_Input!I8=""," ",Weather_Input!I8)</f>
        <v>MOSTLY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36970</v>
      </c>
      <c r="C25" s="15"/>
      <c r="D25" s="22" t="s">
        <v>290</v>
      </c>
      <c r="E25" s="23">
        <f>Weather_Input!B9</f>
        <v>52</v>
      </c>
      <c r="F25" s="24" t="s">
        <v>291</v>
      </c>
      <c r="G25" s="25">
        <f>IF(E27&lt;65,65-(Weather_Input!B9+Weather_Input!C9)/2,0)</f>
        <v>21</v>
      </c>
      <c r="H25" s="26" t="s">
        <v>292</v>
      </c>
      <c r="I25" s="27">
        <f ca="1">G25-(VLOOKUP(B25,DD_Normal_Data,CELL("Col",B26),FALSE))</f>
        <v>-5</v>
      </c>
    </row>
    <row r="26" spans="1:109" ht="15">
      <c r="A26" s="18"/>
      <c r="B26" s="21"/>
      <c r="C26" s="15"/>
      <c r="D26" s="22" t="s">
        <v>176</v>
      </c>
      <c r="E26" s="23">
        <f>Weather_Input!C9</f>
        <v>36</v>
      </c>
      <c r="F26" s="24" t="s">
        <v>293</v>
      </c>
      <c r="G26" s="25">
        <f>IF(DAY(B25)=1,G25,G21+G25)</f>
        <v>619</v>
      </c>
      <c r="H26" s="30" t="s">
        <v>294</v>
      </c>
      <c r="I26" s="27">
        <f ca="1">G26-(VLOOKUP(B25,DD_Normal_Data,CELL("Col",C27),FALSE))</f>
        <v>27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44</v>
      </c>
      <c r="F27" s="24" t="s">
        <v>296</v>
      </c>
      <c r="G27" s="25">
        <f>IF(AND(DAY(B25)=1,MONTH(B25)=8),G25,G22+G25)</f>
        <v>5704</v>
      </c>
      <c r="H27" s="26" t="s">
        <v>296</v>
      </c>
      <c r="I27" s="27">
        <f ca="1">G27-(VLOOKUP(B25,DD_Normal_Data,CELL("Col",D24),FALSE))</f>
        <v>317</v>
      </c>
    </row>
    <row r="28" spans="1:109" ht="15">
      <c r="A28" s="18"/>
      <c r="B28" s="20"/>
      <c r="C28" s="15"/>
      <c r="D28" s="32" t="str">
        <f>IF(Weather_Input!I9=""," ",Weather_Input!I9)</f>
        <v>A CHANCE OF RAIN.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36971</v>
      </c>
      <c r="C30" s="15"/>
      <c r="D30" s="22" t="s">
        <v>290</v>
      </c>
      <c r="E30" s="23">
        <f>Weather_Input!B10</f>
        <v>52</v>
      </c>
      <c r="F30" s="24" t="s">
        <v>291</v>
      </c>
      <c r="G30" s="25">
        <f>IF(E32&lt;65,65-(Weather_Input!B10+Weather_Input!C10)/2,0)</f>
        <v>21</v>
      </c>
      <c r="H30" s="26" t="s">
        <v>292</v>
      </c>
      <c r="I30" s="27">
        <f ca="1">G30-(VLOOKUP(B30,DD_Normal_Data,CELL("Col",B31),FALSE))</f>
        <v>-5</v>
      </c>
    </row>
    <row r="31" spans="1:109" ht="15">
      <c r="A31" s="15"/>
      <c r="B31" s="15"/>
      <c r="C31" s="15"/>
      <c r="D31" s="22" t="s">
        <v>176</v>
      </c>
      <c r="E31" s="23">
        <f>Weather_Input!C10</f>
        <v>36</v>
      </c>
      <c r="F31" s="24" t="s">
        <v>293</v>
      </c>
      <c r="G31" s="25">
        <f>IF(DAY(B30)=1,G30,G26+G30)</f>
        <v>640</v>
      </c>
      <c r="H31" s="30" t="s">
        <v>294</v>
      </c>
      <c r="I31" s="27">
        <f ca="1">G31-(VLOOKUP(B30,DD_Normal_Data,CELL("Col",C32),FALSE))</f>
        <v>22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44</v>
      </c>
      <c r="F32" s="24" t="s">
        <v>296</v>
      </c>
      <c r="G32" s="25">
        <f>IF(AND(DAY(B30)=1,MONTH(B30)=8),G30,G27+G30)</f>
        <v>5725</v>
      </c>
      <c r="H32" s="26" t="s">
        <v>296</v>
      </c>
      <c r="I32" s="27">
        <f ca="1">G32-(VLOOKUP(B30,DD_Normal_Data,CELL("Col",D29),FALSE))</f>
        <v>312</v>
      </c>
    </row>
    <row r="33" spans="1:9" ht="15">
      <c r="A33" s="15"/>
      <c r="B33" s="34"/>
      <c r="C33" s="15"/>
      <c r="D33" s="32" t="str">
        <f>IF(Weather_Input!I10=""," ",Weather_Input!I10)</f>
        <v>A CHANCE OF RAIN.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36966</v>
      </c>
      <c r="C36" s="91">
        <f>B10</f>
        <v>36967</v>
      </c>
      <c r="D36" s="91">
        <f>B15</f>
        <v>36968</v>
      </c>
      <c r="E36" s="91">
        <f xml:space="preserve">       B20</f>
        <v>36969</v>
      </c>
      <c r="F36" s="91">
        <f>B25</f>
        <v>36970</v>
      </c>
      <c r="G36" s="91">
        <f>B30</f>
        <v>36971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1058</v>
      </c>
      <c r="C37" s="41">
        <f ca="1">(VLOOKUP(C36,PGL_Sendouts,(CELL("COL",PGL_Deliveries!C7))))/1000</f>
        <v>1020</v>
      </c>
      <c r="D37" s="41">
        <f ca="1">(VLOOKUP(D36,PGL_Sendouts,(CELL("COL",PGL_Deliveries!C8))))/1000</f>
        <v>910</v>
      </c>
      <c r="E37" s="41">
        <f ca="1">(VLOOKUP(E36,PGL_Sendouts,(CELL("COL",PGL_Deliveries!C9))))/1000</f>
        <v>845</v>
      </c>
      <c r="F37" s="41">
        <f ca="1">(VLOOKUP(F36,PGL_Sendouts,(CELL("COL",PGL_Deliveries!C10))))/1000</f>
        <v>780</v>
      </c>
      <c r="G37" s="41">
        <f ca="1">(VLOOKUP(G36,PGL_Sendouts,(CELL("COL",PGL_Deliveries!C10))))/1000</f>
        <v>770</v>
      </c>
      <c r="H37" s="14"/>
      <c r="I37" s="15"/>
    </row>
    <row r="38" spans="1:9" ht="15">
      <c r="A38" s="15" t="s">
        <v>301</v>
      </c>
      <c r="B38" s="41">
        <f>PGL_6_Day_Report!D30</f>
        <v>1329.89</v>
      </c>
      <c r="C38" s="41">
        <f>PGL_6_Day_Report!E30</f>
        <v>1274.3900000000001</v>
      </c>
      <c r="D38" s="41">
        <f>PGL_6_Day_Report!F30</f>
        <v>1164.3900000000001</v>
      </c>
      <c r="E38" s="41">
        <f>PGL_6_Day_Report!G30</f>
        <v>1099.3900000000001</v>
      </c>
      <c r="F38" s="41">
        <f>PGL_6_Day_Report!H30</f>
        <v>1034.3900000000001</v>
      </c>
      <c r="G38" s="41">
        <f>PGL_6_Day_Report!I30</f>
        <v>1024.3900000000001</v>
      </c>
      <c r="H38" s="14"/>
      <c r="I38" s="15"/>
    </row>
    <row r="39" spans="1:9" ht="15">
      <c r="A39" s="42" t="s">
        <v>109</v>
      </c>
      <c r="B39" s="41">
        <f>SUM(PGL_Supplies!Z7:AE7)/1000</f>
        <v>1030.819</v>
      </c>
      <c r="C39" s="41">
        <f>SUM(PGL_Supplies!Z8:AE8)/1000</f>
        <v>995.50699999999995</v>
      </c>
      <c r="D39" s="41">
        <f>SUM(PGL_Supplies!Z9:AE9)/1000</f>
        <v>910.62300000000005</v>
      </c>
      <c r="E39" s="41">
        <f>SUM(PGL_Supplies!Z10:AE10)/1000</f>
        <v>852.83100000000002</v>
      </c>
      <c r="F39" s="41">
        <f>SUM(PGL_Supplies!Z11:AE11)/1000</f>
        <v>852.83100000000002</v>
      </c>
      <c r="G39" s="41">
        <f>SUM(PGL_Supplies!Z12:AE12)/1000</f>
        <v>852.83100000000002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0.64</v>
      </c>
      <c r="C41" s="41">
        <f>SUM(PGL_Requirements!R7:U7)/1000</f>
        <v>0.64</v>
      </c>
      <c r="D41" s="41">
        <f>SUM(PGL_Requirements!R7:U7)/1000</f>
        <v>0.64</v>
      </c>
      <c r="E41" s="41">
        <f>SUM(PGL_Requirements!R7:U7)/1000</f>
        <v>0.64</v>
      </c>
      <c r="F41" s="41">
        <f>SUM(PGL_Requirements!R7:U7)/1000</f>
        <v>0.64</v>
      </c>
      <c r="G41" s="41">
        <f>SUM(PGL_Requirements!R7:U7)/1000</f>
        <v>0.64</v>
      </c>
      <c r="H41" s="14"/>
      <c r="I41" s="15"/>
    </row>
    <row r="42" spans="1:9" ht="15">
      <c r="A42" s="15" t="s">
        <v>132</v>
      </c>
      <c r="B42" s="41">
        <f>PGL_Supplies!V7/1000</f>
        <v>343.28300000000002</v>
      </c>
      <c r="C42" s="41">
        <f>PGL_Supplies!V8/1000</f>
        <v>343.28300000000002</v>
      </c>
      <c r="D42" s="41">
        <f>PGL_Supplies!V9/1000</f>
        <v>343.28300000000002</v>
      </c>
      <c r="E42" s="41">
        <f>PGL_Supplies!V10/1000</f>
        <v>343.28300000000002</v>
      </c>
      <c r="F42" s="41">
        <f>PGL_Supplies!V11/1000</f>
        <v>343.28300000000002</v>
      </c>
      <c r="G42" s="41">
        <f>PGL_Supplies!V12/1000</f>
        <v>343.28300000000002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36966</v>
      </c>
      <c r="C44" s="91">
        <f t="shared" si="0"/>
        <v>36967</v>
      </c>
      <c r="D44" s="91">
        <f t="shared" si="0"/>
        <v>36968</v>
      </c>
      <c r="E44" s="91">
        <f t="shared" si="0"/>
        <v>36969</v>
      </c>
      <c r="F44" s="91">
        <f t="shared" si="0"/>
        <v>36970</v>
      </c>
      <c r="G44" s="91">
        <f t="shared" si="0"/>
        <v>36971</v>
      </c>
      <c r="H44" s="14"/>
      <c r="I44" s="15"/>
    </row>
    <row r="45" spans="1:9" ht="15">
      <c r="A45" s="15" t="s">
        <v>56</v>
      </c>
      <c r="B45" s="41">
        <f ca="1">NSG_6_Day_Report!D6</f>
        <v>173</v>
      </c>
      <c r="C45" s="41">
        <f ca="1">NSG_6_Day_Report!E6</f>
        <v>160</v>
      </c>
      <c r="D45" s="41">
        <f ca="1">NSG_6_Day_Report!F6</f>
        <v>137</v>
      </c>
      <c r="E45" s="41">
        <f ca="1">NSG_6_Day_Report!G6</f>
        <v>124</v>
      </c>
      <c r="F45" s="41">
        <f ca="1">NSG_6_Day_Report!H6</f>
        <v>112</v>
      </c>
      <c r="G45" s="41">
        <f ca="1">NSG_6_Day_Report!I6</f>
        <v>110</v>
      </c>
      <c r="H45" s="14"/>
      <c r="I45" s="15"/>
    </row>
    <row r="46" spans="1:9" ht="15">
      <c r="A46" s="42" t="s">
        <v>301</v>
      </c>
      <c r="B46" s="41">
        <f ca="1">NSG_6_Day_Report!D19</f>
        <v>176.03</v>
      </c>
      <c r="C46" s="41">
        <f ca="1">NSG_6_Day_Report!E19</f>
        <v>160</v>
      </c>
      <c r="D46" s="41">
        <f ca="1">NSG_6_Day_Report!F19</f>
        <v>137</v>
      </c>
      <c r="E46" s="41">
        <f ca="1">NSG_6_Day_Report!G19</f>
        <v>124</v>
      </c>
      <c r="F46" s="41">
        <f ca="1">NSG_6_Day_Report!H19</f>
        <v>112</v>
      </c>
      <c r="G46" s="41">
        <f ca="1">NSG_6_Day_Report!I19</f>
        <v>110</v>
      </c>
      <c r="H46" s="14"/>
      <c r="I46" s="15"/>
    </row>
    <row r="47" spans="1:9" ht="15">
      <c r="A47" s="42" t="s">
        <v>109</v>
      </c>
      <c r="B47" s="41">
        <f>SUM(NSG_Supplies!P7:R7)/1000</f>
        <v>111.02500000000001</v>
      </c>
      <c r="C47" s="41">
        <f>SUM(NSG_Supplies!P8:R8)/1000</f>
        <v>105.649</v>
      </c>
      <c r="D47" s="41">
        <f>SUM(NSG_Supplies!P9:R9)/1000</f>
        <v>105.649</v>
      </c>
      <c r="E47" s="41">
        <f>SUM(NSG_Supplies!P10:R10)/1000</f>
        <v>105.649</v>
      </c>
      <c r="F47" s="41">
        <f>SUM(NSG_Supplies!P11:R11)/1000</f>
        <v>105.649</v>
      </c>
      <c r="G47" s="41">
        <f>SUM(NSG_Supplies!P12:R12)/1000</f>
        <v>105.649</v>
      </c>
      <c r="H47" s="14"/>
      <c r="I47" s="15"/>
    </row>
    <row r="48" spans="1:9" ht="15">
      <c r="A48" s="42" t="s">
        <v>302</v>
      </c>
      <c r="B48" s="41">
        <f>SUM(NSG_Supplies!I7:M7)/1000</f>
        <v>65</v>
      </c>
      <c r="C48" s="41">
        <f>SUM(NSG_Supplies!I8:M8)/1000</f>
        <v>60</v>
      </c>
      <c r="D48" s="41">
        <f>SUM(NSG_Supplies!I9:M9)/1000</f>
        <v>40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41.015999999999998</v>
      </c>
      <c r="C50" s="41">
        <f>NSG_Supplies!S8/1000</f>
        <v>41.015999999999998</v>
      </c>
      <c r="D50" s="41">
        <f>NSG_Supplies!S9/1000</f>
        <v>41.015999999999998</v>
      </c>
      <c r="E50" s="41">
        <f>NSG_Supplies!S10/1000</f>
        <v>41.015999999999998</v>
      </c>
      <c r="F50" s="41">
        <f>NSG_Supplies!S11/1000</f>
        <v>41.015999999999998</v>
      </c>
      <c r="G50" s="41">
        <f>NSG_Supplies!S12/1000</f>
        <v>41.015999999999998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36966</v>
      </c>
      <c r="C52" s="91">
        <f t="shared" si="1"/>
        <v>36967</v>
      </c>
      <c r="D52" s="91">
        <f t="shared" si="1"/>
        <v>36968</v>
      </c>
      <c r="E52" s="91">
        <f t="shared" si="1"/>
        <v>36969</v>
      </c>
      <c r="F52" s="91">
        <f t="shared" si="1"/>
        <v>36970</v>
      </c>
      <c r="G52" s="91">
        <f t="shared" si="1"/>
        <v>36971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Saturday</v>
      </c>
      <c r="C4" s="1144" t="str">
        <f>Six_Day_Summary!A15</f>
        <v>Sunday</v>
      </c>
      <c r="D4" s="1144" t="str">
        <f>Six_Day_Summary!A20</f>
        <v>Monday</v>
      </c>
      <c r="E4" s="1144" t="str">
        <f>Six_Day_Summary!A25</f>
        <v>Tuesday</v>
      </c>
      <c r="F4" s="1145" t="str">
        <f>Six_Day_Summary!A30</f>
        <v>Wednesday</v>
      </c>
      <c r="G4" s="100"/>
    </row>
    <row r="5" spans="1:8">
      <c r="A5" s="103" t="s">
        <v>312</v>
      </c>
      <c r="B5" s="1146">
        <f>Weather_Input!A6</f>
        <v>36967</v>
      </c>
      <c r="C5" s="1147">
        <f>Weather_Input!A7</f>
        <v>36968</v>
      </c>
      <c r="D5" s="1147">
        <f>Weather_Input!A8</f>
        <v>36969</v>
      </c>
      <c r="E5" s="1147">
        <f>Weather_Input!A9</f>
        <v>36970</v>
      </c>
      <c r="F5" s="1148">
        <f>Weather_Input!A10</f>
        <v>36971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379.166</v>
      </c>
      <c r="C6" s="1149">
        <f>PGL_Supplies!AC9/1000+PGL_Supplies!L9/1000-PGL_Requirements!O9/1000+C15-PGL_Requirements!T9/1000</f>
        <v>344.13600000000002</v>
      </c>
      <c r="D6" s="1149">
        <f>PGL_Supplies!AC10/1000+PGL_Supplies!L10/1000-PGL_Requirements!O10/1000+D15-PGL_Requirements!T10/1000</f>
        <v>298.61900000000003</v>
      </c>
      <c r="E6" s="1149">
        <f>PGL_Supplies!AC11/1000+PGL_Supplies!L11/1000-PGL_Requirements!O11/1000+E15-PGL_Requirements!T11/1000</f>
        <v>298.61900000000003</v>
      </c>
      <c r="F6" s="1150">
        <f>PGL_Supplies!AC12/1000+PGL_Supplies!L12/1000-PGL_Requirements!O12/1000+F15-PGL_Requirements!T12/1000</f>
        <v>298.61900000000003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275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Saturday</v>
      </c>
      <c r="C21" s="1159" t="str">
        <f t="shared" si="0"/>
        <v>Sunday</v>
      </c>
      <c r="D21" s="1159" t="str">
        <f t="shared" si="0"/>
        <v>Monday</v>
      </c>
      <c r="E21" s="1159" t="str">
        <f t="shared" si="0"/>
        <v>Tuesday</v>
      </c>
      <c r="F21" s="1160" t="str">
        <f t="shared" si="0"/>
        <v>Wednesday</v>
      </c>
      <c r="G21" s="100"/>
    </row>
    <row r="22" spans="1:7">
      <c r="A22" s="107" t="s">
        <v>312</v>
      </c>
      <c r="B22" s="1161">
        <f t="shared" si="0"/>
        <v>36967</v>
      </c>
      <c r="C22" s="1161">
        <f t="shared" si="0"/>
        <v>36968</v>
      </c>
      <c r="D22" s="1161">
        <f t="shared" si="0"/>
        <v>36969</v>
      </c>
      <c r="E22" s="1161">
        <f t="shared" si="0"/>
        <v>36970</v>
      </c>
      <c r="F22" s="1162">
        <f t="shared" si="0"/>
        <v>36971</v>
      </c>
      <c r="G22" s="100"/>
    </row>
    <row r="23" spans="1:7">
      <c r="A23" s="100" t="s">
        <v>313</v>
      </c>
      <c r="B23" s="1155">
        <f>NSG_Supplies!R8/1000+NSG_Supplies!F8/1000-NSG_Requirements!H8/1000</f>
        <v>85.649000000000001</v>
      </c>
      <c r="C23" s="1155">
        <f>NSG_Supplies!R9/1000+NSG_Supplies!F9/1000-NSG_Requirements!H9/1000</f>
        <v>85.649000000000001</v>
      </c>
      <c r="D23" s="1155">
        <f>NSG_Supplies!R10/1000+NSG_Supplies!F10/1000-NSG_Requirements!H10/1000</f>
        <v>85.649000000000001</v>
      </c>
      <c r="E23" s="1155">
        <f>NSG_Supplies!R12/1000+NSG_Supplies!F11/1000-NSG_Requirements!H11/1000</f>
        <v>85.649000000000001</v>
      </c>
      <c r="F23" s="1150">
        <f>NSG_Supplies!R12/1000+NSG_Supplies!F12/1000-NSG_Requirements!H12/1000</f>
        <v>85.649000000000001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36967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60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60</v>
      </c>
      <c r="D10" s="438"/>
      <c r="E10" s="440">
        <f>AVERAGE(C10/24)</f>
        <v>2.5</v>
      </c>
      <c r="F10" s="172" t="s">
        <v>450</v>
      </c>
      <c r="G10" s="154">
        <f>PGL_Supplies!AB8/1000</f>
        <v>236.672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220.97499999999999</v>
      </c>
      <c r="D11" s="790"/>
      <c r="E11" s="1132"/>
      <c r="F11" s="435" t="s">
        <v>379</v>
      </c>
      <c r="G11" s="447">
        <f>G8+G10</f>
        <v>236.672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220.97499999999999</v>
      </c>
      <c r="D14" s="438"/>
      <c r="E14" s="440">
        <f>AVERAGE(C14/24)</f>
        <v>9.2072916666666664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236.672</v>
      </c>
      <c r="H15" s="438"/>
      <c r="I15" s="440">
        <f>AVERAGE(G15/24)</f>
        <v>9.8613333333333326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153.61500000000001</v>
      </c>
      <c r="D21" s="154" t="s">
        <v>11</v>
      </c>
      <c r="E21" s="161"/>
      <c r="F21" s="172" t="s">
        <v>109</v>
      </c>
      <c r="G21" s="154">
        <f>PGL_Supplies!AD8/1000</f>
        <v>156.054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153.61500000000001</v>
      </c>
      <c r="D22" s="434"/>
      <c r="E22" s="436"/>
      <c r="F22" s="435" t="s">
        <v>379</v>
      </c>
      <c r="G22" s="447">
        <f>G21</f>
        <v>156.054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153.61500000000001</v>
      </c>
      <c r="D25" s="438"/>
      <c r="E25" s="440">
        <f>AVERAGE(C25/24)</f>
        <v>6.4006250000000007</v>
      </c>
      <c r="F25" s="552" t="s">
        <v>556</v>
      </c>
      <c r="G25" s="906">
        <f>G22+G23-H24+G20</f>
        <v>156.054</v>
      </c>
      <c r="H25" s="430"/>
      <c r="I25" s="907">
        <f>AVERAGE(G25/24)</f>
        <v>6.5022500000000001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36967</v>
      </c>
      <c r="I1" s="933"/>
      <c r="J1" s="935"/>
      <c r="K1" s="935"/>
    </row>
    <row r="2" spans="1:22" ht="16.5" customHeight="1">
      <c r="A2" s="953" t="s">
        <v>688</v>
      </c>
      <c r="C2" s="1048">
        <v>314</v>
      </c>
      <c r="F2" s="1049">
        <v>257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160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5.6490000000000009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220.97499999999999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60</v>
      </c>
      <c r="N17" s="955"/>
    </row>
    <row r="18" spans="1:17" ht="15" customHeight="1">
      <c r="A18" s="941"/>
      <c r="C18" s="1054">
        <v>364</v>
      </c>
      <c r="D18" s="1056"/>
      <c r="E18" s="1056"/>
      <c r="F18" s="1049">
        <v>833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85.649000000000001</v>
      </c>
      <c r="N19" s="1059"/>
    </row>
    <row r="20" spans="1:17" ht="17.25" customHeight="1">
      <c r="A20" s="955">
        <f>Billy_Sheet!G15</f>
        <v>236.672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153.61500000000001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156.054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1020</v>
      </c>
      <c r="L26" s="933" t="s">
        <v>692</v>
      </c>
      <c r="M26" s="955">
        <f>NSG_Deliveries!C6/1000</f>
        <v>160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591.31600000000003</v>
      </c>
      <c r="L28" s="936" t="s">
        <v>746</v>
      </c>
      <c r="M28" s="961">
        <f>SUM(J2+K17+K19+H11+H9-M26)</f>
        <v>5.6490000000000009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36966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379.166</v>
      </c>
    </row>
    <row r="30" spans="1:17" ht="10.5" customHeight="1">
      <c r="A30" s="938"/>
      <c r="B30" s="955"/>
      <c r="C30" s="936"/>
      <c r="D30" s="955"/>
      <c r="F30" s="1114">
        <f>PGL_Requirements!A8</f>
        <v>36967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-49.518000000000029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434</v>
      </c>
      <c r="F38" s="1054">
        <v>751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841.31600000000003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591.31600000000003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250</v>
      </c>
      <c r="C45" s="1067">
        <v>500</v>
      </c>
      <c r="D45" s="1068">
        <f>SUM(F2+F15)/2</f>
        <v>298.5</v>
      </c>
      <c r="E45" s="1069"/>
      <c r="F45" s="1070">
        <v>6.7000000000000004E-2</v>
      </c>
      <c r="G45" s="1071">
        <f>(C45-D45)*F45</f>
        <v>13.500500000000001</v>
      </c>
      <c r="H45" s="1071">
        <f>(D45-B45)*F45</f>
        <v>3.2495000000000003</v>
      </c>
      <c r="I45" s="955"/>
      <c r="J45" s="1072"/>
    </row>
    <row r="46" spans="1:11">
      <c r="A46" s="935" t="s">
        <v>673</v>
      </c>
      <c r="B46" s="1073">
        <v>700</v>
      </c>
      <c r="C46" s="1067">
        <v>800</v>
      </c>
      <c r="D46" s="1068">
        <f>SUM(F18+F38)/2</f>
        <v>792</v>
      </c>
      <c r="E46" s="1069"/>
      <c r="F46" s="1070">
        <v>0.13900000000000001</v>
      </c>
      <c r="G46" s="1071">
        <f>(C46-D46)*F46</f>
        <v>1.1120000000000001</v>
      </c>
      <c r="H46" s="1071">
        <f>(D46-B46)*F46</f>
        <v>12.788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327</v>
      </c>
      <c r="E47" s="1069"/>
      <c r="F47" s="1070">
        <v>0.14099999999999999</v>
      </c>
      <c r="G47" s="1071">
        <f>(C47-D47)*F47</f>
        <v>24.392999999999997</v>
      </c>
      <c r="H47" s="1071">
        <f>(D47-B47)*F47</f>
        <v>10.856999999999999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399</v>
      </c>
      <c r="E48" s="1069"/>
      <c r="F48" s="1070">
        <v>0.161</v>
      </c>
      <c r="G48" s="1071">
        <f>(C48-D48)*F48</f>
        <v>64.561000000000007</v>
      </c>
      <c r="H48" s="1071">
        <f>(D48-B48)*F48</f>
        <v>-0.161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103.5665</v>
      </c>
      <c r="H49" s="1071">
        <f>SUM(H45:H48)</f>
        <v>26.733499999999999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36966</v>
      </c>
      <c r="B5" s="11">
        <v>32</v>
      </c>
      <c r="C5" s="49">
        <v>27</v>
      </c>
      <c r="D5" s="49">
        <v>16</v>
      </c>
      <c r="E5" s="11" t="s">
        <v>787</v>
      </c>
      <c r="F5" s="11">
        <v>509</v>
      </c>
      <c r="G5" s="11">
        <v>5594</v>
      </c>
      <c r="H5" s="11">
        <v>33</v>
      </c>
      <c r="I5" s="912" t="s">
        <v>795</v>
      </c>
      <c r="J5" s="912" t="s">
        <v>796</v>
      </c>
      <c r="K5" s="11">
        <v>4</v>
      </c>
      <c r="L5" s="11">
        <v>1</v>
      </c>
      <c r="N5" s="15" t="str">
        <f>I5&amp;" "&amp;I5</f>
        <v>WINDY WITH WET SNOW…ACCUMULATING AN INCH OR TWO. N.E. WINDS 20/30 MPH WINDY WITH WET SNOW…ACCUMULATING AN INCH OR TWO. N.E. WINDS 20/30 MPH</v>
      </c>
      <c r="AE5" s="15">
        <v>1</v>
      </c>
      <c r="AH5" s="15" t="s">
        <v>34</v>
      </c>
    </row>
    <row r="6" spans="1:34" ht="16.5" customHeight="1">
      <c r="A6" s="88">
        <f>A5+1</f>
        <v>36967</v>
      </c>
      <c r="B6" s="11">
        <v>37</v>
      </c>
      <c r="C6" s="49">
        <v>19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797</v>
      </c>
      <c r="J6" s="912" t="s">
        <v>11</v>
      </c>
      <c r="K6" s="11">
        <v>4</v>
      </c>
      <c r="L6" s="11" t="s">
        <v>634</v>
      </c>
      <c r="N6" s="15" t="str">
        <f>I6&amp;" "&amp;J6</f>
        <v xml:space="preserve">BECOMING PARTLY SUNNY. AT NIGHT, MOSTLY CLEAR.  </v>
      </c>
      <c r="AE6" s="15">
        <v>1</v>
      </c>
      <c r="AH6" s="15" t="s">
        <v>35</v>
      </c>
    </row>
    <row r="7" spans="1:34" ht="16.5" customHeight="1">
      <c r="A7" s="88">
        <f>A6+1</f>
        <v>36968</v>
      </c>
      <c r="B7" s="11">
        <v>44</v>
      </c>
      <c r="C7" s="49">
        <v>30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12" t="s">
        <v>798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MOSTLY SUNNY AND WARMER.  </v>
      </c>
    </row>
    <row r="8" spans="1:34" ht="16.5" customHeight="1">
      <c r="A8" s="88">
        <f>A7+1</f>
        <v>36969</v>
      </c>
      <c r="B8" s="11">
        <v>47</v>
      </c>
      <c r="C8" s="49">
        <v>35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12" t="s">
        <v>794</v>
      </c>
      <c r="J8" s="912" t="s">
        <v>11</v>
      </c>
      <c r="K8" s="11">
        <v>1</v>
      </c>
      <c r="L8" s="11">
        <v>0</v>
      </c>
      <c r="N8" s="15" t="str">
        <f>I8&amp;" "&amp;J8</f>
        <v xml:space="preserve">MOSTLY CLOUDY.  </v>
      </c>
    </row>
    <row r="9" spans="1:34" ht="16.5" customHeight="1">
      <c r="A9" s="88">
        <f>A8+1</f>
        <v>36970</v>
      </c>
      <c r="B9" s="11">
        <v>52</v>
      </c>
      <c r="C9" s="49">
        <v>36</v>
      </c>
      <c r="D9" s="49">
        <v>12</v>
      </c>
      <c r="E9" s="11" t="s">
        <v>11</v>
      </c>
      <c r="F9" s="11" t="s">
        <v>11</v>
      </c>
      <c r="G9" s="11"/>
      <c r="H9" s="11" t="s">
        <v>11</v>
      </c>
      <c r="I9" s="912" t="s">
        <v>799</v>
      </c>
      <c r="J9" s="912" t="s">
        <v>11</v>
      </c>
      <c r="K9" s="11">
        <v>2</v>
      </c>
      <c r="L9" s="11">
        <v>0</v>
      </c>
      <c r="M9" s="89"/>
      <c r="N9" s="15" t="str">
        <f>I10&amp;" "&amp;J9</f>
        <v xml:space="preserve">A CHANCE OF RAIN.  </v>
      </c>
    </row>
    <row r="10" spans="1:34" ht="16.5" customHeight="1">
      <c r="A10" s="88">
        <f>A9+1</f>
        <v>36971</v>
      </c>
      <c r="B10" s="11">
        <v>52</v>
      </c>
      <c r="C10" s="49">
        <v>36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12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4.3780000000000001</v>
      </c>
      <c r="C2" s="60"/>
      <c r="D2" s="121" t="s">
        <v>325</v>
      </c>
      <c r="E2" s="426">
        <f>Weather_Input!A5</f>
        <v>36966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199.767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69.760999999999996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153.36799999999999</v>
      </c>
      <c r="C10" s="64"/>
      <c r="D10" s="117" t="s">
        <v>213</v>
      </c>
      <c r="E10" s="154">
        <f>PGL_Deliveries!S5/1000</f>
        <v>4.3780000000000001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11.03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256.42099999999999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144.78899999999999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-255.10399999999998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20.718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559.31399999999996</v>
      </c>
      <c r="C18" s="169"/>
      <c r="D18" s="179" t="s">
        <v>592</v>
      </c>
      <c r="E18" s="178">
        <f>SUM(E5:E17)</f>
        <v>4.3780000000000001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239.26300000000001</v>
      </c>
      <c r="C19" s="632"/>
      <c r="D19" s="117" t="s">
        <v>320</v>
      </c>
      <c r="E19" s="154">
        <f>PGL_Deliveries!AI5/1000</f>
        <v>1.9E-2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PGL_Deliveries!AW5/1000+B41</f>
        <v>3.8290000000000002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7.2</v>
      </c>
      <c r="D21" s="631" t="s">
        <v>593</v>
      </c>
      <c r="E21" s="211">
        <f>SUM(E18:E20)</f>
        <v>8.2260000000000009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232.06300000000002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62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143.61500000000001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172.19399999999999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23.044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144.78899999999999</v>
      </c>
      <c r="C34" s="64"/>
      <c r="D34" s="60" t="s">
        <v>197</v>
      </c>
      <c r="E34" s="154">
        <f>PGL_Supplies!AC7/1000</f>
        <v>356.46499999999997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0.83599999999999997</v>
      </c>
      <c r="C40" s="64"/>
      <c r="D40" s="212" t="s">
        <v>224</v>
      </c>
      <c r="E40" s="211">
        <f>SUM(E22:E37)-SUM(F23:F39)-E33</f>
        <v>379.50899999999996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9">
        <f>PGL_Supplies!AB7/1000</f>
        <v>296.54500000000002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3.8290000000000002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32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27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16</v>
      </c>
      <c r="C48" s="162"/>
      <c r="D48" s="251" t="s">
        <v>245</v>
      </c>
      <c r="E48" s="154">
        <f>PGL_Deliveries!AI5/1000</f>
        <v>1.9E-2</v>
      </c>
      <c r="F48" s="161"/>
    </row>
    <row r="49" spans="1:6" ht="15">
      <c r="A49" s="172" t="s">
        <v>624</v>
      </c>
      <c r="B49" s="154">
        <f>PGL_Deliveries!AM5/1000</f>
        <v>1.0229999999999999</v>
      </c>
      <c r="C49" s="162"/>
      <c r="D49" s="60" t="s">
        <v>625</v>
      </c>
      <c r="E49" s="154">
        <f>PGL_Deliveries!AJ5/1000</f>
        <v>8.6440000000000001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2.3860000000000001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36966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2.5000000000000001E-2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91.025000000000006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11.2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65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79.825000000000003</v>
      </c>
      <c r="C27" s="148"/>
      <c r="D27" s="241" t="s">
        <v>355</v>
      </c>
      <c r="E27" s="221">
        <f>SUM(E18:E26)-SUM(F18:F26)</f>
        <v>65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36966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36965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220085</v>
      </c>
      <c r="O6" s="204">
        <v>0</v>
      </c>
      <c r="P6" s="204">
        <v>36402659</v>
      </c>
      <c r="Q6" s="204">
        <v>15045098</v>
      </c>
      <c r="R6" s="204">
        <v>21357561</v>
      </c>
      <c r="S6" s="204">
        <v>0</v>
      </c>
    </row>
    <row r="7" spans="1:19">
      <c r="A7" s="4">
        <f>B1</f>
        <v>36966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266668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36669327</v>
      </c>
      <c r="Q7">
        <f>IF(O7&gt;0,Q6+O7,Q6)</f>
        <v>15045098</v>
      </c>
      <c r="R7">
        <f>IF(P7&gt;Q7,P7-Q7,0)</f>
        <v>21624229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36966</v>
      </c>
      <c r="B5" s="1">
        <f>(Weather_Input!B5+Weather_Input!C5)/2</f>
        <v>29.5</v>
      </c>
      <c r="C5" s="913">
        <v>1058000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4378</v>
      </c>
      <c r="T5" s="1163">
        <v>0</v>
      </c>
      <c r="U5" s="913">
        <f>SUM(D5:S5)-T5</f>
        <v>4378</v>
      </c>
      <c r="V5" s="913">
        <v>199767</v>
      </c>
      <c r="W5" s="11">
        <v>69761</v>
      </c>
      <c r="X5" s="11">
        <v>153368</v>
      </c>
      <c r="Y5" s="11">
        <v>0</v>
      </c>
      <c r="Z5" s="11">
        <v>256421</v>
      </c>
      <c r="AA5" s="11">
        <v>0</v>
      </c>
      <c r="AB5" s="11">
        <v>0</v>
      </c>
      <c r="AC5" s="11">
        <v>0</v>
      </c>
      <c r="AD5" s="11">
        <v>144789</v>
      </c>
      <c r="AE5" s="11">
        <v>0</v>
      </c>
      <c r="AF5" s="11">
        <v>0</v>
      </c>
      <c r="AG5" s="11">
        <v>0</v>
      </c>
      <c r="AH5" s="11">
        <v>0</v>
      </c>
      <c r="AI5" s="11">
        <v>19</v>
      </c>
      <c r="AJ5" s="11">
        <v>8644</v>
      </c>
      <c r="AK5" s="11">
        <v>2386</v>
      </c>
      <c r="AL5" s="11">
        <v>0</v>
      </c>
      <c r="AM5" s="1">
        <v>1023</v>
      </c>
      <c r="AN5" s="1"/>
      <c r="AO5" s="1">
        <v>20718</v>
      </c>
      <c r="AP5" s="1">
        <v>0</v>
      </c>
      <c r="AQ5" s="1">
        <v>0</v>
      </c>
      <c r="AR5" s="1">
        <v>23044</v>
      </c>
      <c r="AS5" s="1">
        <v>0</v>
      </c>
      <c r="AT5" s="1">
        <v>836</v>
      </c>
      <c r="AU5" s="1">
        <v>255300</v>
      </c>
      <c r="AV5" s="1">
        <v>640</v>
      </c>
      <c r="AW5" s="628">
        <v>3829</v>
      </c>
      <c r="AX5" s="1">
        <v>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36967</v>
      </c>
      <c r="B6" s="1">
        <f>(Weather_Input!B6+Weather_Input!C6)/2</f>
        <v>28</v>
      </c>
      <c r="C6" s="913">
        <v>1020000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36968</v>
      </c>
      <c r="B7" s="932">
        <f>(Weather_Input!B7+Weather_Input!C7)/2</f>
        <v>37</v>
      </c>
      <c r="C7" s="913">
        <v>910000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36969</v>
      </c>
      <c r="B8" s="932">
        <f>(Weather_Input!B8+Weather_Input!C8)/2</f>
        <v>41</v>
      </c>
      <c r="C8" s="913">
        <v>845000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36970</v>
      </c>
      <c r="B9" s="932">
        <f>(Weather_Input!B9+Weather_Input!C9)/2</f>
        <v>44</v>
      </c>
      <c r="C9" s="913">
        <v>780000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36971</v>
      </c>
      <c r="B10" s="932">
        <f>(Weather_Input!B10+Weather_Input!C10)/2</f>
        <v>44</v>
      </c>
      <c r="C10" s="913">
        <v>770000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36966</v>
      </c>
      <c r="B5" s="1">
        <f>(Weather_Input!B5+Weather_Input!C5)/2</f>
        <v>29.5</v>
      </c>
      <c r="C5" s="913">
        <v>173000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11200</v>
      </c>
      <c r="L5" s="1">
        <v>0</v>
      </c>
      <c r="M5" s="1">
        <v>0</v>
      </c>
      <c r="N5" s="1">
        <v>25</v>
      </c>
    </row>
    <row r="6" spans="1:14">
      <c r="A6" s="12">
        <f>A5+1</f>
        <v>36967</v>
      </c>
      <c r="B6" s="1">
        <f>(Weather_Input!B6+Weather_Input!C6)/2</f>
        <v>28</v>
      </c>
      <c r="C6" s="913">
        <v>160000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36968</v>
      </c>
      <c r="B7" s="932">
        <f>(Weather_Input!B7+Weather_Input!C7)/2</f>
        <v>37</v>
      </c>
      <c r="C7" s="913">
        <v>137000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36969</v>
      </c>
      <c r="B8" s="932">
        <f>(Weather_Input!B8+Weather_Input!C8)/2</f>
        <v>41</v>
      </c>
      <c r="C8" s="913">
        <v>124000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36970</v>
      </c>
      <c r="B9" s="932">
        <f>(Weather_Input!B9+Weather_Input!C9)/2</f>
        <v>44</v>
      </c>
      <c r="C9" s="913">
        <v>112000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36971</v>
      </c>
      <c r="B10" s="932">
        <f>(Weather_Input!B10+Weather_Input!C10)/2</f>
        <v>44</v>
      </c>
      <c r="C10" s="913">
        <v>110000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36966</v>
      </c>
      <c r="B7" s="922">
        <v>0</v>
      </c>
      <c r="C7" s="923">
        <v>500</v>
      </c>
      <c r="D7" s="626">
        <v>1000</v>
      </c>
      <c r="E7" s="626">
        <v>100</v>
      </c>
      <c r="F7" s="922">
        <v>8700</v>
      </c>
      <c r="G7" s="922">
        <v>0</v>
      </c>
      <c r="H7" s="924">
        <v>0</v>
      </c>
      <c r="I7" s="625">
        <v>0</v>
      </c>
      <c r="J7" s="625">
        <v>7200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250000</v>
      </c>
      <c r="Q7" s="628">
        <f t="shared" ref="Q7:Q12" si="0">P7*0.015</f>
        <v>3750</v>
      </c>
      <c r="R7" s="626">
        <v>640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36966</v>
      </c>
    </row>
    <row r="8" spans="1:89" s="1" customFormat="1" ht="12.75">
      <c r="A8" s="834">
        <f>A7+1</f>
        <v>36967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640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36967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36968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640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36968</v>
      </c>
      <c r="AN9" s="625"/>
    </row>
    <row r="10" spans="1:89" s="1" customFormat="1" ht="12.75">
      <c r="A10" s="834">
        <f>A9+1</f>
        <v>36969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640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36969</v>
      </c>
    </row>
    <row r="11" spans="1:89" s="1" customFormat="1" ht="12.75">
      <c r="A11" s="834">
        <f>A10+1</f>
        <v>36970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640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36970</v>
      </c>
    </row>
    <row r="12" spans="1:89" s="1" customFormat="1" ht="12.75">
      <c r="A12" s="834">
        <f>A11+1</f>
        <v>36971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640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36971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1000</v>
      </c>
      <c r="I7" s="626">
        <v>7000</v>
      </c>
      <c r="J7" s="626">
        <v>0</v>
      </c>
      <c r="K7" s="925">
        <v>0</v>
      </c>
      <c r="L7" s="627">
        <v>51810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343283</v>
      </c>
      <c r="W7" s="627">
        <v>0</v>
      </c>
      <c r="X7" s="625">
        <v>0</v>
      </c>
      <c r="Y7" s="925">
        <v>239263</v>
      </c>
      <c r="Z7" s="627">
        <v>62000</v>
      </c>
      <c r="AA7" s="1">
        <v>143615</v>
      </c>
      <c r="AB7" s="625">
        <v>296545</v>
      </c>
      <c r="AC7" s="625">
        <v>356465</v>
      </c>
      <c r="AD7" s="625">
        <v>172194</v>
      </c>
      <c r="AE7" s="925">
        <v>0</v>
      </c>
      <c r="AF7" s="51">
        <f>Weather_Input!A5</f>
        <v>36966</v>
      </c>
      <c r="AI7" s="625"/>
      <c r="AJ7" s="625"/>
      <c r="AK7" s="625"/>
    </row>
    <row r="8" spans="1:37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343283</v>
      </c>
      <c r="W8" s="627">
        <v>0</v>
      </c>
      <c r="X8" s="625">
        <v>0</v>
      </c>
      <c r="Y8" s="925">
        <v>220975</v>
      </c>
      <c r="Z8" s="627">
        <v>70000</v>
      </c>
      <c r="AA8" s="1">
        <v>153615</v>
      </c>
      <c r="AB8" s="625">
        <v>236672</v>
      </c>
      <c r="AC8" s="625">
        <v>379166</v>
      </c>
      <c r="AD8" s="625">
        <v>156054</v>
      </c>
      <c r="AE8" s="925">
        <v>0</v>
      </c>
      <c r="AF8" s="834">
        <f>AF7+1</f>
        <v>36967</v>
      </c>
      <c r="AI8" s="625"/>
      <c r="AJ8" s="625"/>
      <c r="AK8" s="625"/>
    </row>
    <row r="9" spans="1:37" s="625" customFormat="1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343283</v>
      </c>
      <c r="W9" s="627">
        <v>0</v>
      </c>
      <c r="X9" s="625">
        <v>0</v>
      </c>
      <c r="Y9" s="925">
        <v>221005</v>
      </c>
      <c r="Z9" s="627">
        <v>70000</v>
      </c>
      <c r="AA9" s="1">
        <v>153615</v>
      </c>
      <c r="AB9" s="625">
        <v>236672</v>
      </c>
      <c r="AC9" s="625">
        <v>344136</v>
      </c>
      <c r="AD9" s="625">
        <v>106200</v>
      </c>
      <c r="AE9" s="925">
        <v>0</v>
      </c>
      <c r="AF9" s="834">
        <f>AF8+1</f>
        <v>36968</v>
      </c>
    </row>
    <row r="10" spans="1:37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343283</v>
      </c>
      <c r="W10" s="627">
        <v>0</v>
      </c>
      <c r="X10" s="625">
        <v>0</v>
      </c>
      <c r="Y10" s="925">
        <v>233460</v>
      </c>
      <c r="Z10" s="627">
        <v>70000</v>
      </c>
      <c r="AA10" s="1">
        <v>153615</v>
      </c>
      <c r="AB10" s="625">
        <v>224397</v>
      </c>
      <c r="AC10" s="625">
        <v>298619</v>
      </c>
      <c r="AD10" s="625">
        <v>106200</v>
      </c>
      <c r="AE10" s="925">
        <v>0</v>
      </c>
      <c r="AF10" s="834">
        <f>AF9+1</f>
        <v>36969</v>
      </c>
      <c r="AI10" s="625"/>
      <c r="AJ10" s="625"/>
      <c r="AK10" s="625"/>
    </row>
    <row r="11" spans="1:37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343283</v>
      </c>
      <c r="W11" s="627">
        <v>0</v>
      </c>
      <c r="X11" s="625">
        <v>0</v>
      </c>
      <c r="Y11" s="925">
        <v>233460</v>
      </c>
      <c r="Z11" s="627">
        <v>70000</v>
      </c>
      <c r="AA11" s="1">
        <v>153615</v>
      </c>
      <c r="AB11" s="625">
        <v>224397</v>
      </c>
      <c r="AC11" s="625">
        <v>298619</v>
      </c>
      <c r="AD11" s="625">
        <v>106200</v>
      </c>
      <c r="AE11" s="925">
        <v>0</v>
      </c>
      <c r="AF11" s="834">
        <f>AF10+1</f>
        <v>36970</v>
      </c>
    </row>
    <row r="12" spans="1:37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343283</v>
      </c>
      <c r="W12" s="627">
        <v>0</v>
      </c>
      <c r="X12" s="625">
        <v>0</v>
      </c>
      <c r="Y12" s="925">
        <v>233460</v>
      </c>
      <c r="Z12" s="627">
        <v>70000</v>
      </c>
      <c r="AA12" s="1">
        <v>153615</v>
      </c>
      <c r="AB12" s="625">
        <v>224397</v>
      </c>
      <c r="AC12" s="625">
        <v>298619</v>
      </c>
      <c r="AD12" s="625">
        <v>106200</v>
      </c>
      <c r="AE12" s="925">
        <v>0</v>
      </c>
      <c r="AF12" s="834">
        <f>AF11+1</f>
        <v>36971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36966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3030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36966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36967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36967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36968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36968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36969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36969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36970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36970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36971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36971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36966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6602.05</v>
      </c>
      <c r="H7" s="629">
        <v>0</v>
      </c>
      <c r="I7" s="628">
        <v>0</v>
      </c>
      <c r="J7" s="628">
        <v>0</v>
      </c>
      <c r="K7" s="628">
        <v>0</v>
      </c>
      <c r="L7" s="628">
        <v>65000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91025</v>
      </c>
      <c r="S7" s="628">
        <v>41016</v>
      </c>
      <c r="T7" s="628">
        <v>0</v>
      </c>
      <c r="U7" s="628">
        <v>0</v>
      </c>
      <c r="V7" s="834">
        <f>Weather_Input!A5</f>
        <v>36966</v>
      </c>
      <c r="W7" s="625"/>
      <c r="X7" s="625"/>
    </row>
    <row r="8" spans="1:24">
      <c r="A8" s="834">
        <f>A7+1</f>
        <v>36967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6333.25</v>
      </c>
      <c r="H8" s="629">
        <v>0</v>
      </c>
      <c r="I8" s="628">
        <v>0</v>
      </c>
      <c r="J8" s="628">
        <v>0</v>
      </c>
      <c r="K8" s="628">
        <v>0</v>
      </c>
      <c r="L8" s="628">
        <v>60000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85649</v>
      </c>
      <c r="S8" s="628">
        <v>41016</v>
      </c>
      <c r="T8" s="628">
        <v>0</v>
      </c>
      <c r="U8" s="628">
        <v>0</v>
      </c>
      <c r="V8" s="834">
        <f>V7+1</f>
        <v>36967</v>
      </c>
      <c r="W8" s="625"/>
      <c r="X8" s="625"/>
    </row>
    <row r="9" spans="1:24">
      <c r="A9" s="834">
        <f>A8+1</f>
        <v>36968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6333.25</v>
      </c>
      <c r="H9" s="629">
        <v>0</v>
      </c>
      <c r="I9" s="628">
        <v>0</v>
      </c>
      <c r="J9" s="628">
        <v>0</v>
      </c>
      <c r="K9" s="628">
        <v>0</v>
      </c>
      <c r="L9" s="628">
        <v>40000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85649</v>
      </c>
      <c r="S9" s="628">
        <v>41016</v>
      </c>
      <c r="T9" s="628">
        <v>0</v>
      </c>
      <c r="U9" s="628">
        <v>0</v>
      </c>
      <c r="V9" s="834">
        <f>V8+1</f>
        <v>36968</v>
      </c>
      <c r="W9" s="625"/>
      <c r="X9" s="625"/>
    </row>
    <row r="10" spans="1:24">
      <c r="A10" s="834">
        <f>A9+1</f>
        <v>36969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6333.25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85649</v>
      </c>
      <c r="S10" s="628">
        <v>41016</v>
      </c>
      <c r="T10" s="628">
        <v>0</v>
      </c>
      <c r="U10" s="628">
        <v>0</v>
      </c>
      <c r="V10" s="834">
        <f>V9+1</f>
        <v>36969</v>
      </c>
      <c r="W10" s="625"/>
      <c r="X10" s="625"/>
    </row>
    <row r="11" spans="1:24">
      <c r="A11" s="834">
        <f>A10+1</f>
        <v>36970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6333.25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85649</v>
      </c>
      <c r="S11" s="628">
        <v>41016</v>
      </c>
      <c r="T11" s="628">
        <v>0</v>
      </c>
      <c r="U11" s="628">
        <v>0</v>
      </c>
      <c r="V11" s="834">
        <f>V10+1</f>
        <v>36970</v>
      </c>
      <c r="W11" s="625"/>
      <c r="X11" s="625"/>
    </row>
    <row r="12" spans="1:24">
      <c r="A12" s="834">
        <f>A11+1</f>
        <v>36971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6333.25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85649</v>
      </c>
      <c r="S12" s="628">
        <v>41016</v>
      </c>
      <c r="T12" s="628">
        <v>0</v>
      </c>
      <c r="U12" s="628">
        <v>0</v>
      </c>
      <c r="V12" s="834">
        <f>V11+1</f>
        <v>36971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FRI</v>
      </c>
      <c r="I1" s="839">
        <f>D4</f>
        <v>36966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FRI</v>
      </c>
      <c r="E3" s="844" t="str">
        <f t="shared" si="0"/>
        <v>SAT</v>
      </c>
      <c r="F3" s="844" t="str">
        <f t="shared" si="0"/>
        <v>SUN</v>
      </c>
      <c r="G3" s="844" t="str">
        <f t="shared" si="0"/>
        <v>MON</v>
      </c>
      <c r="H3" s="844" t="str">
        <f t="shared" si="0"/>
        <v>TUE</v>
      </c>
      <c r="I3" s="845" t="str">
        <f t="shared" si="0"/>
        <v>WED</v>
      </c>
    </row>
    <row r="4" spans="1:256" ht="15.75" thickBot="1">
      <c r="A4" s="846"/>
      <c r="B4" s="847"/>
      <c r="C4" s="847"/>
      <c r="D4" s="466">
        <f>Weather_Input!A5</f>
        <v>36966</v>
      </c>
      <c r="E4" s="466">
        <f>Weather_Input!A6</f>
        <v>36967</v>
      </c>
      <c r="F4" s="466">
        <f>Weather_Input!A7</f>
        <v>36968</v>
      </c>
      <c r="G4" s="466">
        <f>Weather_Input!A8</f>
        <v>36969</v>
      </c>
      <c r="H4" s="466">
        <f>Weather_Input!A9</f>
        <v>36970</v>
      </c>
      <c r="I4" s="467">
        <f>Weather_Input!A10</f>
        <v>36971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32/27/30</v>
      </c>
      <c r="E5" s="468" t="str">
        <f>TEXT(Weather_Input!B6,"0")&amp;"/"&amp;TEXT(Weather_Input!C6,"0") &amp; "/" &amp; TEXT((Weather_Input!B6+Weather_Input!C6)/2,"0")</f>
        <v>37/19/28</v>
      </c>
      <c r="F5" s="468" t="str">
        <f>TEXT(Weather_Input!B7,"0")&amp;"/"&amp;TEXT(Weather_Input!C7,"0") &amp; "/" &amp; TEXT((Weather_Input!B7+Weather_Input!C7)/2,"0")</f>
        <v>44/30/37</v>
      </c>
      <c r="G5" s="468" t="str">
        <f>TEXT(Weather_Input!B8,"0")&amp;"/"&amp;TEXT(Weather_Input!C8,"0") &amp; "/" &amp; TEXT((Weather_Input!B8+Weather_Input!C8)/2,"0")</f>
        <v>47/35/41</v>
      </c>
      <c r="H5" s="468" t="str">
        <f>TEXT(Weather_Input!B9,"0")&amp;"/"&amp;TEXT(Weather_Input!C9,"0") &amp; "/" &amp; TEXT((Weather_Input!B9+Weather_Input!C9)/2,"0")</f>
        <v>52/36/44</v>
      </c>
      <c r="I5" s="469" t="str">
        <f>TEXT(Weather_Input!B10,"0")&amp;"/"&amp;TEXT(Weather_Input!C10,"0") &amp; "/" &amp; TEXT((Weather_Input!B10+Weather_Input!C10)/2,"0")</f>
        <v>52/36/44</v>
      </c>
    </row>
    <row r="6" spans="1:256" ht="15.75">
      <c r="A6" s="853" t="s">
        <v>139</v>
      </c>
      <c r="B6" s="841"/>
      <c r="C6" s="841"/>
      <c r="D6" s="468">
        <f>PGL_Deliveries!C5/1000</f>
        <v>1058</v>
      </c>
      <c r="E6" s="468">
        <f>PGL_Deliveries!C6/1000</f>
        <v>1020</v>
      </c>
      <c r="F6" s="468">
        <f>PGL_Deliveries!C7/1000</f>
        <v>910</v>
      </c>
      <c r="G6" s="468">
        <f>PGL_Deliveries!C8/1000</f>
        <v>845</v>
      </c>
      <c r="H6" s="468">
        <f>PGL_Deliveries!C9/1000</f>
        <v>780</v>
      </c>
      <c r="I6" s="469">
        <f>PGL_Deliveries!C10/1000</f>
        <v>770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7.2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0.5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0.1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8.6999999999999993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1329.89</v>
      </c>
      <c r="E30" s="472">
        <f t="shared" si="1"/>
        <v>1274.3900000000001</v>
      </c>
      <c r="F30" s="472">
        <f t="shared" si="1"/>
        <v>1164.3900000000001</v>
      </c>
      <c r="G30" s="472">
        <f t="shared" si="1"/>
        <v>1099.3900000000001</v>
      </c>
      <c r="H30" s="472">
        <f t="shared" si="1"/>
        <v>1034.3900000000001</v>
      </c>
      <c r="I30" s="1177">
        <f t="shared" si="1"/>
        <v>1024.3900000000001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51.81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239.26300000000001</v>
      </c>
      <c r="E47" s="468">
        <f>PGL_Supplies!Y8/1000</f>
        <v>220.97499999999999</v>
      </c>
      <c r="F47" s="468">
        <f>PGL_Supplies!Y9/1000</f>
        <v>221.005</v>
      </c>
      <c r="G47" s="468">
        <f>PGL_Supplies!Y10/1000</f>
        <v>233.46</v>
      </c>
      <c r="H47" s="468">
        <f>PGL_Supplies!Y11/1000</f>
        <v>233.46</v>
      </c>
      <c r="I47" s="469">
        <f>PGL_Supplies!Y12/1000</f>
        <v>233.46</v>
      </c>
    </row>
    <row r="48" spans="1:9" ht="15.75">
      <c r="A48" s="853"/>
      <c r="B48" s="841" t="s">
        <v>143</v>
      </c>
      <c r="C48" s="854"/>
      <c r="D48" s="468">
        <f>PGL_Supplies!Z7/1000</f>
        <v>62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143.61500000000001</v>
      </c>
      <c r="E49" s="468">
        <f>PGL_Supplies!AA8/1000</f>
        <v>153.61500000000001</v>
      </c>
      <c r="F49" s="468">
        <f>PGL_Supplies!AA9/1000</f>
        <v>153.61500000000001</v>
      </c>
      <c r="G49" s="468">
        <f>PGL_Supplies!AA10/1000</f>
        <v>153.61500000000001</v>
      </c>
      <c r="H49" s="468">
        <f>PGL_Supplies!AA11/1000</f>
        <v>153.61500000000001</v>
      </c>
      <c r="I49" s="469">
        <f>PGL_Supplies!AA12/1000</f>
        <v>153.61500000000001</v>
      </c>
    </row>
    <row r="50" spans="1:10" ht="15.75">
      <c r="A50" s="853"/>
      <c r="B50" s="841" t="s">
        <v>421</v>
      </c>
      <c r="C50" s="854"/>
      <c r="D50" s="468">
        <f>PGL_Supplies!AB7/1000</f>
        <v>296.54500000000002</v>
      </c>
      <c r="E50" s="468">
        <f>PGL_Supplies!AB8/1000</f>
        <v>236.672</v>
      </c>
      <c r="F50" s="468">
        <f>PGL_Supplies!AB9/1000</f>
        <v>236.672</v>
      </c>
      <c r="G50" s="468">
        <f>PGL_Supplies!AB10/1000</f>
        <v>224.39699999999999</v>
      </c>
      <c r="H50" s="468">
        <f>PGL_Supplies!AB11/1000</f>
        <v>224.39699999999999</v>
      </c>
      <c r="I50" s="469">
        <f>PGL_Supplies!AB12/1000</f>
        <v>224.39699999999999</v>
      </c>
    </row>
    <row r="51" spans="1:10" ht="15.75">
      <c r="A51" s="853"/>
      <c r="B51" s="841" t="s">
        <v>141</v>
      </c>
      <c r="C51" s="841"/>
      <c r="D51" s="468">
        <f>PGL_Supplies!AC7/1000</f>
        <v>356.46499999999997</v>
      </c>
      <c r="E51" s="468">
        <f>PGL_Supplies!AC8/1000</f>
        <v>379.166</v>
      </c>
      <c r="F51" s="468">
        <f>PGL_Supplies!AC9/1000</f>
        <v>344.13600000000002</v>
      </c>
      <c r="G51" s="468">
        <f>PGL_Supplies!AC10/1000</f>
        <v>298.61900000000003</v>
      </c>
      <c r="H51" s="468">
        <f>PGL_Supplies!AC11/1000</f>
        <v>298.61900000000003</v>
      </c>
      <c r="I51" s="469">
        <f>PGL_Supplies!AC12/1000</f>
        <v>298.61900000000003</v>
      </c>
    </row>
    <row r="52" spans="1:10" ht="15.75">
      <c r="A52" s="853"/>
      <c r="B52" s="841" t="s">
        <v>142</v>
      </c>
      <c r="C52" s="841"/>
      <c r="D52" s="468">
        <f>PGL_Supplies!AD7/1000</f>
        <v>172.19399999999999</v>
      </c>
      <c r="E52" s="468">
        <f>PGL_Supplies!AD8/1000</f>
        <v>156.054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7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1329.8919999999998</v>
      </c>
      <c r="E61" s="478">
        <f t="shared" si="2"/>
        <v>1220.4820000000002</v>
      </c>
      <c r="F61" s="478">
        <f t="shared" si="2"/>
        <v>1135.6280000000002</v>
      </c>
      <c r="G61" s="478">
        <f t="shared" si="2"/>
        <v>1090.2909999999999</v>
      </c>
      <c r="H61" s="478">
        <f t="shared" si="2"/>
        <v>1090.2909999999999</v>
      </c>
      <c r="I61" s="1179">
        <f t="shared" si="2"/>
        <v>1090.2909999999999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1.9999999997253326E-3</v>
      </c>
      <c r="E62" s="479">
        <f t="shared" si="3"/>
        <v>0</v>
      </c>
      <c r="F62" s="479">
        <f t="shared" si="3"/>
        <v>0</v>
      </c>
      <c r="G62" s="479">
        <f t="shared" si="3"/>
        <v>0</v>
      </c>
      <c r="H62" s="479">
        <f t="shared" si="3"/>
        <v>55.90099999999984</v>
      </c>
      <c r="I62" s="1180">
        <f t="shared" si="3"/>
        <v>65.90099999999984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53.907999999999902</v>
      </c>
      <c r="F63" s="480">
        <f t="shared" si="4"/>
        <v>28.761999999999944</v>
      </c>
      <c r="G63" s="480">
        <f t="shared" si="4"/>
        <v>9.0990000000001601</v>
      </c>
      <c r="H63" s="480">
        <f t="shared" si="4"/>
        <v>0</v>
      </c>
      <c r="I63" s="1181">
        <f t="shared" si="4"/>
        <v>0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343.28300000000002</v>
      </c>
      <c r="E64" s="1170">
        <f>PGL_Supplies!V8/1000</f>
        <v>343.28300000000002</v>
      </c>
      <c r="F64" s="1170">
        <f>PGL_Supplies!V9/1000</f>
        <v>343.28300000000002</v>
      </c>
      <c r="G64" s="1170">
        <f>PGL_Supplies!V10/1000</f>
        <v>343.28300000000002</v>
      </c>
      <c r="H64" s="1170">
        <f>PGL_Supplies!V11/1000</f>
        <v>343.28300000000002</v>
      </c>
      <c r="I64" s="1171">
        <f>PGL_Supplies!V12/1000</f>
        <v>343.28300000000002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2001-03-17T10:21:18Z</cp:lastPrinted>
  <dcterms:created xsi:type="dcterms:W3CDTF">1997-07-16T16:14:22Z</dcterms:created>
  <dcterms:modified xsi:type="dcterms:W3CDTF">2023-09-10T17:18:06Z</dcterms:modified>
</cp:coreProperties>
</file>