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192817-0864-4C6E-973B-C430FB906603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<sst xmlns="http://schemas.openxmlformats.org/spreadsheetml/2006/main" count="2147" uniqueCount="799">
  <si>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</si>
  <si>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</si>
  <si>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</si>
  <si>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</si>
  <si>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</si>
  <si>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</si>
  <si>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</si>
  <si>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</si>
  <si>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</si>
  <si>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</si>
  <si>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</si>
  <si>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</si>
  <si>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</si>
  <si>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</si>
  <si>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</si>
  <si>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</si>
  <si>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</si>
  <si>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</si>
  <si>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</si>
  <si>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</si>
  <si>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</si>
  <si>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</si>
  <si>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</si>
  <si>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</si>
  <si>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</si>
  <si>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</si>
  <si>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</si>
  <si>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</si>
  <si>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</si>
  <si>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</si>
  <si>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</si>
  <si>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</si>
  <si>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</si>
  <si>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</si>
  <si>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</si>
  <si>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</si>
  <si>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</si>
  <si>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</si>
  <si>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</si>
  <si>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</si>
  <si>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</si>
  <si>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</si>
  <si>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</si>
  <si>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</si>
  <si>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</si>
  <si>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</si>
  <si>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</si>
  <si>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</si>
  <si>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</si>
  <si>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</si>
  <si>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</si>
  <si>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</si>
  <si>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</si>
  <si>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</si>
  <si>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</si>
  <si>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</si>
  <si>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</si>
  <si>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</si>
  <si>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</si>
  <si>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</si>
  <si>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</si>
  <si>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</si>
  <si>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</si>
  <si>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</si>
  <si>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</si>
  <si>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</si>
  <si>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</si>
  <si>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</si>
  <si>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</si>
  <si>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</si>
  <si>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</si>
  <si>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</si>
  <si>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</si>
  <si>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</si>
  <si>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</si>
  <si>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</si>
  <si>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</si>
  <si>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</si>
  <si>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</si>
  <si>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</si>
  <si>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</si>
  <si>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</si>
  <si>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</si>
  <si>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</si>
  <si>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</si>
  <si>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</si>
  <si>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</si>
  <si>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</si>
  <si>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</si>
  <si>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</si>
  <si>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</si>
  <si>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</si>
  <si>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</si>
  <si>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</si>
  <si>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</si>
  <si>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</si>
  <si>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</si>
  <si>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</si>
  <si>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</si>
  <si>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</si>
  <si>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</si>
  <si>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</si>
  <si>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</si>
  <si>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</si>
  <si>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</si>
  <si>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</si>
  <si>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</si>
  <si>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</si>
  <si>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</si>
  <si>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</si>
  <si>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</si>
  <si>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</si>
  <si>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</si>
  <si>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</si>
  <si>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</si>
  <si>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</si>
  <si>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</si>
  <si>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</si>
  <si>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</si>
  <si>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</si>
  <si>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</si>
  <si>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</si>
  <si>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</si>
  <si>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</si>
  <si>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</si>
  <si>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</si>
  <si>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</si>
  <si>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</si>
  <si>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</si>
  <si>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</si>
  <si>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</si>
  <si>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</si>
  <si>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</si>
  <si>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</si>
  <si>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</si>
  <si>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</si>
  <si>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</si>
  <si>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</si>
  <si>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</si>
  <si>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</si>
  <si>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</si>
  <si>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</si>
  <si>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</si>
  <si>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</si>
  <si>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</si>
  <si>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</si>
  <si>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</si>
  <si>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</si>
  <si>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</si>
  <si>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</si>
  <si>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</si>
  <si>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</si>
  <si>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</si>
  <si>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</si>
  <si>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</si>
  <si>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</si>
  <si>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</si>
  <si>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</si>
  <si>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</si>
  <si>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</si>
  <si>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</si>
  <si>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</si>
  <si>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</si>
  <si>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</si>
  <si>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</si>
  <si>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</si>
  <si>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</si>
  <si>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</si>
  <si>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</si>
  <si>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</si>
  <si>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</si>
  <si>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</si>
  <si>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</si>
  <si>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</si>
  <si>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</si>
  <si>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</si>
  <si>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</si>
  <si>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</si>
  <si>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</si>
  <si>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</si>
  <si>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</si>
  <si>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</si>
  <si>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</si>
  <si>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</si>
  <si>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</si>
  <si>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</si>
  <si>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</si>
  <si>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</si>
  <si>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</si>
  <si>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</si>
  <si>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</si>
  <si>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</si>
  <si>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</si>
  <si>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</si>
  <si>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</si>
  <si>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</si>
  <si>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</si>
  <si>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</si>
  <si>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</si>
  <si>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</si>
  <si>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</si>
  <si>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</si>
  <si>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</si>
  <si>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</si>
  <si>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</si>
  <si>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</si>
  <si>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</si>
  <si>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</si>
  <si>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</si>
  <si>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</si>
  <si>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</si>
  <si>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</si>
  <si>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</si>
  <si>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</si>
  <si>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</si>
  <si>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</si>
  <si>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</si>
  <si>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</si>
  <si>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</si>
  <si>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</si>
  <si>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</si>
  <si>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</si>
  <si>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</si>
  <si>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</si>
  <si>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</si>
  <si>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</si>
  <si>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</si>
  <si>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</si>
  <si>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</si>
  <si>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</si>
  <si>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</si>
  <si>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</si>
  <si>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</si>
  <si>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</si>
  <si>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</si>
  <si>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</si>
  <si>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</si>
  <si>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</si>
  <si>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</si>
  <si>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</si>
  <si>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</si>
  <si>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</si>
  <si>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</si>
  <si>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</si>
  <si>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</si>
  <si>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</si>
  <si>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</si>
  <si>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</si>
  <si>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</si>
  <si>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</si>
  <si>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</si>
  <si>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</si>
  <si>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</si>
  <si>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</si>
  <si>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</si>
  <si>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</si>
  <si>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</si>
  <si>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</si>
  <si>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</si>
  <si>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</si>
  <si>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</si>
  <si>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</si>
  <si>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</si>
  <si>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</si>
  <si>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</si>
  <si>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</si>
  <si>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</si>
  <si>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</si>
  <si>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</si>
  <si>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</si>
  <si>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</si>
  <si>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</si>
  <si>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</si>
  <si>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</si>
  <si>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</si>
  <si>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</si>
  <si>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</si>
  <si>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</si>
  <si>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</si>
  <si>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</si>
  <si>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</si>
  <si>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</si>
  <si>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</si>
  <si>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</si>
  <si>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</si>
  <si>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</si>
  <si>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</si>
  <si>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</si>
  <si>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</si>
  <si>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</si>
  <si>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</si>
  <si>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</si>
  <si>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</si>
  <si>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</si>
  <si>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</si>
  <si>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</si>
  <si>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</si>
  <si>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</si>
  <si>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</si>
  <si>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</si>
  <si>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</si>
  <si>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</si>
  <si>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</si>
  <si>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</si>
  <si>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</si>
  <si>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</si>
  <si>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</si>
  <si>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</si>
  <si>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</si>
  <si>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</si>
  <si>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</si>
  <si>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</si>
  <si>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</si>
  <si>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</si>
  <si>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</si>
  <si>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</si>
  <si>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</si>
  <si>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</si>
  <si>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</si>
  <si>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</si>
  <si>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</si>
  <si>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</si>
  <si>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</si>
  <si>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</si>
  <si>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</si>
  <si>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</si>
  <si>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</si>
  <si>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</si>
  <si>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</si>
  <si>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</si>
  <si>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</si>
  <si>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</si>
  <si>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</si>
  <si>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</si>
  <si>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</si>
  <si>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</si>
  <si>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</si>
  <si>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</si>
  <si>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</si>
  <si>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</si>
  <si>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</si>
  <si>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</si>
  <si>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</si>
  <si>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</si>
  <si>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</si>
  <si>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</si>
  <si>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</si>
  <si>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</si>
  <si>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</si>
  <si>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</si>
  <si>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</si>
  <si>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</si>
  <si>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</si>
  <si>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</si>
  <si>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</si>
  <si>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</si>
  <si>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</si>
  <si>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</si>
  <si>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</si>
  <si>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</si>
  <si>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</si>
  <si>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</si>
  <si>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</si>
  <si>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</si>
  <si>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</si>
  <si>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</si>
  <si>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</si>
  <si>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</si>
  <si>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</si>
  <si>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</si>
  <si>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</si>
  <si>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</si>
  <si>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</si>
  <si>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</si>
  <si>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</si>
  <si>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</si>
  <si>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</si>
  <si>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</si>
  <si>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</si>
  <si>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</si>
  <si>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</si>
  <si>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</si>
  <si>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</si>
  <si>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</si>
  <si>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</si>
  <si>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</si>
  <si>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</si>
  <si>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</si>
  <si>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</si>
  <si>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</si>
  <si>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</si>
  <si>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</si>
  <si>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</si>
  <si>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</si>
  <si>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</si>
  <si>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</si>
  <si>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</si>
  <si>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</si>
  <si>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</si>
  <si>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</si>
  <si>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</si>
  <si>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</si>
  <si>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</si>
  <si>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</si>
  <si>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</si>
  <si>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</si>
  <si>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</si>
  <si>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</si>
  <si>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</si>
  <si>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</si>
  <si>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</si>
  <si>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</si>
  <si>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</si>
  <si>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</si>
  <si>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</si>
  <si>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</si>
  <si>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</si>
  <si>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</si>
  <si>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</si>
  <si>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</si>
  <si>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</si>
  <si>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</si>
  <si>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</si>
  <si>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</si>
  <si>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</si>
  <si>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</si>
  <si>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</si>
  <si>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</si>
  <si>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</si>
  <si>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</si>
  <si>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</si>
  <si>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</si>
  <si>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</si>
  <si>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</si>
  <si>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</si>
  <si>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</si>
  <si>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</si>
  <si>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</si>
  <si>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</si>
  <si>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</si>
  <si>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</si>
  <si>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</si>
  <si>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</si>
  <si>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</si>
  <si>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</si>
  <si>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</si>
  <si>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</si>
  <si>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</si>
  <si>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</si>
  <si>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</si>
  <si>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</si>
  <si>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</si>
  <si>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</si>
  <si>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</si>
  <si>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</si>
  <si>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</si>
  <si>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</si>
  <si>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</si>
  <si>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</si>
  <si>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</si>
  <si>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</si>
  <si>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</si>
  <si>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</si>
  <si>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</si>
  <si>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</si>
  <si>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</si>
  <si>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</si>
  <si>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</si>
  <si>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</si>
  <si>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</si>
  <si>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</si>
  <si>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</si>
  <si>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</si>
  <si>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</si>
  <si>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</si>
  <si>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</si>
  <si>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</si>
  <si>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</si>
  <si>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</si>
  <si>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</si>
  <si>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</si>
  <si>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</si>
  <si>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</si>
  <si>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</si>
  <si>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</si>
  <si>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</si>
  <si>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</si>
  <si>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</si>
  <si>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</si>
  <si>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</si>
  <si>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</si>
  <si>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</si>
  <si>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</si>
  <si>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</si>
  <si>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</si>
  <si>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</si>
  <si>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</si>
  <si>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</si>
  <si>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</si>
  <si>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</si>
  <si>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</si>
  <si>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</si>
  <si>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</si>
  <si>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</si>
  <si>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</si>
  <si>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</si>
  <si>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</si>
  <si>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</si>
  <si>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</si>
  <si>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</si>
  <si>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</si>
  <si>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</si>
  <si>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</si>
  <si>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</si>
  <si>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</si>
  <si>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</si>
  <si>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</si>
  <si>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</si>
  <si>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</si>
  <si>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</si>
  <si>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</si>
  <si>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</si>
  <si>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</si>
  <si>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</si>
  <si>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</si>
  <si>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</si>
  <si>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</si>
  <si>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</si>
  <si>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</si>
  <si>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</si>
  <si>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</si>
  <si>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</si>
  <si>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</si>
  <si>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</si>
  <si>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</si>
  <si>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</si>
  <si>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</si>
  <si>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</si>
  <si>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</si>
  <si>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</si>
  <si>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</si>
  <si>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</si>
  <si>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</si>
  <si>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</si>
  <si>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</si>
  <si>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</si>
  <si>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</si>
  <si>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</si>
  <si>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</si>
  <si>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</si>
  <si>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</si>
  <si>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</si>
  <si>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</si>
  <si>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</si>
  <si>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</si>
  <si>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</si>
  <si>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</si>
  <si>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</si>
  <si>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</si>
  <si>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</si>
  <si>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</si>
  <si>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</si>
  <si>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</si>
  <si>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</si>
  <si>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</si>
  <si>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</si>
  <si>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</si>
  <si>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</si>
  <si>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</si>
  <si>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</si>
  <si>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</si>
  <si>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</si>
  <si>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</si>
  <si>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</si>
  <si>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</si>
  <si>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</si>
  <si>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</si>
  <si>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</si>
  <si>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</si>
  <si>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</si>
  <si>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</si>
  <si>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</si>
  <si>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</si>
  <si>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</si>
  <si>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</si>
  <si>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</si>
  <si>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</si>
  <si>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</si>
  <si>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</si>
  <si>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</si>
  <si>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</si>
  <si>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</si>
  <si>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</si>
  <si>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</si>
  <si>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</si>
  <si>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</si>
  <si>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</si>
  <si>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</si>
  <si>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</si>
  <si>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</si>
  <si>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</si>
  <si>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</si>
  <si>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</si>
  <si>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</si>
  <si>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</si>
  <si>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</si>
  <si>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</si>
  <si>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</si>
  <si>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</si>
  <si>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</si>
  <si>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</si>
  <si>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</si>
  <si>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</si>
  <si>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</si>
  <si>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</si>
  <si>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</si>
  <si>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</si>
  <si>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</si>
  <si>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</si>
  <si>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</si>
  <si>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</si>
  <si>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</si>
  <si>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</si>
  <si>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</si>
  <si>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</si>
  <si>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</si>
  <si>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</si>
  <si>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</si>
  <si>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</si>
  <si>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</si>
  <si>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</si>
  <si>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</si>
  <si>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</si>
  <si>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</si>
  <si>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</si>
  <si>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</si>
  <si>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</si>
  <si>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</si>
  <si>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</si>
  <si>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</si>
  <si>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</si>
  <si>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</si>
  <si>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</si>
  <si>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</si>
  <si>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</si>
  <si>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</si>
  <si>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</si>
  <si>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</si>
  <si>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</si>
  <si>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</si>
  <si>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</si>
  <si>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</si>
  <si>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</si>
  <si>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</si>
  <si>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</si>
  <si>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</si>
  <si>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</si>
  <si>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</si>
  <si>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</si>
  <si>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</si>
  <si>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</si>
  <si>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</si>
  <si>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</si>
  <si>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</si>
  <si>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</si>
  <si>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</si>
  <si>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</si>
  <si>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</si>
  <si>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</si>
  <si>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</si>
  <si>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</si>
  <si>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</si>
  <si>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</si>
  <si>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</si>
  <si>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</si>
  <si>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</si>
  <si>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</si>
  <si>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</si>
  <si>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</si>
  <si>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</si>
  <si>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</si>
  <si>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</si>
  <si>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</si>
  <si>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</si>
  <si>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</si>
  <si>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</si>
  <si>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</si>
  <si>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</si>
  <si>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</si>
  <si>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</si>
  <si>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</si>
  <si>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</si>
  <si>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</si>
  <si>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</si>
  <si>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</si>
  <si>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</si>
  <si>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</si>
  <si>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</si>
  <si>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</si>
  <si>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</si>
  <si>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</si>
  <si>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</si>
  <si>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</si>
  <si>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</si>
  <si>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</si>
  <si>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</si>
  <si>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</si>
  <si>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</si>
  <si>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</si>
  <si>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</si>
  <si>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</si>
  <si>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</si>
  <si>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</si>
  <si>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</si>
  <si>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</si>
  <si>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</si>
  <si>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</si>
  <si>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</si>
  <si>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</si>
  <si>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</si>
  <si>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</si>
  <si>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</si>
  <si>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</si>
  <si>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</si>
  <si>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</si>
  <si>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</si>
  <si>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</si>
  <si>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</si>
  <si>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</si>
  <si>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</si>
  <si>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</si>
  <si>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</si>
  <si>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</si>
  <si>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</si>
  <si>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</si>
  <si>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</si>
  <si>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</si>
  <si>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</si>
  <si>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</si>
  <si>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</si>
  <si>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</si>
  <si>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</si>
  <si>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</si>
  <si>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</si>
  <si>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</si>
  <si>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</si>
  <si>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</si>
  <si>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</si>
  <si>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</si>
  <si>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</si>
  <si>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</si>
  <si>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</si>
  <si>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</si>
  <si>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</si>
  <si>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</si>
  <si>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</si>
  <si>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</si>
  <si>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</si>
  <si>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</si>
  <si>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</si>
  <si>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</si>
  <si>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</si>
  <si>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</si>
  <si>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</si>
  <si>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</si>
  <si>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</si>
  <si>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</si>
  <si>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</si>
  <si>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</si>
  <si>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</si>
  <si>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</si>
  <si>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</si>
  <si>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</si>
  <si>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</si>
  <si>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</si>
  <si>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</si>
  <si>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</si>
  <si>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</si>
  <si>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</si>
  <si>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</si>
  <si>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</si>
  <si>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</si>
  <si>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</si>
  <si>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</si>
  <si>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</si>
  <si>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</si>
  <si>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</si>
  <si>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</si>
  <si>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</si>
  <si>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</si>
  <si>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</si>
  <si>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</si>
  <si>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</si>
  <si>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</si>
  <si>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SEVERAL HOURS OF SUN, TURNING BREEZY IN THE AFTERNOON.</t>
  </si>
  <si>
    <t xml:space="preserve">  OMINOUS CLOUDS</t>
  </si>
  <si>
    <t xml:space="preserve">  CLOUDY WITH RAIN AT TIMES; WINDY IN THE AFTERNOON.</t>
  </si>
  <si>
    <t xml:space="preserve">  WINDY; FREQUENT SHOWERS IN THE MORNING FOLLOWED BY AFTERNOON</t>
  </si>
  <si>
    <t xml:space="preserve">  SNOW FLURRIES.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</si>
</sst>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D17F1F9-4396-5814-279A-4FD887678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9F125EE-832A-EA2A-6DB9-3B2B848DE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37246EF-ADBD-9F57-88D1-A6EE17A5FF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310FD94-7430-DC73-4D5F-CF1D0B0E18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4C52C1E-FA76-F2BF-43F6-BA76022DF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9A3401B6-59C1-1132-14B9-71F11B3A9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4BD58C0-2C71-5715-8E0A-619BEC9524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3BCFAF4-478C-01B3-C607-DEC03D613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024C83B-7FB6-DA04-A102-0E6172F7C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6B3C798-072A-2BF0-62F4-C03C0B48C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ECF493E5-6BCD-B255-AAE7-5F378DA43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0DFBFBC-0D3F-C199-2A08-0ACDC3AFFF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9AC91D59-452B-9875-7459-CB609F115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A13E008-9AFA-5A83-18C7-BB516DF47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1165186-1DDD-DBF2-8FE3-3119E0F237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856BC719-FCF4-31B9-3DE0-5FDEF78ED6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DE8F8B5-8B3F-55F2-5BCE-CF3CC51B6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78DB93C-F2C5-28D8-79EE-EF428B4A4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88EA6DD6-95B4-8500-D259-633BAEE4D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6F0F1063-DCEA-1AC6-0508-B7660129C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DFCB70FE-4D58-C919-90E3-99744E15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98810485-9691-E3D9-9245-94BC26FC1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63B4A8C-91D7-64E3-8E69-DCC701D1B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028B50F4-38BD-DE31-DB03-DF47FAEEA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FCF1951F-DE49-9C83-924E-CD4FA010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C8E1BF55-0D64-095F-A1BB-F157DC8FC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2A609B8-39E8-22E1-7BA2-A60AE3CA1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246FE68-6642-4A5F-E551-667D0E14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2065F47-B8F2-9F00-6AEA-082D8DBAE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43F201FA-5DF3-41F1-B32F-CF430FED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61CA2F0-6D6A-F231-7435-E1F81ECF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D9787D8-3DCD-FA9F-F3FF-767DC84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67692E23-DC5D-391D-8478-ECFC6018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0066630E-77C8-03A4-4766-F28D8F4B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DBD32AAB-44FC-3477-2D36-B42BA5F59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5E22E6AB-1EB9-D243-A754-AB08D398D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3D60682B-71AE-E78A-1C47-A1BDCC63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5BC9F909-F530-CDB0-3889-90953D9CD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2A76A30B-5148-A5FF-EEE0-059EBC98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E256D83-30B8-B2D3-3E15-388A3D830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60E0B70-61F7-009A-9470-EF1051F02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D9016411-63E9-F628-D9C3-D4B92C21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89CD8519-B62D-5B5A-CCA4-5269D6B8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C9D57190-490C-3D53-2C4C-4306C3A55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233" name="Day_1">
          <a:extLst>
            <a:ext uri="{FF2B5EF4-FFF2-40B4-BE49-F238E27FC236}">
              <a16:creationId xmlns:a16="http://schemas.microsoft.com/office/drawing/2014/main" id="{CEE5FDE1-04BF-18E1-F10B-A655D379A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234" name="Day_2">
          <a:extLst>
            <a:ext uri="{FF2B5EF4-FFF2-40B4-BE49-F238E27FC236}">
              <a16:creationId xmlns:a16="http://schemas.microsoft.com/office/drawing/2014/main" id="{0097CF82-A8DE-EC05-0208-7DE2A90B1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235" name="Day_3">
          <a:extLst>
            <a:ext uri="{FF2B5EF4-FFF2-40B4-BE49-F238E27FC236}">
              <a16:creationId xmlns:a16="http://schemas.microsoft.com/office/drawing/2014/main" id="{5F6922B2-BCD4-C30A-6A9B-11BBED93D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236" name="Day_4">
          <a:extLst>
            <a:ext uri="{FF2B5EF4-FFF2-40B4-BE49-F238E27FC236}">
              <a16:creationId xmlns:a16="http://schemas.microsoft.com/office/drawing/2014/main" id="{A7868AFB-E535-9521-2C59-5581F6F3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237" name="Day_5">
          <a:extLst>
            <a:ext uri="{FF2B5EF4-FFF2-40B4-BE49-F238E27FC236}">
              <a16:creationId xmlns:a16="http://schemas.microsoft.com/office/drawing/2014/main" id="{C2F1235A-AB50-98CB-6F04-E0FF7ACF0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238" name="Day_6">
          <a:extLst>
            <a:ext uri="{FF2B5EF4-FFF2-40B4-BE49-F238E27FC236}">
              <a16:creationId xmlns:a16="http://schemas.microsoft.com/office/drawing/2014/main" id="{377252EA-BA4F-FFD1-FF1B-1E1F790FC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F2FABC1-6BA5-36F8-D214-FC0DF24845CC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000188E9-C8F0-9E90-38BE-E837C1D350B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0EAF4AE7-FB00-FC81-BA4F-B2D172DDDDE3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2EFE36E4-6D1C-F52D-981A-033CA0DA078D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E1E38ED-28F4-6EEA-E6CC-3A75563132D1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3CCFC7C-484B-F3C2-824B-0FFC9A0B4D1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1D4FFB89-06CD-6638-9AC1-28F11D43005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CF3BA383-F6B3-566E-54EF-7900E3056A39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5C9D6D3-52A8-C18C-4FD1-7C4F6D0E027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61DA2DD6-8BE4-B0B6-2EE2-469A1FCFC3E7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5BDB190-2A5C-DDBD-32CA-3BB15E68345C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0065FE2A-B26D-BEEA-DCC8-CCADB32B774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9683B86D-7223-C8D3-099E-2A4FFCC1A8DA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227F7245-512C-8259-84A8-91D3D0825178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336BEC29-8197-6F95-CC6C-7EB9D22D1495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24801B9A-BBFD-924D-51DB-51DFD2B14014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12D5EB68-130D-01D4-C17D-02CD7DCCD010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21949CBD-86E1-26B6-1A8B-061EE0D03B6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D763310-E0A9-C053-9562-BEB30BD4F07E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03C122CC-6954-842B-5ECA-BE686D8B281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FBB74386-7EBE-E423-C5DD-66E0ED43B1F5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FE2F22C3-A68A-1045-0D6A-586202782420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9FF7145C-DDA1-329D-B009-C39F2BEBB72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6351FA27-B024-DE89-12D0-AF5391C0ECF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B181EF0D-B0B2-350E-8AF6-A60332075CC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B8893A5D-9E3B-574D-A6D1-B4D4BF7BC52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91044EE4-FA37-4B2F-2B3B-432905E05F87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A3BB1D70-D8D5-C91C-3620-F11E771DCB53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0BC950E7-DC97-0B68-FC52-68B534DB6640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59A25039-59C5-9298-44CE-E76BE1BCF79C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2361C0F4-E4D0-0B25-0A8F-2381463ECE92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18A8F426-6971-1E3F-A7D5-0B60A9839A62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C4CAE7E4-AC3B-7AAD-4E59-69685A642B3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38022CB0-521F-BAAF-CDD1-79F38D4BFF52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CB66AEF-BE27-4C80-E519-1A41D7D46128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CC52EC2-25B2-F707-48D2-6F2D5ABFBCAF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480D1DE5-9BF1-9850-8F92-6B9C172957F9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788424A0-D0EF-2503-6B5D-28F2972E3F5F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36BF5083-4F4B-F206-D7E8-7A547F1C06B6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8E21C44B-666E-CBB2-EB40-39A96D5B47F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CBE074F-666C-9CC0-C6DA-B7E12A87E26E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48C6DE3-118C-1856-5A28-F1C7A18226EC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1B6A036B-F295-4CC3-37C2-B6C26AE6AD0B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2602550-C6BF-4D3B-BD31-B3BD766916F6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B32B116-48EC-BF69-C98A-B0339D9457E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0893517-C107-2D98-1EFE-12C23ADE288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A78D851-BD5F-493A-94EF-79B7917D290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EFB39C0-43C0-FFFF-1C2A-849065BDCAB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AD33232C-A6AE-4B8A-4A05-C08D7365984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E62A88A5-70DC-723D-28C4-3211F57D1287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7F24759-F449-FEFA-0B21-2B72726168FA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7BC0B848-B3B4-AFD1-5721-6A66C5522C2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D793D3A3-6B1A-C067-47CF-446C0ED8A0C0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3BD1FB78-2AFF-C03D-D8D3-2C0ACF7253C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3270E71B-EC4D-543B-8E27-80BC829FC7F1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7829B6A-C25A-CF3E-9C53-5C0B3CECE859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171844B5-0E72-607C-ACF8-9BCFA1860290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D51FF143-7050-38DF-3A4F-E5E3B93B7A42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54F3D868-3ED2-F1B5-84C0-2C9AEC962E93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229F65F-033E-DBB9-28E4-4E10E596340F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B76ADE8C-B93C-229D-FE0E-EB6AEBDCC233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AD2351E-46EC-69D9-83D4-0225972676B7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3C034ED-1E1A-980C-823A-E365C45DFF99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3EFC056-93DA-8394-F159-3356B53C7EE6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E9D20A3C-62C0-09FC-32B7-6BEDE5F500B6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5716D5FE-2C47-767D-44C5-6A9FBAC3FC9E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E1C6B881-BF98-3B38-864E-32D2090645CF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EB37BEA8-6A8F-E28A-AE11-EA0E415DD1E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A7C0A60-C6FA-6199-5C13-1394C16C4BD7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4BE10BC9-5879-EDF1-B897-796B805E011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A6CB862E-B2EE-4FC7-6C04-EE5C6D141ED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F1EA5860-01CB-6DF5-8FE5-B20BA798293E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A3F1FFB6-77CE-11C8-E9DB-8BCC30D9CC39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6099460B-9A23-5AFC-D86E-F59C359D26E3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49FE15A-36BB-50C6-96EE-8D291F173B8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7DA5ACCB-9E6E-44CB-5BFA-CAA6D53157B7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825899A6-0992-2406-FF8F-468D9D4EB4F0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30358D90-3D96-FF84-185C-60CC130FCB22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17356E1E-1DBC-4F67-1A59-CD9F5397D12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14F7C6B4-740D-7CC3-7A5D-B6325919F7D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6CCEC7EA-5923-A5EA-06E3-988ADA98897B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054CBC48-602C-7873-7790-76446F428ED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E5794BE2-C2AD-92AB-103C-BE4C91D2D27A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308D5A76-0C3D-AC89-603C-E28BD4CA3FC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9ADA68A4-D014-E102-5904-94D83D898AE5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834F84E8-40C2-320A-E498-092D0F97A8B0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3C87789-279E-29D5-9A70-152C88C75685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497C873C-AD95-9AC5-D4D9-D7E91CEEEDF7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6BC2F6BB-4344-986E-204C-92BF839D998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E261D8E1-A5E0-60C2-0EE7-11D09754A663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D917D437-EC53-6EF5-3767-4410D493009B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4F862CB9-BEF5-8EF8-CB1E-D2565868130D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6DC52A20-2A78-0B29-49D6-5F72AD021F6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9122003C-B987-B71C-E39C-661444849B3A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01C1015A-73AD-19CD-7E49-2A96351E947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DB84B355-E19C-52AF-6186-55636E8783F2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1DB3F84C-E316-7404-5773-7EE06E9D9FC7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1F4140E4-F626-CC17-C07E-B94F8FB107E2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D7505C6D-160A-0B92-997F-0ED6FEA44792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DC3D9E31-F801-577B-1E57-A22F2067EC3C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2D654CBD-DA91-2DF1-E8D4-3F51466D73AF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955606E7-C1A2-A178-CD0C-29BB0309140F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C857E74-FE4B-351C-5A08-2DFCEF89A72D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9EDD9BB5-936F-CD03-3E83-A82DEB28F104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6D1045A2-C8DB-FCE8-D69E-FF9CD0F48EE5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8A24F648-52B2-7895-C6B2-401409A6AB98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A13BEA27-2AFF-B380-A4B3-DEA3CB74E9F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E15F7F1E-7CEC-EB6E-32FE-3D6C68468993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456CB75A-E5A7-202E-0A45-546F327ABF2D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CCF283F-2A8D-E3B6-E4D1-C7AB8FC1F119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089A340C-8E58-2097-559C-AE99250404CD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37A9CD15-9FA7-0511-4808-D1F991EE439E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D0BC805-8D93-8550-956C-DD0536ABAFC8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E465EBC-97F3-F85D-F386-F88CED235A16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BE8CEE63-6465-4B42-299F-67901AA0964D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9C0DC358-B61D-7904-A0A3-E2BA649858D8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101E6EAD-881D-45E6-7A40-582F16E1CCD7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371FB1B-EDB2-0A6D-B399-413BE7F09534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28972229-6334-98B6-437C-A7A61373832F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1B700F31-1860-B4F3-C24E-D21A3502C74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068B8E5-B489-21B8-9A9E-7401B9A83502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C8B52FC3-F40E-AE59-A49B-A6B95C86A4AF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BC2771E0-E819-73B1-045F-1CFB98AB7CCA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9F9E3BFD-BF16-6D05-1564-A91CD71FCD1E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88B68006-0789-545A-9D28-0F6680E5C213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2AFD651B-6AEC-81F3-689D-550FF0D9CF9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ECB6FC1B-75FF-EF75-128B-4618D9A8719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E72F6E99-39FC-C50A-9CC9-73B87E00A2CF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61058EB-0250-21A4-4BF5-545B5443312C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CE2E67B-2F91-511F-9AF4-C7F05FC0C499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SAT</v>
      </c>
      <c r="I1" s="881">
        <f>D4</f>
        <v>36960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36960</v>
      </c>
      <c r="E4" s="848">
        <f>Weather_Input!A6</f>
        <v>36961</v>
      </c>
      <c r="F4" s="848">
        <f>Weather_Input!A7</f>
        <v>36962</v>
      </c>
      <c r="G4" s="848">
        <f>Weather_Input!A8</f>
        <v>36963</v>
      </c>
      <c r="H4" s="848">
        <f>Weather_Input!A9</f>
        <v>36964</v>
      </c>
      <c r="I4" s="849">
        <f>Weather_Input!A10</f>
        <v>36965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49/31/40</v>
      </c>
      <c r="E5" s="882" t="str">
        <f>TEXT(Weather_Input!B6,"0")&amp;"/"&amp;TEXT(Weather_Input!C6,"0") &amp; "/" &amp; TEXT((Weather_Input!B6+Weather_Input!C6)/2,"0")</f>
        <v>39/30/35</v>
      </c>
      <c r="F5" s="882" t="str">
        <f>TEXT(Weather_Input!B7,"0")&amp;"/"&amp;TEXT(Weather_Input!C7,"0") &amp; "/" &amp; TEXT((Weather_Input!B7+Weather_Input!C7)/2,"0")</f>
        <v>40/33/37</v>
      </c>
      <c r="G5" s="882" t="str">
        <f>TEXT(Weather_Input!B8,"0")&amp;"/"&amp;TEXT(Weather_Input!C8,"0") &amp; "/" &amp; TEXT((Weather_Input!B8+Weather_Input!C8)/2,"0")</f>
        <v>41/25/33</v>
      </c>
      <c r="H5" s="882" t="str">
        <f>TEXT(Weather_Input!B9,"0")&amp;"/"&amp;TEXT(Weather_Input!C9,"0") &amp; "/" &amp; TEXT((Weather_Input!B9+Weather_Input!C9)/2,"0")</f>
        <v>38/27/33</v>
      </c>
      <c r="I5" s="883" t="str">
        <f>TEXT(Weather_Input!B10,"0")&amp;"/"&amp;TEXT(Weather_Input!C10,"0") &amp; "/" &amp; TEXT((Weather_Input!B10+Weather_Input!C10)/2,"0")</f>
        <v>38/27/33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128</v>
      </c>
      <c r="E6" s="851">
        <f ca="1">VLOOKUP(E4,NSG_Sendouts,CELL("Col",NSG_Deliveries!C6),FALSE)/1000</f>
        <v>143</v>
      </c>
      <c r="F6" s="851">
        <f ca="1">VLOOKUP(F4,NSG_Sendouts,CELL("Col",NSG_Deliveries!C7),FALSE)/1000</f>
        <v>140</v>
      </c>
      <c r="G6" s="851">
        <f ca="1">VLOOKUP(G4,NSG_Sendouts,CELL("Col",NSG_Deliveries!C8),FALSE)/1000</f>
        <v>148</v>
      </c>
      <c r="H6" s="851">
        <f ca="1">VLOOKUP(H4,NSG_Sendouts,CELL("Col",NSG_Deliveries!C9),FALSE)/1000</f>
        <v>152</v>
      </c>
      <c r="I6" s="856">
        <f ca="1">VLOOKUP(I4,NSG_Sendouts,CELL("Col",NSG_Deliveries!C10),FALSE)/1000</f>
        <v>152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5.8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0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133.80000000000001</v>
      </c>
      <c r="E19" s="860">
        <f t="shared" ca="1" si="1"/>
        <v>143</v>
      </c>
      <c r="F19" s="860">
        <f t="shared" ca="1" si="1"/>
        <v>140</v>
      </c>
      <c r="G19" s="860">
        <f t="shared" ca="1" si="1"/>
        <v>148</v>
      </c>
      <c r="H19" s="860">
        <f t="shared" ca="1" si="1"/>
        <v>152</v>
      </c>
      <c r="I19" s="861">
        <f t="shared" ca="1" si="1"/>
        <v>152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30</v>
      </c>
      <c r="E23" s="851">
        <f>NSG_Supplies!L8/1000</f>
        <v>30</v>
      </c>
      <c r="F23" s="851">
        <f>NSG_Supplies!L9/1000</f>
        <v>30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83.802000000000007</v>
      </c>
      <c r="E32" s="851">
        <f>NSG_Supplies!R8/1000</f>
        <v>83.802000000000007</v>
      </c>
      <c r="F32" s="851">
        <f>NSG_Supplies!R9/1000</f>
        <v>83.802000000000007</v>
      </c>
      <c r="G32" s="851">
        <f>NSG_Supplies!R10/1000</f>
        <v>83.802000000000007</v>
      </c>
      <c r="H32" s="851">
        <f>NSG_Supplies!R11/1000</f>
        <v>83.802000000000007</v>
      </c>
      <c r="I32" s="852">
        <f>NSG_Supplies!R12/1000</f>
        <v>83.802000000000007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133.80200000000002</v>
      </c>
      <c r="E37" s="891">
        <f t="shared" si="2"/>
        <v>133.80200000000002</v>
      </c>
      <c r="F37" s="891">
        <f t="shared" si="2"/>
        <v>133.80200000000002</v>
      </c>
      <c r="G37" s="891">
        <f t="shared" si="2"/>
        <v>123.80200000000001</v>
      </c>
      <c r="H37" s="891">
        <f t="shared" si="2"/>
        <v>123.80200000000001</v>
      </c>
      <c r="I37" s="892">
        <f t="shared" si="2"/>
        <v>123.80200000000001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2.0000000000095497E-3</v>
      </c>
      <c r="E38" s="895">
        <f t="shared" ca="1" si="3"/>
        <v>0</v>
      </c>
      <c r="F38" s="895">
        <f t="shared" ca="1" si="3"/>
        <v>0</v>
      </c>
      <c r="G38" s="895">
        <f t="shared" ca="1" si="3"/>
        <v>0</v>
      </c>
      <c r="H38" s="895">
        <f t="shared" ca="1" si="3"/>
        <v>0</v>
      </c>
      <c r="I38" s="896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9.1979999999999791</v>
      </c>
      <c r="F39" s="877">
        <f t="shared" ca="1" si="4"/>
        <v>6.1979999999999791</v>
      </c>
      <c r="G39" s="877">
        <f t="shared" ca="1" si="4"/>
        <v>24.197999999999993</v>
      </c>
      <c r="H39" s="877">
        <f t="shared" ca="1" si="4"/>
        <v>28.197999999999993</v>
      </c>
      <c r="I39" s="878">
        <f t="shared" ca="1" si="4"/>
        <v>28.197999999999993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33.817999999999998</v>
      </c>
      <c r="E40" s="1175">
        <f>NSG_Supplies!S8/1000</f>
        <v>33.817999999999998</v>
      </c>
      <c r="F40" s="1175">
        <f>NSG_Supplies!S9/1000</f>
        <v>33.817999999999998</v>
      </c>
      <c r="G40" s="1175">
        <f>NSG_Supplies!S10/1000</f>
        <v>33.817999999999998</v>
      </c>
      <c r="H40" s="1175">
        <f>NSG_Supplies!S11/1000</f>
        <v>33.817999999999998</v>
      </c>
      <c r="I40" s="1176">
        <f>NSG_Supplies!S12/1000</f>
        <v>33.817999999999998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12</v>
      </c>
      <c r="E42" s="902">
        <f>Weather_Input!D6</f>
        <v>12</v>
      </c>
      <c r="F42" s="902">
        <f>Weather_Input!D7</f>
        <v>15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>
      <selection activeCell="C2" sqref="C2"/>
    </sheetView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36960</v>
      </c>
      <c r="G1" s="771" t="str">
        <f>CHOOSE(WEEKDAY(F1),"SUN","MON","TUE","WED","THU","FRI","SAT")</f>
        <v>SAT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/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49</v>
      </c>
      <c r="C4" s="965">
        <f>Weather_Input!C5</f>
        <v>31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780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282.01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45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-249.66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129.542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260.45400000000001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106.2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28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548.54600000000005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231.45399999999995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231.45399999999995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21.13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-256.33199999999999</v>
      </c>
      <c r="D29" s="987" t="s">
        <v>11</v>
      </c>
      <c r="E29" s="986">
        <f>-PGL_Supplies!AC7/1000</f>
        <v>-256.33199999999999</v>
      </c>
      <c r="F29" s="307"/>
      <c r="G29" s="986">
        <f>-PGL_Supplies!AC7/1000</f>
        <v>-256.33199999999999</v>
      </c>
      <c r="H29" s="515"/>
      <c r="I29" s="988">
        <f>-PGL_Supplies!AC7/1000</f>
        <v>-256.33199999999999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282.01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282.01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45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45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124.542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5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129.542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250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1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3.75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-249.66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260.45400000000001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260.45400000000001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106.2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260.45400000000001</v>
      </c>
    </row>
    <row r="63" spans="1:9" ht="16.5" thickBot="1">
      <c r="A63" s="800" t="s">
        <v>565</v>
      </c>
      <c r="B63" s="1020">
        <f>+B62+B61-B60+B59</f>
        <v>106.2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SAT</v>
      </c>
      <c r="G1" s="1084">
        <f>Weather_Input!A5</f>
        <v>36960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/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49</v>
      </c>
      <c r="C4" s="759">
        <f>Weather_Input!C5</f>
        <v>31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128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83.8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14.2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30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83.8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0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-83.802000000000007</v>
      </c>
      <c r="D26" s="719"/>
      <c r="E26" s="712">
        <f>-NSG_Supplies!R7/1000</f>
        <v>-83.802000000000007</v>
      </c>
      <c r="F26" s="719"/>
      <c r="G26" s="712">
        <f>-NSG_Supplies!R7/1000</f>
        <v>-83.802000000000007</v>
      </c>
      <c r="H26" s="718"/>
      <c r="I26" s="777">
        <f>-NSG_Supplies!R7/1000</f>
        <v>-83.802000000000007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30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30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5.8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14.2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36960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49</v>
      </c>
      <c r="C5" s="266">
        <f>Weather_Input!C5</f>
        <v>31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780</v>
      </c>
      <c r="C8" s="274">
        <f>NSG_Deliveries!C5/1000</f>
        <v>128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45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431.721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138.20999999999998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28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-590.93100000000004</v>
      </c>
      <c r="C18" s="289">
        <f>-I63</f>
        <v>-30</v>
      </c>
      <c r="D18" s="290" t="s">
        <v>11</v>
      </c>
      <c r="E18" s="289">
        <f>-I63</f>
        <v>-30</v>
      </c>
      <c r="F18" s="290" t="s">
        <v>11</v>
      </c>
      <c r="G18" s="289">
        <f>-I63</f>
        <v>-30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189.06899999999996</v>
      </c>
      <c r="C20" s="295">
        <f>C8+C18+C19</f>
        <v>98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3.75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192.81899999999996</v>
      </c>
      <c r="C23" s="301">
        <f>C20</f>
        <v>98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-256.33199999999999</v>
      </c>
      <c r="C32" s="315">
        <f>-NSG_Supplies!R7/1000</f>
        <v>-83.802000000000007</v>
      </c>
      <c r="D32" s="315">
        <f>B32</f>
        <v>-256.33199999999999</v>
      </c>
      <c r="E32" s="315">
        <f>C32</f>
        <v>-83.802000000000007</v>
      </c>
      <c r="F32" s="315">
        <f>B32</f>
        <v>-256.33199999999999</v>
      </c>
      <c r="G32" s="315">
        <f>C32</f>
        <v>-83.802000000000007</v>
      </c>
      <c r="H32" s="320">
        <f>B32</f>
        <v>-256.33199999999999</v>
      </c>
      <c r="I32" s="321">
        <f>C32</f>
        <v>-83.802000000000007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-33.817999999999998</v>
      </c>
      <c r="D33" s="315">
        <f>B33</f>
        <v>0</v>
      </c>
      <c r="E33" s="315">
        <f>C33</f>
        <v>-33.817999999999998</v>
      </c>
      <c r="F33" s="315">
        <f>B33</f>
        <v>0</v>
      </c>
      <c r="G33" s="315">
        <f>C33</f>
        <v>-33.817999999999998</v>
      </c>
      <c r="H33" s="320">
        <f>B33</f>
        <v>0</v>
      </c>
      <c r="I33" s="321">
        <f>C33</f>
        <v>-33.817999999999998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21.13</v>
      </c>
      <c r="C35" s="310">
        <f>NSG_Requirements!H7/1000</f>
        <v>0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250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3.75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3.75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307.17899999999997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124.542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431.721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45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30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45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30</v>
      </c>
    </row>
    <row r="64" spans="1:9" ht="17.100000000000001" customHeight="1" thickBot="1">
      <c r="A64" s="425" t="s">
        <v>394</v>
      </c>
      <c r="B64" s="324">
        <f>PGL_Supplies!Y7/1000</f>
        <v>282.01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106.2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250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138.20999999999998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SAT</v>
      </c>
      <c r="H73" s="406">
        <f>Weather_Input!A5</f>
        <v>36960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66.13</v>
      </c>
      <c r="D97" s="603"/>
      <c r="E97" s="615">
        <f>+C97</f>
        <v>66.13</v>
      </c>
      <c r="F97" s="603"/>
      <c r="G97" s="615">
        <f>+C97</f>
        <v>66.13</v>
      </c>
      <c r="H97" s="603"/>
      <c r="I97" s="285">
        <f>+C97</f>
        <v>66.13</v>
      </c>
    </row>
    <row r="98" spans="1:9" ht="15">
      <c r="A98" s="494" t="s">
        <v>60</v>
      </c>
      <c r="B98" s="282" t="s">
        <v>11</v>
      </c>
      <c r="C98" s="624">
        <f>B149</f>
        <v>1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431.721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388.21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28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-45</v>
      </c>
      <c r="C116" s="419">
        <f>-NSG_Supplies!W7/1000</f>
        <v>0</v>
      </c>
      <c r="D116" s="315">
        <f>-PGL_Supplies!Z7/1000</f>
        <v>-45</v>
      </c>
      <c r="E116" s="315">
        <f>-NSG_Supplies!W7/1000</f>
        <v>0</v>
      </c>
      <c r="F116" s="315">
        <f>-PGL_Supplies!Z7/1000</f>
        <v>-45</v>
      </c>
      <c r="G116" s="315">
        <f>-NSG_Supplies!W7/1000</f>
        <v>0</v>
      </c>
      <c r="H116" s="320">
        <f>-PGL_Supplies!Z7/1000</f>
        <v>-45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-124.542</v>
      </c>
      <c r="C117" s="315">
        <f>-NSG_Supplies!X7/1000</f>
        <v>0</v>
      </c>
      <c r="D117" s="315">
        <f>-PGL_Supplies!AA7/1000</f>
        <v>-124.542</v>
      </c>
      <c r="E117" s="315">
        <f>-NSG_Supplies!X7/1000</f>
        <v>0</v>
      </c>
      <c r="F117" s="315">
        <f>-PGL_Supplies!AA7/1000</f>
        <v>-124.542</v>
      </c>
      <c r="G117" s="315">
        <f>-NSG_Supplies!X7/1000</f>
        <v>0</v>
      </c>
      <c r="H117" s="320">
        <f>-PGL_Supplies!AA7/1000</f>
        <v>-124.542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-33.817999999999998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21.13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45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66.13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124.542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5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302.17899999999997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431.721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250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1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3.75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1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106.2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282.01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388.21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36961.18415011574</v>
      </c>
      <c r="F22" s="164" t="s">
        <v>272</v>
      </c>
      <c r="G22" s="191">
        <f ca="1">NOW()</f>
        <v>36961.18415011574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36961.18415011574</v>
      </c>
      <c r="F22" s="164" t="s">
        <v>272</v>
      </c>
      <c r="G22" s="191">
        <f ca="1">NOW()</f>
        <v>36961.18415011574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36960</v>
      </c>
      <c r="C5" s="15"/>
      <c r="D5" s="22" t="s">
        <v>290</v>
      </c>
      <c r="E5" s="23">
        <f>Weather_Input!B5</f>
        <v>49</v>
      </c>
      <c r="F5" s="24" t="s">
        <v>291</v>
      </c>
      <c r="G5" s="25">
        <f>Weather_Input!H5</f>
        <v>31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31</v>
      </c>
      <c r="F6" s="24" t="s">
        <v>293</v>
      </c>
      <c r="G6" s="25">
        <f>Weather_Input!F5</f>
        <v>338</v>
      </c>
      <c r="H6" s="26" t="s">
        <v>294</v>
      </c>
      <c r="I6" s="27">
        <f ca="1">G6-(VLOOKUP(B5,DD_Normal_Data,CELL("Col",C7),FALSE))</f>
        <v>25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40</v>
      </c>
      <c r="F7" s="24" t="s">
        <v>296</v>
      </c>
      <c r="G7" s="25">
        <f>Weather_Input!G5</f>
        <v>5423</v>
      </c>
      <c r="H7" s="26" t="s">
        <v>296</v>
      </c>
      <c r="I7" s="123">
        <f ca="1">G7-(VLOOKUP(B5,DD_Normal_Data,CELL("Col",D4),FALSE))</f>
        <v>315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SEVERAL HOURS OF SUN, TURNING BREEZY IN THE AFTERNOON.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36961</v>
      </c>
      <c r="C10" s="15"/>
      <c r="D10" s="153" t="s">
        <v>290</v>
      </c>
      <c r="E10" s="23">
        <f>Weather_Input!B6</f>
        <v>39</v>
      </c>
      <c r="F10" s="24" t="s">
        <v>291</v>
      </c>
      <c r="G10" s="25">
        <f>IF(E12&lt;65,65-(Weather_Input!B6+Weather_Input!C6)/2,0)</f>
        <v>30.5</v>
      </c>
      <c r="H10" s="26" t="s">
        <v>292</v>
      </c>
      <c r="I10" s="27">
        <f ca="1">G10-(VLOOKUP(B10,DD_Normal_Data,CELL("Col",B11),FALSE))</f>
        <v>0.5</v>
      </c>
    </row>
    <row r="11" spans="1:109" ht="15">
      <c r="A11" s="18"/>
      <c r="B11" s="21"/>
      <c r="C11" s="15"/>
      <c r="D11" s="22" t="s">
        <v>176</v>
      </c>
      <c r="E11" s="23">
        <f>Weather_Input!C6</f>
        <v>30</v>
      </c>
      <c r="F11" s="24" t="s">
        <v>293</v>
      </c>
      <c r="G11" s="25">
        <f>IF(DAY(B10)=1,G10,G6+G10)</f>
        <v>368.5</v>
      </c>
      <c r="H11" s="30" t="s">
        <v>294</v>
      </c>
      <c r="I11" s="27">
        <f ca="1">G11-(VLOOKUP(B10,DD_Normal_Data,CELL("Col",C12),FALSE))</f>
        <v>25.5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34.5</v>
      </c>
      <c r="F12" s="24" t="s">
        <v>296</v>
      </c>
      <c r="G12" s="25">
        <f>IF(AND(DAY(B10)=1,MONTH(B10)=8),G10,G7+G10)</f>
        <v>5453.5</v>
      </c>
      <c r="H12" s="26" t="s">
        <v>296</v>
      </c>
      <c r="I12" s="27">
        <f ca="1">G12-(VLOOKUP(B10,DD_Normal_Data,CELL("Col",D9),FALSE))</f>
        <v>315.5</v>
      </c>
    </row>
    <row r="13" spans="1:109" ht="15">
      <c r="A13" s="18"/>
      <c r="B13" s="21"/>
      <c r="C13" s="15"/>
      <c r="D13" s="32" t="str">
        <f>IF(Weather_Input!I6=""," ",Weather_Input!I6)</f>
        <v xml:space="preserve">  OMINOUS CLOUDS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36962</v>
      </c>
      <c r="C15" s="15"/>
      <c r="D15" s="22" t="s">
        <v>290</v>
      </c>
      <c r="E15" s="23">
        <f>Weather_Input!B7</f>
        <v>40</v>
      </c>
      <c r="F15" s="24" t="s">
        <v>291</v>
      </c>
      <c r="G15" s="25">
        <f>IF(E17&lt;65,65-(Weather_Input!B7+Weather_Input!C7)/2,0)</f>
        <v>28.5</v>
      </c>
      <c r="H15" s="26" t="s">
        <v>292</v>
      </c>
      <c r="I15" s="27">
        <f ca="1">G15-(VLOOKUP(B15,DD_Normal_Data,CELL("Col",B16),FALSE))</f>
        <v>-0.5</v>
      </c>
    </row>
    <row r="16" spans="1:109" ht="15">
      <c r="A16" s="18"/>
      <c r="B16" s="20"/>
      <c r="C16" s="15"/>
      <c r="D16" s="22" t="s">
        <v>176</v>
      </c>
      <c r="E16" s="23">
        <f>Weather_Input!C7</f>
        <v>33</v>
      </c>
      <c r="F16" s="24" t="s">
        <v>293</v>
      </c>
      <c r="G16" s="25">
        <f>IF(DAY(B15)=1,G15,G11+G15)</f>
        <v>397</v>
      </c>
      <c r="H16" s="30" t="s">
        <v>294</v>
      </c>
      <c r="I16" s="27">
        <f ca="1">G16-(VLOOKUP(B15,DD_Normal_Data,CELL("Col",C17),FALSE))</f>
        <v>25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36.5</v>
      </c>
      <c r="F17" s="24" t="s">
        <v>296</v>
      </c>
      <c r="G17" s="25">
        <f>IF(AND(DAY(B15)=1,MONTH(B15)=8),G15,G12+G15)</f>
        <v>5482</v>
      </c>
      <c r="H17" s="26" t="s">
        <v>296</v>
      </c>
      <c r="I17" s="27">
        <f ca="1">G17-(VLOOKUP(B15,DD_Normal_Data,CELL("Col",D14),FALSE))</f>
        <v>315</v>
      </c>
    </row>
    <row r="18" spans="1:109" ht="15">
      <c r="A18" s="18"/>
      <c r="B18" s="20"/>
      <c r="C18" s="15"/>
      <c r="D18" s="32" t="str">
        <f>IF(Weather_Input!I7=""," ",Weather_Input!I7)</f>
        <v xml:space="preserve">  CLOUDY WITH RAIN AT TIMES; WINDY IN THE AFTERNOON.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36963</v>
      </c>
      <c r="C20" s="15"/>
      <c r="D20" s="22" t="s">
        <v>290</v>
      </c>
      <c r="E20" s="23">
        <f>Weather_Input!B8</f>
        <v>41</v>
      </c>
      <c r="F20" s="24" t="s">
        <v>291</v>
      </c>
      <c r="G20" s="25">
        <f>IF(E22&lt;65,65-(Weather_Input!B8+Weather_Input!C8)/2,0)</f>
        <v>32</v>
      </c>
      <c r="H20" s="26" t="s">
        <v>292</v>
      </c>
      <c r="I20" s="27">
        <f ca="1">G20-(VLOOKUP(B20,DD_Normal_Data,CELL("Col",B21),FALSE))</f>
        <v>3</v>
      </c>
    </row>
    <row r="21" spans="1:109" ht="15">
      <c r="A21" s="18"/>
      <c r="B21" s="21"/>
      <c r="C21" s="15"/>
      <c r="D21" s="22" t="s">
        <v>176</v>
      </c>
      <c r="E21" s="23">
        <f>Weather_Input!C8</f>
        <v>25</v>
      </c>
      <c r="F21" s="24" t="s">
        <v>293</v>
      </c>
      <c r="G21" s="25">
        <f>IF(DAY(B20)=1,G20,G16+G20)</f>
        <v>429</v>
      </c>
      <c r="H21" s="30" t="s">
        <v>294</v>
      </c>
      <c r="I21" s="27">
        <f ca="1">G21-(VLOOKUP(B20,DD_Normal_Data,CELL("Col",C22),FALSE))</f>
        <v>28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33</v>
      </c>
      <c r="F22" s="24" t="s">
        <v>296</v>
      </c>
      <c r="G22" s="25">
        <f>IF(AND(DAY(B20)=1,MONTH(B20)=8),G20,G17+G20)</f>
        <v>5514</v>
      </c>
      <c r="H22" s="26" t="s">
        <v>296</v>
      </c>
      <c r="I22" s="27">
        <f ca="1">G22-(VLOOKUP(B20,DD_Normal_Data,CELL("Col",D19),FALSE))</f>
        <v>318</v>
      </c>
    </row>
    <row r="23" spans="1:109" ht="15">
      <c r="A23" s="18"/>
      <c r="B23" s="21"/>
      <c r="C23" s="15"/>
      <c r="D23" s="32" t="str">
        <f>IF(Weather_Input!I8=""," ",Weather_Input!I8)</f>
        <v xml:space="preserve">  WINDY; FREQUENT SHOWERS IN THE MORNING FOLLOWED BY AFTERNOON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 SNOW FLURRIES.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36964</v>
      </c>
      <c r="C25" s="15"/>
      <c r="D25" s="22" t="s">
        <v>290</v>
      </c>
      <c r="E25" s="23">
        <f>Weather_Input!B9</f>
        <v>38</v>
      </c>
      <c r="F25" s="24" t="s">
        <v>291</v>
      </c>
      <c r="G25" s="25">
        <f>IF(E27&lt;65,65-(Weather_Input!B9+Weather_Input!C9)/2,0)</f>
        <v>32.5</v>
      </c>
      <c r="H25" s="26" t="s">
        <v>292</v>
      </c>
      <c r="I25" s="27">
        <f ca="1">G25-(VLOOKUP(B25,DD_Normal_Data,CELL("Col",B26),FALSE))</f>
        <v>3.5</v>
      </c>
    </row>
    <row r="26" spans="1:109" ht="15">
      <c r="A26" s="18"/>
      <c r="B26" s="21"/>
      <c r="C26" s="15"/>
      <c r="D26" s="22" t="s">
        <v>176</v>
      </c>
      <c r="E26" s="23">
        <f>Weather_Input!C9</f>
        <v>27</v>
      </c>
      <c r="F26" s="24" t="s">
        <v>293</v>
      </c>
      <c r="G26" s="25">
        <f>IF(DAY(B25)=1,G25,G21+G25)</f>
        <v>461.5</v>
      </c>
      <c r="H26" s="30" t="s">
        <v>294</v>
      </c>
      <c r="I26" s="27">
        <f ca="1">G26-(VLOOKUP(B25,DD_Normal_Data,CELL("Col",C27),FALSE))</f>
        <v>31.5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32.5</v>
      </c>
      <c r="F27" s="24" t="s">
        <v>296</v>
      </c>
      <c r="G27" s="25">
        <f>IF(AND(DAY(B25)=1,MONTH(B25)=8),G25,G22+G25)</f>
        <v>5546.5</v>
      </c>
      <c r="H27" s="26" t="s">
        <v>296</v>
      </c>
      <c r="I27" s="27">
        <f ca="1">G27-(VLOOKUP(B25,DD_Normal_Data,CELL("Col",D24),FALSE))</f>
        <v>321.5</v>
      </c>
    </row>
    <row r="28" spans="1:109" ht="15">
      <c r="A28" s="18"/>
      <c r="B28" s="20"/>
      <c r="C28" s="15"/>
      <c r="D28" s="32" t="str">
        <f>IF(Weather_Input!I9=""," ",Weather_Input!I9)</f>
        <v xml:space="preserve">  WINDY; FREQUENT SHOWERS IN THE MORNING FOLLOWED BY AFTERNOON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 SNOW FLURRIES.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36965</v>
      </c>
      <c r="C30" s="15"/>
      <c r="D30" s="22" t="s">
        <v>290</v>
      </c>
      <c r="E30" s="23">
        <f>Weather_Input!B10</f>
        <v>38</v>
      </c>
      <c r="F30" s="24" t="s">
        <v>291</v>
      </c>
      <c r="G30" s="25">
        <f>IF(E32&lt;65,65-(Weather_Input!B10+Weather_Input!C10)/2,0)</f>
        <v>32.5</v>
      </c>
      <c r="H30" s="26" t="s">
        <v>292</v>
      </c>
      <c r="I30" s="27">
        <f ca="1">G30-(VLOOKUP(B30,DD_Normal_Data,CELL("Col",B31),FALSE))</f>
        <v>4.5</v>
      </c>
    </row>
    <row r="31" spans="1:109" ht="15">
      <c r="A31" s="15"/>
      <c r="B31" s="15"/>
      <c r="C31" s="15"/>
      <c r="D31" s="22" t="s">
        <v>176</v>
      </c>
      <c r="E31" s="23">
        <f>Weather_Input!C10</f>
        <v>27</v>
      </c>
      <c r="F31" s="24" t="s">
        <v>293</v>
      </c>
      <c r="G31" s="25">
        <f>IF(DAY(B30)=1,G30,G26+G30)</f>
        <v>494</v>
      </c>
      <c r="H31" s="30" t="s">
        <v>294</v>
      </c>
      <c r="I31" s="27">
        <f ca="1">G31-(VLOOKUP(B30,DD_Normal_Data,CELL("Col",C32),FALSE))</f>
        <v>36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32.5</v>
      </c>
      <c r="F32" s="24" t="s">
        <v>296</v>
      </c>
      <c r="G32" s="25">
        <f>IF(AND(DAY(B30)=1,MONTH(B30)=8),G30,G27+G30)</f>
        <v>5579</v>
      </c>
      <c r="H32" s="26" t="s">
        <v>296</v>
      </c>
      <c r="I32" s="27">
        <f ca="1">G32-(VLOOKUP(B30,DD_Normal_Data,CELL("Col",D29),FALSE))</f>
        <v>326</v>
      </c>
    </row>
    <row r="33" spans="1:9" ht="15">
      <c r="A33" s="15"/>
      <c r="B33" s="34"/>
      <c r="C33" s="15"/>
      <c r="D33" s="32" t="str">
        <f>IF(Weather_Input!I10=""," ",Weather_Input!I10)</f>
        <v xml:space="preserve">  WINDY; FREQUENT SHOWERS IN THE MORNING FOLLOWED BY AFTERNOON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 SNOW FLURRIES.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36960</v>
      </c>
      <c r="C36" s="91">
        <f>B10</f>
        <v>36961</v>
      </c>
      <c r="D36" s="91">
        <f>B15</f>
        <v>36962</v>
      </c>
      <c r="E36" s="91">
        <f xml:space="preserve">       B20</f>
        <v>36963</v>
      </c>
      <c r="F36" s="91">
        <f>B25</f>
        <v>36964</v>
      </c>
      <c r="G36" s="91">
        <f>B30</f>
        <v>36965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780</v>
      </c>
      <c r="C37" s="41">
        <f ca="1">(VLOOKUP(C36,PGL_Sendouts,(CELL("COL",PGL_Deliveries!C7))))/1000</f>
        <v>855</v>
      </c>
      <c r="D37" s="41">
        <f ca="1">(VLOOKUP(D36,PGL_Sendouts,(CELL("COL",PGL_Deliveries!C8))))/1000</f>
        <v>840</v>
      </c>
      <c r="E37" s="41">
        <f ca="1">(VLOOKUP(E36,PGL_Sendouts,(CELL("COL",PGL_Deliveries!C9))))/1000</f>
        <v>900</v>
      </c>
      <c r="F37" s="41">
        <f ca="1">(VLOOKUP(F36,PGL_Sendouts,(CELL("COL",PGL_Deliveries!C10))))/1000</f>
        <v>920</v>
      </c>
      <c r="G37" s="41">
        <f ca="1">(VLOOKUP(G36,PGL_Sendouts,(CELL("COL",PGL_Deliveries!C10))))/1000</f>
        <v>920</v>
      </c>
      <c r="H37" s="14"/>
      <c r="I37" s="15"/>
    </row>
    <row r="38" spans="1:9" ht="15">
      <c r="A38" s="15" t="s">
        <v>301</v>
      </c>
      <c r="B38" s="41">
        <f>PGL_6_Day_Report!D30</f>
        <v>1083.5400000000002</v>
      </c>
      <c r="C38" s="41">
        <f>PGL_6_Day_Report!E30</f>
        <v>1109.4100000000001</v>
      </c>
      <c r="D38" s="41">
        <f>PGL_6_Day_Report!F30</f>
        <v>1094.4100000000001</v>
      </c>
      <c r="E38" s="41">
        <f>PGL_6_Day_Report!G30</f>
        <v>1154.4100000000001</v>
      </c>
      <c r="F38" s="41">
        <f>PGL_6_Day_Report!H30</f>
        <v>1174.4100000000001</v>
      </c>
      <c r="G38" s="41">
        <f>PGL_6_Day_Report!I30</f>
        <v>1174.4100000000001</v>
      </c>
      <c r="H38" s="14"/>
      <c r="I38" s="15"/>
    </row>
    <row r="39" spans="1:9" ht="15">
      <c r="A39" s="42" t="s">
        <v>109</v>
      </c>
      <c r="B39" s="41">
        <f>SUM(PGL_Supplies!Z7:AE7)/1000</f>
        <v>792.52800000000002</v>
      </c>
      <c r="C39" s="41">
        <f>SUM(PGL_Supplies!Z8:AE8)/1000</f>
        <v>792.52800000000002</v>
      </c>
      <c r="D39" s="41">
        <f>SUM(PGL_Supplies!Z9:AE9)/1000</f>
        <v>792.52800000000002</v>
      </c>
      <c r="E39" s="41">
        <f>SUM(PGL_Supplies!Z10:AE10)/1000</f>
        <v>792.52800000000002</v>
      </c>
      <c r="F39" s="41">
        <f>SUM(PGL_Supplies!Z11:AE11)/1000</f>
        <v>792.52800000000002</v>
      </c>
      <c r="G39" s="41">
        <f>SUM(PGL_Supplies!Z12:AE12)/1000</f>
        <v>792.52800000000002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302.17899999999997</v>
      </c>
      <c r="C42" s="41">
        <f>PGL_Supplies!V8/1000</f>
        <v>302.17899999999997</v>
      </c>
      <c r="D42" s="41">
        <f>PGL_Supplies!V9/1000</f>
        <v>302.17899999999997</v>
      </c>
      <c r="E42" s="41">
        <f>PGL_Supplies!V10/1000</f>
        <v>302.17899999999997</v>
      </c>
      <c r="F42" s="41">
        <f>PGL_Supplies!V11/1000</f>
        <v>302.17899999999997</v>
      </c>
      <c r="G42" s="41">
        <f>PGL_Supplies!V12/1000</f>
        <v>302.17899999999997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36960</v>
      </c>
      <c r="C44" s="91">
        <f t="shared" si="0"/>
        <v>36961</v>
      </c>
      <c r="D44" s="91">
        <f t="shared" si="0"/>
        <v>36962</v>
      </c>
      <c r="E44" s="91">
        <f t="shared" si="0"/>
        <v>36963</v>
      </c>
      <c r="F44" s="91">
        <f t="shared" si="0"/>
        <v>36964</v>
      </c>
      <c r="G44" s="91">
        <f t="shared" si="0"/>
        <v>36965</v>
      </c>
      <c r="H44" s="14"/>
      <c r="I44" s="15"/>
    </row>
    <row r="45" spans="1:9" ht="15">
      <c r="A45" s="15" t="s">
        <v>56</v>
      </c>
      <c r="B45" s="41">
        <f ca="1">NSG_6_Day_Report!D6</f>
        <v>128</v>
      </c>
      <c r="C45" s="41">
        <f ca="1">NSG_6_Day_Report!E6</f>
        <v>143</v>
      </c>
      <c r="D45" s="41">
        <f ca="1">NSG_6_Day_Report!F6</f>
        <v>140</v>
      </c>
      <c r="E45" s="41">
        <f ca="1">NSG_6_Day_Report!G6</f>
        <v>148</v>
      </c>
      <c r="F45" s="41">
        <f ca="1">NSG_6_Day_Report!H6</f>
        <v>152</v>
      </c>
      <c r="G45" s="41">
        <f ca="1">NSG_6_Day_Report!I6</f>
        <v>152</v>
      </c>
      <c r="H45" s="14"/>
      <c r="I45" s="15"/>
    </row>
    <row r="46" spans="1:9" ht="15">
      <c r="A46" s="42" t="s">
        <v>301</v>
      </c>
      <c r="B46" s="41">
        <f ca="1">NSG_6_Day_Report!D19</f>
        <v>133.80000000000001</v>
      </c>
      <c r="C46" s="41">
        <f ca="1">NSG_6_Day_Report!E19</f>
        <v>143</v>
      </c>
      <c r="D46" s="41">
        <f ca="1">NSG_6_Day_Report!F19</f>
        <v>140</v>
      </c>
      <c r="E46" s="41">
        <f ca="1">NSG_6_Day_Report!G19</f>
        <v>148</v>
      </c>
      <c r="F46" s="41">
        <f ca="1">NSG_6_Day_Report!H19</f>
        <v>152</v>
      </c>
      <c r="G46" s="41">
        <f ca="1">NSG_6_Day_Report!I19</f>
        <v>152</v>
      </c>
      <c r="H46" s="14"/>
      <c r="I46" s="15"/>
    </row>
    <row r="47" spans="1:9" ht="15">
      <c r="A47" s="42" t="s">
        <v>109</v>
      </c>
      <c r="B47" s="41">
        <f>SUM(NSG_Supplies!P7:R7)/1000</f>
        <v>103.80200000000001</v>
      </c>
      <c r="C47" s="41">
        <f>SUM(NSG_Supplies!P8:R8)/1000</f>
        <v>103.80200000000001</v>
      </c>
      <c r="D47" s="41">
        <f>SUM(NSG_Supplies!P9:R9)/1000</f>
        <v>103.80200000000001</v>
      </c>
      <c r="E47" s="41">
        <f>SUM(NSG_Supplies!P10:R10)/1000</f>
        <v>103.80200000000001</v>
      </c>
      <c r="F47" s="41">
        <f>SUM(NSG_Supplies!P11:R11)/1000</f>
        <v>103.80200000000001</v>
      </c>
      <c r="G47" s="41">
        <f>SUM(NSG_Supplies!P12:R12)/1000</f>
        <v>103.80200000000001</v>
      </c>
      <c r="H47" s="14"/>
      <c r="I47" s="15"/>
    </row>
    <row r="48" spans="1:9" ht="15">
      <c r="A48" s="42" t="s">
        <v>302</v>
      </c>
      <c r="B48" s="41">
        <f>SUM(NSG_Supplies!I7:M7)/1000</f>
        <v>30</v>
      </c>
      <c r="C48" s="41">
        <f>SUM(NSG_Supplies!I8:M8)/1000</f>
        <v>30</v>
      </c>
      <c r="D48" s="41">
        <f>SUM(NSG_Supplies!I9:M9)/1000</f>
        <v>30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33.817999999999998</v>
      </c>
      <c r="C50" s="41">
        <f>NSG_Supplies!S8/1000</f>
        <v>33.817999999999998</v>
      </c>
      <c r="D50" s="41">
        <f>NSG_Supplies!S9/1000</f>
        <v>33.817999999999998</v>
      </c>
      <c r="E50" s="41">
        <f>NSG_Supplies!S10/1000</f>
        <v>33.817999999999998</v>
      </c>
      <c r="F50" s="41">
        <f>NSG_Supplies!S11/1000</f>
        <v>33.817999999999998</v>
      </c>
      <c r="G50" s="41">
        <f>NSG_Supplies!S12/1000</f>
        <v>33.817999999999998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36960</v>
      </c>
      <c r="C52" s="91">
        <f t="shared" si="1"/>
        <v>36961</v>
      </c>
      <c r="D52" s="91">
        <f t="shared" si="1"/>
        <v>36962</v>
      </c>
      <c r="E52" s="91">
        <f t="shared" si="1"/>
        <v>36963</v>
      </c>
      <c r="F52" s="91">
        <f t="shared" si="1"/>
        <v>36964</v>
      </c>
      <c r="G52" s="91">
        <f t="shared" si="1"/>
        <v>36965</v>
      </c>
      <c r="H52" s="14"/>
      <c r="I52" s="15"/>
    </row>
    <row r="53" spans="1:9" ht="15">
      <c r="A53" s="94" t="s">
        <v>305</v>
      </c>
      <c r="B53" s="41">
        <f>PGL_Requirements!P7/1000</f>
        <v>250</v>
      </c>
      <c r="C53" s="41">
        <f>PGL_Requirements!P8/1000</f>
        <v>250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Sunday</v>
      </c>
      <c r="C4" s="1144" t="str">
        <f>Six_Day_Summary!A15</f>
        <v>Monday</v>
      </c>
      <c r="D4" s="1144" t="str">
        <f>Six_Day_Summary!A20</f>
        <v>Tuesday</v>
      </c>
      <c r="E4" s="1144" t="str">
        <f>Six_Day_Summary!A25</f>
        <v>Wednesday</v>
      </c>
      <c r="F4" s="1145" t="str">
        <f>Six_Day_Summary!A30</f>
        <v>Thursday</v>
      </c>
      <c r="G4" s="100"/>
    </row>
    <row r="5" spans="1:8">
      <c r="A5" s="103" t="s">
        <v>312</v>
      </c>
      <c r="B5" s="1146">
        <f>Weather_Input!A6</f>
        <v>36961</v>
      </c>
      <c r="C5" s="1147">
        <f>Weather_Input!A7</f>
        <v>36962</v>
      </c>
      <c r="D5" s="1147">
        <f>Weather_Input!A8</f>
        <v>36963</v>
      </c>
      <c r="E5" s="1147">
        <f>Weather_Input!A9</f>
        <v>36964</v>
      </c>
      <c r="F5" s="1148">
        <f>Weather_Input!A10</f>
        <v>36965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256.33199999999999</v>
      </c>
      <c r="C6" s="1149">
        <f>PGL_Supplies!AC9/1000+PGL_Supplies!L9/1000-PGL_Requirements!O9/1000+C15-PGL_Requirements!T9/1000</f>
        <v>256.33199999999999</v>
      </c>
      <c r="D6" s="1149">
        <f>PGL_Supplies!AC10/1000+PGL_Supplies!L10/1000-PGL_Requirements!O10/1000+D15-PGL_Requirements!T10/1000</f>
        <v>256.33199999999999</v>
      </c>
      <c r="E6" s="1149">
        <f>PGL_Supplies!AC11/1000+PGL_Supplies!L11/1000-PGL_Requirements!O11/1000+E15-PGL_Requirements!T11/1000</f>
        <v>256.33199999999999</v>
      </c>
      <c r="F6" s="1150">
        <f>PGL_Supplies!AC12/1000+PGL_Supplies!L12/1000-PGL_Requirements!O12/1000+F15-PGL_Requirements!T12/1000</f>
        <v>256.33199999999999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144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Sunday</v>
      </c>
      <c r="C21" s="1159" t="str">
        <f t="shared" si="0"/>
        <v>Monday</v>
      </c>
      <c r="D21" s="1159" t="str">
        <f t="shared" si="0"/>
        <v>Tuesday</v>
      </c>
      <c r="E21" s="1159" t="str">
        <f t="shared" si="0"/>
        <v>Wednesday</v>
      </c>
      <c r="F21" s="1160" t="str">
        <f t="shared" si="0"/>
        <v>Thursday</v>
      </c>
      <c r="G21" s="100"/>
    </row>
    <row r="22" spans="1:7">
      <c r="A22" s="107" t="s">
        <v>312</v>
      </c>
      <c r="B22" s="1161">
        <f t="shared" si="0"/>
        <v>36961</v>
      </c>
      <c r="C22" s="1161">
        <f t="shared" si="0"/>
        <v>36962</v>
      </c>
      <c r="D22" s="1161">
        <f t="shared" si="0"/>
        <v>36963</v>
      </c>
      <c r="E22" s="1161">
        <f t="shared" si="0"/>
        <v>36964</v>
      </c>
      <c r="F22" s="1162">
        <f t="shared" si="0"/>
        <v>36965</v>
      </c>
      <c r="G22" s="100"/>
    </row>
    <row r="23" spans="1:7">
      <c r="A23" s="100" t="s">
        <v>313</v>
      </c>
      <c r="B23" s="1155">
        <f>NSG_Supplies!R8/1000+NSG_Supplies!F8/1000-NSG_Requirements!H8/1000</f>
        <v>83.802000000000007</v>
      </c>
      <c r="C23" s="1155">
        <f>NSG_Supplies!R9/1000+NSG_Supplies!F9/1000-NSG_Requirements!H9/1000</f>
        <v>83.802000000000007</v>
      </c>
      <c r="D23" s="1155">
        <f>NSG_Supplies!R10/1000+NSG_Supplies!F10/1000-NSG_Requirements!H10/1000</f>
        <v>83.802000000000007</v>
      </c>
      <c r="E23" s="1155">
        <f>NSG_Supplies!R12/1000+NSG_Supplies!F11/1000-NSG_Requirements!H11/1000</f>
        <v>83.802000000000007</v>
      </c>
      <c r="F23" s="1150">
        <f>NSG_Supplies!R12/1000+NSG_Supplies!F12/1000-NSG_Requirements!H12/1000</f>
        <v>83.802000000000007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36961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250</v>
      </c>
      <c r="I4" s="176">
        <f>AVERAGE(H4/1.025)</f>
        <v>243.90243902439028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30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30</v>
      </c>
      <c r="D10" s="438"/>
      <c r="E10" s="440">
        <f>AVERAGE(C10/24)</f>
        <v>1.25</v>
      </c>
      <c r="F10" s="172" t="s">
        <v>450</v>
      </c>
      <c r="G10" s="154">
        <f>PGL_Supplies!AB8/1000</f>
        <v>260.45400000000001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282.01</v>
      </c>
      <c r="D11" s="790"/>
      <c r="E11" s="1132"/>
      <c r="F11" s="435" t="s">
        <v>379</v>
      </c>
      <c r="G11" s="447">
        <f>G8+G10</f>
        <v>260.45400000000001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282.01</v>
      </c>
      <c r="D14" s="438"/>
      <c r="E14" s="440">
        <f>AVERAGE(C14/24)</f>
        <v>11.750416666666666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45</v>
      </c>
      <c r="D15" s="60"/>
      <c r="E15" s="161"/>
      <c r="F15" s="783" t="s">
        <v>564</v>
      </c>
      <c r="G15" s="447">
        <f>G8+G10</f>
        <v>260.45400000000001</v>
      </c>
      <c r="H15" s="438"/>
      <c r="I15" s="440">
        <f>AVERAGE(G15/24)</f>
        <v>10.85225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45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45</v>
      </c>
      <c r="D20" s="441" t="s">
        <v>11</v>
      </c>
      <c r="E20" s="440">
        <f>AVERAGE(C20/24)</f>
        <v>1.875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124.542</v>
      </c>
      <c r="D21" s="154" t="s">
        <v>11</v>
      </c>
      <c r="E21" s="161"/>
      <c r="F21" s="172" t="s">
        <v>109</v>
      </c>
      <c r="G21" s="154">
        <f>PGL_Supplies!AD8/1000</f>
        <v>106.2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124.542</v>
      </c>
      <c r="D22" s="434"/>
      <c r="E22" s="436"/>
      <c r="F22" s="435" t="s">
        <v>379</v>
      </c>
      <c r="G22" s="447">
        <f>G21</f>
        <v>106.2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124.542</v>
      </c>
      <c r="D25" s="438"/>
      <c r="E25" s="440">
        <f>AVERAGE(C25/24)</f>
        <v>5.1892500000000004</v>
      </c>
      <c r="F25" s="552" t="s">
        <v>556</v>
      </c>
      <c r="G25" s="906">
        <f>G22+G23-H24+G20</f>
        <v>106.2</v>
      </c>
      <c r="H25" s="430"/>
      <c r="I25" s="907">
        <f>AVERAGE(G25/24)</f>
        <v>4.4249999999999998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topLeftCell="A32" workbookViewId="0">
      <selection activeCell="C57" sqref="C57"/>
    </sheetView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36961</v>
      </c>
      <c r="I1" s="933"/>
      <c r="J1" s="935"/>
      <c r="K1" s="935"/>
    </row>
    <row r="2" spans="1:22" ht="16.5" customHeight="1">
      <c r="A2" s="953" t="s">
        <v>688</v>
      </c>
      <c r="C2" s="1048">
        <v>282</v>
      </c>
      <c r="F2" s="1049">
        <v>260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143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45</v>
      </c>
      <c r="B11" s="1053"/>
      <c r="H11" s="955">
        <f>NSG_Supplies!U8/1000</f>
        <v>0</v>
      </c>
      <c r="K11" s="936" t="s">
        <v>693</v>
      </c>
      <c r="L11" s="961">
        <f>SUM(K4+K17+K19+H11+H9-L9)</f>
        <v>-9.1979999999999791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282.01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340</v>
      </c>
      <c r="F15" s="1054">
        <v>340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30</v>
      </c>
      <c r="N17" s="955"/>
    </row>
    <row r="18" spans="1:17" ht="15" customHeight="1">
      <c r="A18" s="941"/>
      <c r="C18" s="1054">
        <v>473</v>
      </c>
      <c r="D18" s="1056"/>
      <c r="E18" s="1056"/>
      <c r="F18" s="1049">
        <v>473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83.802000000000007</v>
      </c>
      <c r="N19" s="1059"/>
    </row>
    <row r="20" spans="1:17" ht="17.25" customHeight="1">
      <c r="A20" s="955">
        <f>Billy_Sheet!G15</f>
        <v>260.45400000000001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124.542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106.2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855</v>
      </c>
      <c r="L26" s="933" t="s">
        <v>692</v>
      </c>
      <c r="M26" s="955">
        <f>NSG_Deliveries!C6/1000</f>
        <v>143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572.20600000000002</v>
      </c>
      <c r="L28" s="936" t="s">
        <v>746</v>
      </c>
      <c r="M28" s="961">
        <f>SUM(J2+K17+K19+H11+H9-M26)</f>
        <v>-9.1979999999999791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36960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256.33199999999999</v>
      </c>
    </row>
    <row r="30" spans="1:17" ht="10.5" customHeight="1">
      <c r="A30" s="938"/>
      <c r="B30" s="955"/>
      <c r="C30" s="936"/>
      <c r="D30" s="955"/>
      <c r="F30" s="1114">
        <f>PGL_Requirements!A8</f>
        <v>36961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-26.461999999999989</v>
      </c>
    </row>
    <row r="32" spans="1:17">
      <c r="A32" s="955">
        <f>PGL_Supplies!H8/1000</f>
        <v>1</v>
      </c>
      <c r="G32" s="955">
        <f>PGL_Requirements!P8/1000</f>
        <v>250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495</v>
      </c>
      <c r="F38" s="1054">
        <v>693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822.20600000000002</v>
      </c>
      <c r="B40" s="949"/>
      <c r="C40" s="948"/>
      <c r="D40" s="949"/>
      <c r="E40" s="949"/>
      <c r="F40" s="1064"/>
      <c r="G40" s="1064">
        <f>SUM(G30:G35)</f>
        <v>250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572.20600000000002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300</v>
      </c>
      <c r="E45" s="1069"/>
      <c r="F45" s="1070">
        <v>6.7000000000000004E-2</v>
      </c>
      <c r="G45" s="1071">
        <f>(C45-D45)*F45</f>
        <v>-9.7149999999999999</v>
      </c>
      <c r="H45" s="1071">
        <f>(D45-B45)*F45</f>
        <v>18.760000000000002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583</v>
      </c>
      <c r="E46" s="1069"/>
      <c r="F46" s="1070">
        <v>0.13900000000000001</v>
      </c>
      <c r="G46" s="1071">
        <f>(C46-D46)*F46</f>
        <v>-59.492000000000004</v>
      </c>
      <c r="H46" s="1071">
        <f>(D46-B46)*F46</f>
        <v>78.257000000000005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311</v>
      </c>
      <c r="E47" s="1069"/>
      <c r="F47" s="1070">
        <v>0.14099999999999999</v>
      </c>
      <c r="G47" s="1071">
        <f>(C47-D47)*F47</f>
        <v>26.648999999999997</v>
      </c>
      <c r="H47" s="1071">
        <f>(D47-B47)*F47</f>
        <v>8.6009999999999991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484</v>
      </c>
      <c r="E48" s="1069"/>
      <c r="F48" s="1070">
        <v>0.161</v>
      </c>
      <c r="G48" s="1071">
        <f>(C48-D48)*F48</f>
        <v>50.876000000000005</v>
      </c>
      <c r="H48" s="1071">
        <f>(D48-B48)*F48</f>
        <v>13.524000000000001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8.3179999999999978</v>
      </c>
      <c r="H49" s="1071">
        <f>SUM(H45:H48)</f>
        <v>119.14200000000001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36960</v>
      </c>
      <c r="B5" s="11">
        <v>49</v>
      </c>
      <c r="C5" s="49">
        <v>31</v>
      </c>
      <c r="D5" s="49">
        <v>12</v>
      </c>
      <c r="E5" s="11" t="s">
        <v>787</v>
      </c>
      <c r="F5" s="11">
        <v>338</v>
      </c>
      <c r="G5" s="11">
        <v>5423</v>
      </c>
      <c r="H5" s="11">
        <v>31</v>
      </c>
      <c r="I5" s="912" t="s">
        <v>794</v>
      </c>
      <c r="J5" s="912" t="s">
        <v>11</v>
      </c>
      <c r="K5" s="11">
        <v>3</v>
      </c>
      <c r="L5" s="11">
        <v>1</v>
      </c>
      <c r="N5" s="15" t="str">
        <f>I5&amp;" "&amp;I5</f>
        <v xml:space="preserve">  SEVERAL HOURS OF SUN, TURNING BREEZY IN THE AFTERNOON.   SEVERAL HOURS OF SUN, TURNING BREEZY IN THE AFTERNOON.</v>
      </c>
      <c r="AE5" s="15">
        <v>1</v>
      </c>
      <c r="AH5" s="15" t="s">
        <v>34</v>
      </c>
    </row>
    <row r="6" spans="1:34" ht="16.5" customHeight="1">
      <c r="A6" s="88">
        <f>A5+1</f>
        <v>36961</v>
      </c>
      <c r="B6" s="11">
        <v>39</v>
      </c>
      <c r="C6" s="49">
        <v>30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12" t="s">
        <v>795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OMINOUS CLOUDS  </v>
      </c>
      <c r="AE6" s="15">
        <v>1</v>
      </c>
      <c r="AH6" s="15" t="s">
        <v>35</v>
      </c>
    </row>
    <row r="7" spans="1:34" ht="16.5" customHeight="1">
      <c r="A7" s="88">
        <f>A6+1</f>
        <v>36962</v>
      </c>
      <c r="B7" s="11">
        <v>40</v>
      </c>
      <c r="C7" s="49">
        <v>33</v>
      </c>
      <c r="D7" s="49">
        <v>15</v>
      </c>
      <c r="E7" s="11" t="s">
        <v>11</v>
      </c>
      <c r="F7" s="11" t="s">
        <v>11</v>
      </c>
      <c r="G7" s="11"/>
      <c r="H7" s="11" t="s">
        <v>11</v>
      </c>
      <c r="I7" s="912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CLOUDY WITH RAIN AT TIMES; WINDY IN THE AFTERNOON.  </v>
      </c>
    </row>
    <row r="8" spans="1:34" ht="16.5" customHeight="1">
      <c r="A8" s="88">
        <f>A7+1</f>
        <v>36963</v>
      </c>
      <c r="B8" s="11">
        <v>41</v>
      </c>
      <c r="C8" s="49">
        <v>25</v>
      </c>
      <c r="D8" s="49">
        <v>13</v>
      </c>
      <c r="E8" s="11" t="s">
        <v>11</v>
      </c>
      <c r="F8" s="11" t="s">
        <v>11</v>
      </c>
      <c r="G8" s="11"/>
      <c r="H8" s="11" t="s">
        <v>11</v>
      </c>
      <c r="I8" s="912" t="s">
        <v>797</v>
      </c>
      <c r="J8" s="912" t="s">
        <v>798</v>
      </c>
      <c r="K8" s="11">
        <v>2</v>
      </c>
      <c r="L8" s="11">
        <v>0</v>
      </c>
      <c r="N8" s="15" t="str">
        <f>I8&amp;" "&amp;J8</f>
        <v xml:space="preserve">  WINDY; FREQUENT SHOWERS IN THE MORNING FOLLOWED BY AFTERNOON   SNOW FLURRIES.</v>
      </c>
    </row>
    <row r="9" spans="1:34" ht="16.5" customHeight="1">
      <c r="A9" s="88">
        <f>A8+1</f>
        <v>36964</v>
      </c>
      <c r="B9" s="11">
        <v>38</v>
      </c>
      <c r="C9" s="49">
        <v>27</v>
      </c>
      <c r="D9" s="49">
        <v>13</v>
      </c>
      <c r="E9" s="11" t="s">
        <v>11</v>
      </c>
      <c r="F9" s="11" t="s">
        <v>11</v>
      </c>
      <c r="G9" s="11"/>
      <c r="H9" s="11" t="s">
        <v>11</v>
      </c>
      <c r="I9" s="912" t="s">
        <v>797</v>
      </c>
      <c r="J9" s="912" t="s">
        <v>798</v>
      </c>
      <c r="K9" s="11">
        <v>5</v>
      </c>
      <c r="L9" s="11">
        <v>0</v>
      </c>
      <c r="M9" s="89"/>
      <c r="N9" s="15" t="str">
        <f>I10&amp;" "&amp;J9</f>
        <v xml:space="preserve">  WINDY; FREQUENT SHOWERS IN THE MORNING FOLLOWED BY AFTERNOON   SNOW FLURRIES.</v>
      </c>
    </row>
    <row r="10" spans="1:34" ht="16.5" customHeight="1">
      <c r="A10" s="88">
        <f>A9+1</f>
        <v>36965</v>
      </c>
      <c r="B10" s="11">
        <v>38</v>
      </c>
      <c r="C10" s="49">
        <v>27</v>
      </c>
      <c r="D10" s="49">
        <v>13</v>
      </c>
      <c r="E10" s="11" t="s">
        <v>11</v>
      </c>
      <c r="F10" s="11" t="s">
        <v>11</v>
      </c>
      <c r="G10" s="11"/>
      <c r="H10" s="11" t="s">
        <v>11</v>
      </c>
      <c r="I10" s="912" t="s">
        <v>797</v>
      </c>
      <c r="J10" s="912" t="s">
        <v>798</v>
      </c>
      <c r="K10" s="11">
        <v>5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36960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282.01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282.01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45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124.542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106.2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21.13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256.33199999999999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250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247.51299999999998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260.45400000000001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49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31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12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36960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83.802000000000007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30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84.78</v>
      </c>
      <c r="C27" s="148"/>
      <c r="D27" s="241" t="s">
        <v>355</v>
      </c>
      <c r="E27" s="221">
        <f>SUM(E18:E26)-SUM(F18:F26)</f>
        <v>30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topLeftCell="B6" workbookViewId="0">
      <selection activeCell="B6" sqref="B6:S6"/>
    </sheetView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36960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36959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346187</v>
      </c>
      <c r="O6" s="204">
        <v>0</v>
      </c>
      <c r="P6" s="204">
        <v>34865642</v>
      </c>
      <c r="Q6" s="204">
        <v>15045098</v>
      </c>
      <c r="R6" s="204">
        <v>19820544</v>
      </c>
      <c r="S6" s="204">
        <v>0</v>
      </c>
    </row>
    <row r="7" spans="1:19">
      <c r="A7" s="4">
        <f>B1</f>
        <v>36960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333785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35199427</v>
      </c>
      <c r="Q7">
        <f>IF(O7&gt;0,Q6+O7,Q6)</f>
        <v>15045098</v>
      </c>
      <c r="R7">
        <f>IF(P7&gt;Q7,P7-Q7,0)</f>
        <v>20154329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36960</v>
      </c>
      <c r="B5" s="1">
        <f>(Weather_Input!B5+Weather_Input!C5)/2</f>
        <v>40</v>
      </c>
      <c r="C5" s="913">
        <v>780000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36961</v>
      </c>
      <c r="B6" s="1">
        <f>(Weather_Input!B6+Weather_Input!C6)/2</f>
        <v>34.5</v>
      </c>
      <c r="C6" s="913">
        <v>855000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36962</v>
      </c>
      <c r="B7" s="932">
        <f>(Weather_Input!B7+Weather_Input!C7)/2</f>
        <v>36.5</v>
      </c>
      <c r="C7" s="913">
        <v>840000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36963</v>
      </c>
      <c r="B8" s="932">
        <f>(Weather_Input!B8+Weather_Input!C8)/2</f>
        <v>33</v>
      </c>
      <c r="C8" s="913">
        <v>900000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36964</v>
      </c>
      <c r="B9" s="932">
        <f>(Weather_Input!B9+Weather_Input!C9)/2</f>
        <v>32.5</v>
      </c>
      <c r="C9" s="913">
        <v>920000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36965</v>
      </c>
      <c r="B10" s="932">
        <f>(Weather_Input!B10+Weather_Input!C10)/2</f>
        <v>32.5</v>
      </c>
      <c r="C10" s="913">
        <v>920000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36960</v>
      </c>
      <c r="B5" s="1">
        <f>(Weather_Input!B5+Weather_Input!C5)/2</f>
        <v>40</v>
      </c>
      <c r="C5" s="913">
        <v>128000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36961</v>
      </c>
      <c r="B6" s="1">
        <f>(Weather_Input!B6+Weather_Input!C6)/2</f>
        <v>34.5</v>
      </c>
      <c r="C6" s="913">
        <v>143000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36962</v>
      </c>
      <c r="B7" s="932">
        <f>(Weather_Input!B7+Weather_Input!C7)/2</f>
        <v>36.5</v>
      </c>
      <c r="C7" s="913">
        <v>140000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36963</v>
      </c>
      <c r="B8" s="932">
        <f>(Weather_Input!B8+Weather_Input!C8)/2</f>
        <v>33</v>
      </c>
      <c r="C8" s="913">
        <v>148000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36964</v>
      </c>
      <c r="B9" s="932">
        <f>(Weather_Input!B9+Weather_Input!C9)/2</f>
        <v>32.5</v>
      </c>
      <c r="C9" s="913">
        <v>152000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36965</v>
      </c>
      <c r="B10" s="932">
        <f>(Weather_Input!B10+Weather_Input!C10)/2</f>
        <v>32.5</v>
      </c>
      <c r="C10" s="913">
        <v>152000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G1" zoomScale="75" workbookViewId="0">
      <selection activeCell="O7" sqref="O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36960</v>
      </c>
      <c r="B7" s="922">
        <v>0</v>
      </c>
      <c r="C7" s="923">
        <v>0</v>
      </c>
      <c r="D7" s="626">
        <v>0</v>
      </c>
      <c r="E7" s="626">
        <v>0</v>
      </c>
      <c r="F7" s="922">
        <v>0</v>
      </c>
      <c r="G7" s="922">
        <v>28000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21130</v>
      </c>
      <c r="P7" s="626">
        <v>250000</v>
      </c>
      <c r="Q7" s="628">
        <f t="shared" ref="Q7:Q12" si="0">P7*0.015</f>
        <v>3750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36960</v>
      </c>
    </row>
    <row r="8" spans="1:89" s="1" customFormat="1" ht="12.75">
      <c r="A8" s="834">
        <f>A7+1</f>
        <v>36961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250000</v>
      </c>
      <c r="Q8" s="628">
        <f t="shared" si="0"/>
        <v>3750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36961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36962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36962</v>
      </c>
      <c r="AN9" s="625"/>
    </row>
    <row r="10" spans="1:89" s="1" customFormat="1" ht="12.75">
      <c r="A10" s="834">
        <f>A9+1</f>
        <v>36963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36963</v>
      </c>
    </row>
    <row r="11" spans="1:89" s="1" customFormat="1" ht="12.75">
      <c r="A11" s="834">
        <f>A10+1</f>
        <v>36964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36964</v>
      </c>
    </row>
    <row r="12" spans="1:89" s="1" customFormat="1" ht="12.75">
      <c r="A12" s="834">
        <f>A11+1</f>
        <v>36965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36965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E7" sqref="E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36960</v>
      </c>
      <c r="B7" s="628">
        <v>0</v>
      </c>
      <c r="C7" s="629">
        <v>0</v>
      </c>
      <c r="D7" s="628">
        <v>5000</v>
      </c>
      <c r="E7" s="628">
        <v>0</v>
      </c>
      <c r="F7" s="628">
        <v>0</v>
      </c>
      <c r="G7" s="922">
        <v>0</v>
      </c>
      <c r="H7" s="626">
        <v>1000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302179</v>
      </c>
      <c r="W7" s="627">
        <v>0</v>
      </c>
      <c r="X7" s="625">
        <v>0</v>
      </c>
      <c r="Y7" s="925">
        <v>282010</v>
      </c>
      <c r="Z7" s="627">
        <v>45000</v>
      </c>
      <c r="AA7" s="1">
        <v>124542</v>
      </c>
      <c r="AB7" s="625">
        <v>260454</v>
      </c>
      <c r="AC7" s="625">
        <v>256332</v>
      </c>
      <c r="AD7" s="625">
        <v>106200</v>
      </c>
      <c r="AE7" s="925">
        <v>0</v>
      </c>
      <c r="AF7" s="51">
        <f>Weather_Input!A5</f>
        <v>36960</v>
      </c>
      <c r="AI7" s="625"/>
      <c r="AJ7" s="625"/>
      <c r="AK7" s="625"/>
    </row>
    <row r="8" spans="1:37">
      <c r="A8" s="834">
        <f>A7+1</f>
        <v>36961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1000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302179</v>
      </c>
      <c r="W8" s="627">
        <v>0</v>
      </c>
      <c r="X8" s="625">
        <v>0</v>
      </c>
      <c r="Y8" s="925">
        <v>282010</v>
      </c>
      <c r="Z8" s="627">
        <v>45000</v>
      </c>
      <c r="AA8" s="1">
        <v>124542</v>
      </c>
      <c r="AB8" s="625">
        <v>260454</v>
      </c>
      <c r="AC8" s="625">
        <v>256332</v>
      </c>
      <c r="AD8" s="625">
        <v>106200</v>
      </c>
      <c r="AE8" s="925">
        <v>0</v>
      </c>
      <c r="AF8" s="834">
        <f>AF7+1</f>
        <v>36961</v>
      </c>
      <c r="AI8" s="625"/>
      <c r="AJ8" s="625"/>
      <c r="AK8" s="625"/>
    </row>
    <row r="9" spans="1:37" s="625" customFormat="1">
      <c r="A9" s="834">
        <f>A8+1</f>
        <v>36962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1000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302179</v>
      </c>
      <c r="W9" s="627">
        <v>0</v>
      </c>
      <c r="X9" s="625">
        <v>0</v>
      </c>
      <c r="Y9" s="925">
        <v>282010</v>
      </c>
      <c r="Z9" s="627">
        <v>45000</v>
      </c>
      <c r="AA9" s="1">
        <v>124542</v>
      </c>
      <c r="AB9" s="625">
        <v>260454</v>
      </c>
      <c r="AC9" s="625">
        <v>256332</v>
      </c>
      <c r="AD9" s="625">
        <v>106200</v>
      </c>
      <c r="AE9" s="925">
        <v>0</v>
      </c>
      <c r="AF9" s="834">
        <f>AF8+1</f>
        <v>36962</v>
      </c>
    </row>
    <row r="10" spans="1:37">
      <c r="A10" s="834">
        <f>A9+1</f>
        <v>36963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1000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302179</v>
      </c>
      <c r="W10" s="627">
        <v>0</v>
      </c>
      <c r="X10" s="625">
        <v>0</v>
      </c>
      <c r="Y10" s="925">
        <v>252010</v>
      </c>
      <c r="Z10" s="627">
        <v>45000</v>
      </c>
      <c r="AA10" s="1">
        <v>124542</v>
      </c>
      <c r="AB10" s="625">
        <v>260454</v>
      </c>
      <c r="AC10" s="625">
        <v>256332</v>
      </c>
      <c r="AD10" s="625">
        <v>106200</v>
      </c>
      <c r="AE10" s="925">
        <v>0</v>
      </c>
      <c r="AF10" s="834">
        <f>AF9+1</f>
        <v>36963</v>
      </c>
      <c r="AI10" s="625"/>
      <c r="AJ10" s="625"/>
      <c r="AK10" s="625"/>
    </row>
    <row r="11" spans="1:37">
      <c r="A11" s="834">
        <f>A10+1</f>
        <v>36964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1000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302179</v>
      </c>
      <c r="W11" s="627">
        <v>0</v>
      </c>
      <c r="X11" s="625">
        <v>0</v>
      </c>
      <c r="Y11" s="925">
        <v>252010</v>
      </c>
      <c r="Z11" s="627">
        <v>45000</v>
      </c>
      <c r="AA11" s="1">
        <v>124542</v>
      </c>
      <c r="AB11" s="625">
        <v>260454</v>
      </c>
      <c r="AC11" s="625">
        <v>256332</v>
      </c>
      <c r="AD11" s="625">
        <v>106200</v>
      </c>
      <c r="AE11" s="925">
        <v>0</v>
      </c>
      <c r="AF11" s="834">
        <f>AF10+1</f>
        <v>36964</v>
      </c>
    </row>
    <row r="12" spans="1:37">
      <c r="A12" s="834">
        <f>A11+1</f>
        <v>36965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1000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302179</v>
      </c>
      <c r="W12" s="627">
        <v>0</v>
      </c>
      <c r="X12" s="625">
        <v>0</v>
      </c>
      <c r="Y12" s="925">
        <v>252010</v>
      </c>
      <c r="Z12" s="627">
        <v>45000</v>
      </c>
      <c r="AA12" s="1">
        <v>124542</v>
      </c>
      <c r="AB12" s="625">
        <v>260454</v>
      </c>
      <c r="AC12" s="625">
        <v>256332</v>
      </c>
      <c r="AD12" s="625">
        <v>106200</v>
      </c>
      <c r="AE12" s="925">
        <v>0</v>
      </c>
      <c r="AF12" s="834">
        <f>AF11+1</f>
        <v>36965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7" sqref="J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36960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0</v>
      </c>
      <c r="I7" s="923">
        <v>7197</v>
      </c>
      <c r="J7" s="923">
        <v>5800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36960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36961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36961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36962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36962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36963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36963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36964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36964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36965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36965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36960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5881</v>
      </c>
      <c r="H7" s="629">
        <v>0</v>
      </c>
      <c r="I7" s="628">
        <v>0</v>
      </c>
      <c r="J7" s="628">
        <v>0</v>
      </c>
      <c r="K7" s="628">
        <v>0</v>
      </c>
      <c r="L7" s="628">
        <v>30000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83802</v>
      </c>
      <c r="S7" s="628">
        <v>33818</v>
      </c>
      <c r="T7" s="628">
        <v>0</v>
      </c>
      <c r="U7" s="628">
        <v>0</v>
      </c>
      <c r="V7" s="834">
        <f>Weather_Input!A5</f>
        <v>36960</v>
      </c>
      <c r="W7" s="625"/>
      <c r="X7" s="625"/>
    </row>
    <row r="8" spans="1:24">
      <c r="A8" s="834">
        <f>A7+1</f>
        <v>36961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5881</v>
      </c>
      <c r="H8" s="629">
        <v>0</v>
      </c>
      <c r="I8" s="628">
        <v>0</v>
      </c>
      <c r="J8" s="628">
        <v>0</v>
      </c>
      <c r="K8" s="628">
        <v>0</v>
      </c>
      <c r="L8" s="628">
        <v>30000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83802</v>
      </c>
      <c r="S8" s="628">
        <v>33818</v>
      </c>
      <c r="T8" s="628">
        <v>0</v>
      </c>
      <c r="U8" s="628">
        <v>0</v>
      </c>
      <c r="V8" s="834">
        <f>V7+1</f>
        <v>36961</v>
      </c>
      <c r="W8" s="625"/>
      <c r="X8" s="625"/>
    </row>
    <row r="9" spans="1:24">
      <c r="A9" s="834">
        <f>A8+1</f>
        <v>36962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5881</v>
      </c>
      <c r="H9" s="629">
        <v>0</v>
      </c>
      <c r="I9" s="628">
        <v>0</v>
      </c>
      <c r="J9" s="628">
        <v>0</v>
      </c>
      <c r="K9" s="628">
        <v>0</v>
      </c>
      <c r="L9" s="628">
        <v>30000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83802</v>
      </c>
      <c r="S9" s="628">
        <v>33818</v>
      </c>
      <c r="T9" s="628">
        <v>0</v>
      </c>
      <c r="U9" s="628">
        <v>0</v>
      </c>
      <c r="V9" s="834">
        <f>V8+1</f>
        <v>36962</v>
      </c>
      <c r="W9" s="625"/>
      <c r="X9" s="625"/>
    </row>
    <row r="10" spans="1:24">
      <c r="A10" s="834">
        <f>A9+1</f>
        <v>36963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5881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83802</v>
      </c>
      <c r="S10" s="628">
        <v>33818</v>
      </c>
      <c r="T10" s="628">
        <v>0</v>
      </c>
      <c r="U10" s="628">
        <v>0</v>
      </c>
      <c r="V10" s="834">
        <f>V9+1</f>
        <v>36963</v>
      </c>
      <c r="W10" s="625"/>
      <c r="X10" s="625"/>
    </row>
    <row r="11" spans="1:24">
      <c r="A11" s="834">
        <f>A10+1</f>
        <v>36964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5881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83802</v>
      </c>
      <c r="S11" s="628">
        <v>33818</v>
      </c>
      <c r="T11" s="628">
        <v>0</v>
      </c>
      <c r="U11" s="628">
        <v>0</v>
      </c>
      <c r="V11" s="834">
        <f>V10+1</f>
        <v>36964</v>
      </c>
      <c r="W11" s="625"/>
      <c r="X11" s="625"/>
    </row>
    <row r="12" spans="1:24">
      <c r="A12" s="834">
        <f>A11+1</f>
        <v>36965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5881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83802</v>
      </c>
      <c r="S12" s="628">
        <v>33818</v>
      </c>
      <c r="T12" s="628">
        <v>0</v>
      </c>
      <c r="U12" s="628">
        <v>0</v>
      </c>
      <c r="V12" s="834">
        <f>V11+1</f>
        <v>36965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SAT</v>
      </c>
      <c r="I1" s="839">
        <f>D4</f>
        <v>36960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SAT</v>
      </c>
      <c r="E3" s="844" t="str">
        <f t="shared" si="0"/>
        <v>SUN</v>
      </c>
      <c r="F3" s="844" t="str">
        <f t="shared" si="0"/>
        <v>MON</v>
      </c>
      <c r="G3" s="844" t="str">
        <f t="shared" si="0"/>
        <v>TUE</v>
      </c>
      <c r="H3" s="844" t="str">
        <f t="shared" si="0"/>
        <v>WED</v>
      </c>
      <c r="I3" s="845" t="str">
        <f t="shared" si="0"/>
        <v>THU</v>
      </c>
    </row>
    <row r="4" spans="1:256" ht="15.75" thickBot="1">
      <c r="A4" s="846"/>
      <c r="B4" s="847"/>
      <c r="C4" s="847"/>
      <c r="D4" s="466">
        <f>Weather_Input!A5</f>
        <v>36960</v>
      </c>
      <c r="E4" s="466">
        <f>Weather_Input!A6</f>
        <v>36961</v>
      </c>
      <c r="F4" s="466">
        <f>Weather_Input!A7</f>
        <v>36962</v>
      </c>
      <c r="G4" s="466">
        <f>Weather_Input!A8</f>
        <v>36963</v>
      </c>
      <c r="H4" s="466">
        <f>Weather_Input!A9</f>
        <v>36964</v>
      </c>
      <c r="I4" s="467">
        <f>Weather_Input!A10</f>
        <v>36965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49/31/40</v>
      </c>
      <c r="E5" s="468" t="str">
        <f>TEXT(Weather_Input!B6,"0")&amp;"/"&amp;TEXT(Weather_Input!C6,"0") &amp; "/" &amp; TEXT((Weather_Input!B6+Weather_Input!C6)/2,"0")</f>
        <v>39/30/35</v>
      </c>
      <c r="F5" s="468" t="str">
        <f>TEXT(Weather_Input!B7,"0")&amp;"/"&amp;TEXT(Weather_Input!C7,"0") &amp; "/" &amp; TEXT((Weather_Input!B7+Weather_Input!C7)/2,"0")</f>
        <v>40/33/37</v>
      </c>
      <c r="G5" s="468" t="str">
        <f>TEXT(Weather_Input!B8,"0")&amp;"/"&amp;TEXT(Weather_Input!C8,"0") &amp; "/" &amp; TEXT((Weather_Input!B8+Weather_Input!C8)/2,"0")</f>
        <v>41/25/33</v>
      </c>
      <c r="H5" s="468" t="str">
        <f>TEXT(Weather_Input!B9,"0")&amp;"/"&amp;TEXT(Weather_Input!C9,"0") &amp; "/" &amp; TEXT((Weather_Input!B9+Weather_Input!C9)/2,"0")</f>
        <v>38/27/33</v>
      </c>
      <c r="I5" s="469" t="str">
        <f>TEXT(Weather_Input!B10,"0")&amp;"/"&amp;TEXT(Weather_Input!C10,"0") &amp; "/" &amp; TEXT((Weather_Input!B10+Weather_Input!C10)/2,"0")</f>
        <v>38/27/33</v>
      </c>
    </row>
    <row r="6" spans="1:256" ht="15.75">
      <c r="A6" s="853" t="s">
        <v>139</v>
      </c>
      <c r="B6" s="841"/>
      <c r="C6" s="841"/>
      <c r="D6" s="468">
        <f>PGL_Deliveries!C5/1000</f>
        <v>780</v>
      </c>
      <c r="E6" s="468">
        <f>PGL_Deliveries!C6/1000</f>
        <v>855</v>
      </c>
      <c r="F6" s="468">
        <f>PGL_Deliveries!C7/1000</f>
        <v>840</v>
      </c>
      <c r="G6" s="468">
        <f>PGL_Deliveries!C8/1000</f>
        <v>900</v>
      </c>
      <c r="H6" s="468">
        <f>PGL_Deliveries!C9/1000</f>
        <v>920</v>
      </c>
      <c r="I6" s="469">
        <f>PGL_Deliveries!C10/1000</f>
        <v>920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250</v>
      </c>
      <c r="E13" s="468">
        <f>PGL_Requirements!P8/1000</f>
        <v>250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3.75</v>
      </c>
      <c r="E14" s="468">
        <f>PGL_Requirements!Q8/1000</f>
        <v>3.75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21.13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28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1083.5400000000002</v>
      </c>
      <c r="E30" s="472">
        <f t="shared" si="1"/>
        <v>1109.4100000000001</v>
      </c>
      <c r="F30" s="472">
        <f t="shared" si="1"/>
        <v>1094.4100000000001</v>
      </c>
      <c r="G30" s="472">
        <f t="shared" si="1"/>
        <v>1154.4100000000001</v>
      </c>
      <c r="H30" s="472">
        <f t="shared" si="1"/>
        <v>1174.4100000000001</v>
      </c>
      <c r="I30" s="1177">
        <f t="shared" si="1"/>
        <v>1174.4100000000001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1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282.01</v>
      </c>
      <c r="E47" s="468">
        <f>PGL_Supplies!Y8/1000</f>
        <v>282.01</v>
      </c>
      <c r="F47" s="468">
        <f>PGL_Supplies!Y9/1000</f>
        <v>282.01</v>
      </c>
      <c r="G47" s="468">
        <f>PGL_Supplies!Y10/1000</f>
        <v>252.01</v>
      </c>
      <c r="H47" s="468">
        <f>PGL_Supplies!Y11/1000</f>
        <v>252.01</v>
      </c>
      <c r="I47" s="469">
        <f>PGL_Supplies!Y12/1000</f>
        <v>252.01</v>
      </c>
    </row>
    <row r="48" spans="1:9" ht="15.75">
      <c r="A48" s="853"/>
      <c r="B48" s="841" t="s">
        <v>143</v>
      </c>
      <c r="C48" s="854"/>
      <c r="D48" s="468">
        <f>PGL_Supplies!Z7/1000</f>
        <v>45</v>
      </c>
      <c r="E48" s="468">
        <f>PGL_Supplies!Z8/1000</f>
        <v>45</v>
      </c>
      <c r="F48" s="468">
        <f>PGL_Supplies!Z9/1000</f>
        <v>45</v>
      </c>
      <c r="G48" s="468">
        <f>PGL_Supplies!Z10/1000</f>
        <v>45</v>
      </c>
      <c r="H48" s="468">
        <f>PGL_Supplies!Z11/1000</f>
        <v>45</v>
      </c>
      <c r="I48" s="469">
        <f>PGL_Supplies!Z12/1000</f>
        <v>45</v>
      </c>
    </row>
    <row r="49" spans="1:10" ht="15.75">
      <c r="A49" s="853"/>
      <c r="B49" s="841" t="s">
        <v>147</v>
      </c>
      <c r="C49" s="854"/>
      <c r="D49" s="468">
        <f>PGL_Supplies!AA7/1000</f>
        <v>124.542</v>
      </c>
      <c r="E49" s="468">
        <f>PGL_Supplies!AA8/1000</f>
        <v>124.542</v>
      </c>
      <c r="F49" s="468">
        <f>PGL_Supplies!AA9/1000</f>
        <v>124.542</v>
      </c>
      <c r="G49" s="468">
        <f>PGL_Supplies!AA10/1000</f>
        <v>124.542</v>
      </c>
      <c r="H49" s="468">
        <f>PGL_Supplies!AA11/1000</f>
        <v>124.542</v>
      </c>
      <c r="I49" s="469">
        <f>PGL_Supplies!AA12/1000</f>
        <v>124.542</v>
      </c>
    </row>
    <row r="50" spans="1:10" ht="15.75">
      <c r="A50" s="853"/>
      <c r="B50" s="841" t="s">
        <v>421</v>
      </c>
      <c r="C50" s="854"/>
      <c r="D50" s="468">
        <f>PGL_Supplies!AB7/1000</f>
        <v>260.45400000000001</v>
      </c>
      <c r="E50" s="468">
        <f>PGL_Supplies!AB8/1000</f>
        <v>260.45400000000001</v>
      </c>
      <c r="F50" s="468">
        <f>PGL_Supplies!AB9/1000</f>
        <v>260.45400000000001</v>
      </c>
      <c r="G50" s="468">
        <f>PGL_Supplies!AB10/1000</f>
        <v>260.45400000000001</v>
      </c>
      <c r="H50" s="468">
        <f>PGL_Supplies!AB11/1000</f>
        <v>260.45400000000001</v>
      </c>
      <c r="I50" s="469">
        <f>PGL_Supplies!AB12/1000</f>
        <v>260.45400000000001</v>
      </c>
    </row>
    <row r="51" spans="1:10" ht="15.75">
      <c r="A51" s="853"/>
      <c r="B51" s="841" t="s">
        <v>141</v>
      </c>
      <c r="C51" s="841"/>
      <c r="D51" s="468">
        <f>PGL_Supplies!AC7/1000</f>
        <v>256.33199999999999</v>
      </c>
      <c r="E51" s="468">
        <f>PGL_Supplies!AC8/1000</f>
        <v>256.33199999999999</v>
      </c>
      <c r="F51" s="468">
        <f>PGL_Supplies!AC9/1000</f>
        <v>256.33199999999999</v>
      </c>
      <c r="G51" s="468">
        <f>PGL_Supplies!AC10/1000</f>
        <v>256.33199999999999</v>
      </c>
      <c r="H51" s="468">
        <f>PGL_Supplies!AC11/1000</f>
        <v>256.33199999999999</v>
      </c>
      <c r="I51" s="469">
        <f>PGL_Supplies!AC12/1000</f>
        <v>256.33199999999999</v>
      </c>
    </row>
    <row r="52" spans="1:10" ht="15.75">
      <c r="A52" s="853"/>
      <c r="B52" s="841" t="s">
        <v>142</v>
      </c>
      <c r="C52" s="841"/>
      <c r="D52" s="468">
        <f>PGL_Supplies!AD7/1000</f>
        <v>106.2</v>
      </c>
      <c r="E52" s="468">
        <f>PGL_Supplies!AD8/1000</f>
        <v>106.2</v>
      </c>
      <c r="F52" s="468">
        <f>PGL_Supplies!AD9/1000</f>
        <v>106.2</v>
      </c>
      <c r="G52" s="468">
        <f>PGL_Supplies!AD10/1000</f>
        <v>106.2</v>
      </c>
      <c r="H52" s="468">
        <f>PGL_Supplies!AD11/1000</f>
        <v>106.2</v>
      </c>
      <c r="I52" s="469">
        <f>PGL_Supplies!AD12/1000</f>
        <v>106.2</v>
      </c>
    </row>
    <row r="53" spans="1:10" ht="15.75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5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1083.538</v>
      </c>
      <c r="E61" s="478">
        <f t="shared" si="2"/>
        <v>1078.538</v>
      </c>
      <c r="F61" s="478">
        <f t="shared" si="2"/>
        <v>1078.538</v>
      </c>
      <c r="G61" s="478">
        <f t="shared" si="2"/>
        <v>1048.538</v>
      </c>
      <c r="H61" s="478">
        <f t="shared" si="2"/>
        <v>1048.538</v>
      </c>
      <c r="I61" s="1179">
        <f t="shared" si="2"/>
        <v>1048.538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0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2.00000000018008E-3</v>
      </c>
      <c r="E63" s="480">
        <f t="shared" si="4"/>
        <v>30.872000000000071</v>
      </c>
      <c r="F63" s="480">
        <f t="shared" si="4"/>
        <v>15.872000000000071</v>
      </c>
      <c r="G63" s="480">
        <f t="shared" si="4"/>
        <v>105.87200000000007</v>
      </c>
      <c r="H63" s="480">
        <f t="shared" si="4"/>
        <v>125.87200000000007</v>
      </c>
      <c r="I63" s="1181">
        <f t="shared" si="4"/>
        <v>125.87200000000007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302.17899999999997</v>
      </c>
      <c r="E64" s="1170">
        <f>PGL_Supplies!V8/1000</f>
        <v>302.17899999999997</v>
      </c>
      <c r="F64" s="1170">
        <f>PGL_Supplies!V9/1000</f>
        <v>302.17899999999997</v>
      </c>
      <c r="G64" s="1170">
        <f>PGL_Supplies!V10/1000</f>
        <v>302.17899999999997</v>
      </c>
      <c r="H64" s="1170">
        <f>PGL_Supplies!V11/1000</f>
        <v>302.17899999999997</v>
      </c>
      <c r="I64" s="1171">
        <f>PGL_Supplies!V12/1000</f>
        <v>302.17899999999997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2001-03-11T10:25:11Z</cp:lastPrinted>
  <dcterms:created xsi:type="dcterms:W3CDTF">1997-07-16T16:14:22Z</dcterms:created>
  <dcterms:modified xsi:type="dcterms:W3CDTF">2023-09-10T17:18:37Z</dcterms:modified>
</cp:coreProperties>
</file>