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6D1461-2F55-4852-94C3-CFF21A39D3D5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<sst xmlns="http://schemas.openxmlformats.org/spreadsheetml/2006/main" count="2148" uniqueCount="800">
  <si>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</si>
  <si>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</si>
  <si>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</si>
  <si>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</si>
  <si>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</si>
  <si>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</si>
  <si>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</si>
  <si>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</si>
  <si>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</si>
  <si>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</si>
  <si>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</si>
  <si>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</si>
  <si>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</si>
  <si>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</si>
  <si>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</si>
  <si>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</si>
  <si>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</si>
  <si>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</si>
  <si>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</si>
  <si>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</si>
  <si>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</si>
  <si>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</si>
  <si>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</si>
  <si>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</si>
  <si>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</si>
  <si>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</si>
  <si>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</si>
  <si>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</si>
  <si>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</si>
  <si>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</si>
  <si>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</si>
  <si>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</si>
  <si>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</si>
  <si>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</si>
  <si>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</si>
  <si>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</si>
  <si>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</si>
  <si>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</si>
  <si>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</si>
  <si>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</si>
  <si>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</si>
  <si>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</si>
  <si>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</si>
  <si>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</si>
  <si>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</si>
  <si>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</si>
  <si>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</si>
  <si>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</si>
  <si>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</si>
  <si>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</si>
  <si>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</si>
  <si>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</si>
  <si>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</si>
  <si>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</si>
  <si>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</si>
  <si>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</si>
  <si>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</si>
  <si>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</si>
  <si>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</si>
  <si>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</si>
  <si>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</si>
  <si>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</si>
  <si>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</si>
  <si>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</si>
  <si>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</si>
  <si>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</si>
  <si>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</si>
  <si>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</si>
  <si>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</si>
  <si>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</si>
  <si>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</si>
  <si>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</si>
  <si>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</si>
  <si>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</si>
  <si>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</si>
  <si>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</si>
  <si>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</si>
  <si>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</si>
  <si>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</si>
  <si>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</si>
  <si>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</si>
  <si>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</si>
  <si>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</si>
  <si>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</si>
  <si>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</si>
  <si>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</si>
  <si>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</si>
  <si>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</si>
  <si>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</si>
  <si>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</si>
  <si>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</si>
  <si>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</si>
  <si>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</si>
  <si>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</si>
  <si>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</si>
  <si>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</si>
  <si>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</si>
  <si>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</si>
  <si>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</si>
  <si>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</si>
  <si>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</si>
  <si>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</si>
  <si>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</si>
  <si>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</si>
  <si>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</si>
  <si>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</si>
  <si>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</si>
  <si>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</si>
  <si>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</si>
  <si>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</si>
  <si>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</si>
  <si>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</si>
  <si>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</si>
  <si>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</si>
  <si>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</si>
  <si>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</si>
  <si>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</si>
  <si>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</si>
  <si>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</si>
  <si>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</si>
  <si>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</si>
  <si>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</si>
  <si>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</si>
  <si>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</si>
  <si>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</si>
  <si>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</si>
  <si>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</si>
  <si>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</si>
  <si>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</si>
  <si>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</si>
  <si>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</si>
  <si>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</si>
  <si>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</si>
  <si>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</si>
  <si>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</si>
  <si>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</si>
  <si>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</si>
  <si>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</si>
  <si>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</si>
  <si>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</si>
  <si>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</si>
  <si>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</si>
  <si>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</si>
  <si>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</si>
  <si>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</si>
  <si>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</si>
  <si>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</si>
  <si>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</si>
  <si>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</si>
  <si>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</si>
  <si>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</si>
  <si>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</si>
  <si>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</si>
  <si>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</si>
  <si>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</si>
  <si>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</si>
  <si>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</si>
  <si>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</si>
  <si>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</si>
  <si>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</si>
  <si>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</si>
  <si>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</si>
  <si>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</si>
  <si>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</si>
  <si>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</si>
  <si>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</si>
  <si>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</si>
  <si>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</si>
  <si>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</si>
  <si>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</si>
  <si>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</si>
  <si>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</si>
  <si>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</si>
  <si>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</si>
  <si>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</si>
  <si>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</si>
  <si>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</si>
  <si>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</si>
  <si>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</si>
  <si>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</si>
  <si>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</si>
  <si>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</si>
  <si>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</si>
  <si>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</si>
  <si>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</si>
  <si>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</si>
  <si>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</si>
  <si>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</si>
  <si>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</si>
  <si>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</si>
  <si>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</si>
  <si>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</si>
  <si>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</si>
  <si>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</si>
  <si>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</si>
  <si>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</si>
  <si>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</si>
  <si>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</si>
  <si>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</si>
  <si>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</si>
  <si>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</si>
  <si>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</si>
  <si>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</si>
  <si>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</si>
  <si>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</si>
  <si>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</si>
  <si>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</si>
  <si>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</si>
  <si>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</si>
  <si>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</si>
  <si>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</si>
  <si>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</si>
  <si>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</si>
  <si>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</si>
  <si>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</si>
  <si>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</si>
  <si>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</si>
  <si>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</si>
  <si>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</si>
  <si>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</si>
  <si>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</si>
  <si>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</si>
  <si>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</si>
  <si>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</si>
  <si>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</si>
  <si>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</si>
  <si>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</si>
  <si>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</si>
  <si>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</si>
  <si>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</si>
  <si>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</si>
  <si>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</si>
  <si>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</si>
  <si>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</si>
  <si>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</si>
  <si>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</si>
  <si>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</si>
  <si>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</si>
  <si>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</si>
  <si>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</si>
  <si>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</si>
  <si>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</si>
  <si>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</si>
  <si>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</si>
  <si>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</si>
  <si>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</si>
  <si>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</si>
  <si>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</si>
  <si>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</si>
  <si>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</si>
  <si>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</si>
  <si>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</si>
  <si>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</si>
  <si>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</si>
  <si>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</si>
  <si>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</si>
  <si>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</si>
  <si>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</si>
  <si>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</si>
  <si>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</si>
  <si>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</si>
  <si>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</si>
  <si>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</si>
  <si>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</si>
  <si>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</si>
  <si>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</si>
  <si>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</si>
  <si>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</si>
  <si>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</si>
  <si>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</si>
  <si>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</si>
  <si>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</si>
  <si>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</si>
  <si>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</si>
  <si>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</si>
  <si>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</si>
  <si>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</si>
  <si>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</si>
  <si>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</si>
  <si>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</si>
  <si>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</si>
  <si>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</si>
  <si>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</si>
  <si>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</si>
  <si>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</si>
  <si>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</si>
  <si>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</si>
  <si>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</si>
  <si>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</si>
  <si>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</si>
  <si>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</si>
  <si>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</si>
  <si>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</si>
  <si>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</si>
  <si>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</si>
  <si>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</si>
  <si>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</si>
  <si>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</si>
  <si>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</si>
  <si>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</si>
  <si>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</si>
  <si>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</si>
  <si>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</si>
  <si>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</si>
  <si>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</si>
  <si>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</si>
  <si>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</si>
  <si>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</si>
  <si>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</si>
  <si>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</si>
  <si>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</si>
  <si>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</si>
  <si>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</si>
  <si>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</si>
  <si>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</si>
  <si>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</si>
  <si>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</si>
  <si>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</si>
  <si>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</si>
  <si>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</si>
  <si>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</si>
  <si>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</si>
  <si>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</si>
  <si>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</si>
  <si>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</si>
  <si>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</si>
  <si>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</si>
  <si>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</si>
  <si>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</si>
  <si>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</si>
  <si>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</si>
  <si>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</si>
  <si>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</si>
  <si>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</si>
  <si>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</si>
  <si>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</si>
  <si>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</si>
  <si>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</si>
  <si>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</si>
  <si>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</si>
  <si>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</si>
  <si>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</si>
  <si>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</si>
  <si>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</si>
  <si>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</si>
  <si>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</si>
  <si>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</si>
  <si>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</si>
  <si>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</si>
  <si>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</si>
  <si>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</si>
  <si>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</si>
  <si>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</si>
  <si>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</si>
  <si>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</si>
  <si>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</si>
  <si>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</si>
  <si>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</si>
  <si>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</si>
  <si>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</si>
  <si>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</si>
  <si>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</si>
  <si>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</si>
  <si>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</si>
  <si>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</si>
  <si>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</si>
  <si>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</si>
  <si>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</si>
  <si>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</si>
  <si>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</si>
  <si>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</si>
  <si>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</si>
  <si>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</si>
  <si>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</si>
  <si>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</si>
  <si>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</si>
  <si>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</si>
  <si>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</si>
  <si>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</si>
  <si>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</si>
  <si>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</si>
  <si>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</si>
  <si>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</si>
  <si>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</si>
  <si>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</si>
  <si>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</si>
  <si>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</si>
  <si>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</si>
  <si>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</si>
  <si>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</si>
  <si>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</si>
  <si>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</si>
  <si>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</si>
  <si>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</si>
  <si>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</si>
  <si>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</si>
  <si>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</si>
  <si>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</si>
  <si>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</si>
  <si>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</si>
  <si>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</si>
  <si>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</si>
  <si>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</si>
  <si>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</si>
  <si>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</si>
  <si>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</si>
  <si>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</si>
  <si>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</si>
  <si>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</si>
  <si>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</si>
  <si>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</si>
  <si>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</si>
  <si>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</si>
  <si>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</si>
  <si>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</si>
  <si>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</si>
  <si>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</si>
  <si>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</si>
  <si>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</si>
  <si>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</si>
  <si>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</si>
  <si>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</si>
  <si>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</si>
  <si>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</si>
  <si>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</si>
  <si>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</si>
  <si>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</si>
  <si>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</si>
  <si>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</si>
  <si>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</si>
  <si>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</si>
  <si>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</si>
  <si>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</si>
  <si>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</si>
  <si>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</si>
  <si>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</si>
  <si>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</si>
  <si>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</si>
  <si>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</si>
  <si>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</si>
  <si>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</si>
  <si>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</si>
  <si>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</si>
  <si>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</si>
  <si>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</si>
  <si>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</si>
  <si>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</si>
  <si>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</si>
  <si>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</si>
  <si>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</si>
  <si>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</si>
  <si>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</si>
  <si>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</si>
  <si>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</si>
  <si>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</si>
  <si>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</si>
  <si>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</si>
  <si>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</si>
  <si>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</si>
  <si>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</si>
  <si>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</si>
  <si>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</si>
  <si>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</si>
  <si>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</si>
  <si>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</si>
  <si>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</si>
  <si>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</si>
  <si>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</si>
  <si>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</si>
  <si>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</si>
  <si>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</si>
  <si>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</si>
  <si>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</si>
  <si>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</si>
  <si>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</si>
  <si>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</si>
  <si>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</si>
  <si>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</si>
  <si>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</si>
  <si>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</si>
  <si>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</si>
  <si>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</si>
  <si>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</si>
  <si>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</si>
  <si>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</si>
  <si>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</si>
  <si>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</si>
  <si>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</si>
  <si>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</si>
  <si>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</si>
  <si>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</si>
  <si>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</si>
  <si>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</si>
  <si>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</si>
  <si>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</si>
  <si>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</si>
  <si>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</si>
  <si>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</si>
  <si>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</si>
  <si>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</si>
  <si>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</si>
  <si>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</si>
  <si>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</si>
  <si>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</si>
  <si>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</si>
  <si>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</si>
  <si>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</si>
  <si>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</si>
  <si>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</si>
  <si>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</si>
  <si>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</si>
  <si>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</si>
  <si>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</si>
  <si>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</si>
  <si>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</si>
  <si>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</si>
  <si>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</si>
  <si>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</si>
  <si>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</si>
  <si>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</si>
  <si>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</si>
  <si>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</si>
  <si>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</si>
  <si>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</si>
  <si>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</si>
  <si>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</si>
  <si>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</si>
  <si>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</si>
  <si>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</si>
  <si>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</si>
  <si>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</si>
  <si>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</si>
  <si>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</si>
  <si>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</si>
  <si>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</si>
  <si>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</si>
  <si>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</si>
  <si>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</si>
  <si>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</si>
  <si>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</si>
  <si>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</si>
  <si>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</si>
  <si>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</si>
  <si>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</si>
  <si>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</si>
  <si>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</si>
  <si>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</si>
  <si>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</si>
  <si>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</si>
  <si>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</si>
  <si>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</si>
  <si>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</si>
  <si>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</si>
  <si>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</si>
  <si>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</si>
  <si>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</si>
  <si>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</si>
  <si>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</si>
  <si>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</si>
  <si>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</si>
  <si>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</si>
  <si>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</si>
  <si>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</si>
  <si>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</si>
  <si>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</si>
  <si>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</si>
  <si>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</si>
  <si>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</si>
  <si>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</si>
  <si>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</si>
  <si>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</si>
  <si>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</si>
  <si>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</si>
  <si>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</si>
  <si>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</si>
  <si>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</si>
  <si>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</si>
  <si>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</si>
  <si>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</si>
  <si>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</si>
  <si>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</si>
  <si>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</si>
  <si>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</si>
  <si>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</si>
  <si>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</si>
  <si>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</si>
  <si>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</si>
  <si>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</si>
  <si>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</si>
  <si>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</si>
  <si>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</si>
  <si>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</si>
  <si>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</si>
  <si>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</si>
  <si>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</si>
  <si>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</si>
  <si>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</si>
  <si>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</si>
  <si>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</si>
  <si>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</si>
  <si>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</si>
  <si>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</si>
  <si>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</si>
  <si>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</si>
  <si>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</si>
  <si>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</si>
  <si>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</si>
  <si>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</si>
  <si>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</si>
  <si>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</si>
  <si>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</si>
  <si>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</si>
  <si>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</si>
  <si>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</si>
  <si>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</si>
  <si>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</si>
  <si>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</si>
  <si>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</si>
  <si>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</si>
  <si>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</si>
  <si>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</si>
  <si>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</si>
  <si>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</si>
  <si>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</si>
  <si>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</si>
  <si>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</si>
  <si>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</si>
  <si>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</si>
  <si>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</si>
  <si>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</si>
  <si>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</si>
  <si>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</si>
  <si>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</si>
  <si>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</si>
  <si>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</si>
  <si>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</si>
  <si>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</si>
  <si>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</si>
  <si>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</si>
  <si>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</si>
  <si>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</si>
  <si>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</si>
  <si>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</si>
  <si>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</si>
  <si>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</si>
  <si>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</si>
  <si>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</si>
  <si>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</si>
  <si>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</si>
  <si>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</si>
  <si>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</si>
  <si>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</si>
  <si>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</si>
  <si>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</si>
  <si>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</si>
  <si>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</si>
  <si>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</si>
  <si>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</si>
  <si>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</si>
  <si>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</si>
  <si>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</si>
  <si>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</si>
  <si>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</si>
  <si>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</si>
  <si>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</si>
  <si>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</si>
  <si>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</si>
  <si>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</si>
  <si>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</si>
  <si>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</si>
  <si>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</si>
  <si>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</si>
  <si>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</si>
  <si>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</si>
  <si>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</si>
  <si>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</si>
  <si>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</si>
  <si>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</si>
  <si>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</si>
  <si>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</si>
  <si>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</si>
  <si>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</si>
  <si>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</si>
  <si>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</si>
  <si>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</si>
  <si>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</si>
  <si>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</si>
  <si>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</si>
  <si>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</si>
  <si>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</si>
  <si>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</si>
  <si>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</si>
  <si>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</si>
  <si>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</si>
  <si>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</si>
  <si>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</si>
  <si>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</si>
  <si>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</si>
  <si>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</si>
  <si>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</si>
  <si>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</si>
  <si>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</si>
  <si>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</si>
  <si>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</si>
  <si>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</si>
  <si>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</si>
  <si>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</si>
  <si>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</si>
  <si>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</si>
  <si>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</si>
  <si>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</si>
  <si>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</si>
  <si>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</si>
  <si>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</si>
  <si>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</si>
  <si>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</si>
  <si>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</si>
  <si>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</si>
  <si>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</si>
  <si>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</si>
  <si>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</si>
  <si>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</si>
  <si>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</si>
  <si>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</si>
  <si>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</si>
  <si>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</si>
  <si>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</si>
  <si>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</si>
  <si>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</si>
  <si>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</si>
  <si>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</si>
  <si>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</si>
  <si>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</si>
  <si>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</si>
  <si>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</si>
  <si>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</si>
  <si>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</si>
  <si>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</si>
  <si>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</si>
  <si>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</si>
  <si>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</si>
  <si>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</si>
  <si>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</si>
  <si>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</si>
  <si>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</si>
  <si>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</si>
  <si>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</si>
  <si>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</si>
  <si>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</si>
  <si>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</si>
  <si>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</si>
  <si>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</si>
  <si>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</si>
  <si>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</si>
  <si>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</si>
  <si>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</si>
  <si>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</si>
  <si>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</si>
  <si>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</si>
  <si>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</si>
  <si>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</si>
  <si>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</si>
  <si>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</si>
  <si>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</si>
  <si>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</si>
  <si>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</si>
  <si>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</si>
  <si>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</si>
  <si>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</si>
  <si>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</si>
  <si>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</si>
  <si>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</si>
  <si>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</si>
  <si>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</si>
  <si>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</si>
  <si>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</si>
  <si>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</si>
  <si>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</si>
  <si>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</si>
  <si>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</si>
  <si>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</si>
  <si>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</si>
  <si>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</si>
  <si>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</si>
  <si>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</si>
  <si>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</si>
  <si>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</si>
  <si>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</si>
  <si>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</si>
  <si>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</si>
  <si>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</si>
  <si>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</si>
  <si>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</si>
  <si>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</si>
  <si>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</si>
  <si>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LIGHT SNOW OR FLURRIES…MAINLY SOUTH AND N.E. INDIANA..ENDING THIS A.M. BE</t>
  </si>
  <si>
    <t xml:space="preserve">COMING PARTLY SUNNY. NORTH WINDS 10/15. AT NIGHT, CLEAR AND COLD. </t>
  </si>
  <si>
    <t>SUNNY AND WARMER. AT NIGHT, FAIR.</t>
  </si>
  <si>
    <t>PARTLY SUNNY.</t>
  </si>
  <si>
    <t>A CHANCE OF SHOWERS.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</si>
</sst>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B486ACE-7417-E06D-491B-DD6D860E5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38AEDF5-CC86-C4BC-C2D0-5F9762AD6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1E7FE1D-70A4-745F-655F-848F6A574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C36231C-32D5-C467-3DC5-A1F7A0D73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043EECB-D3BC-5C0D-D866-457734473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58193B1-963C-8BBA-F5AF-8D545379F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7E491B6-399D-0EE0-86CA-EC1F2A21D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C6DA4EE-05F4-4527-F8BF-FF1B0BE83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9E5B3FD-57DB-BC40-450A-3C2BA4E24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7D026E9-A9A3-4C2B-B805-933E0F5C1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D3B6BDB-6302-342D-8623-146BAED97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DBA56FB-A76D-661E-CE6D-A74C81F87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22AAD4B-C9F0-F3DF-D855-4F2B417FE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A276BCF-BB68-855A-EB85-1E2D3AAF4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D412BC4-40DA-C385-1B80-F3CB4D7E0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2D9BD9F-B4AE-E113-A7D1-E9132258C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DF1BE07-36E7-BCB8-183A-AC1294D8C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6FD40490-6B13-3E85-14E6-0BD9FAACB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5BA3610E-097B-161D-6F2F-7193A0EFB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9E414CB-DA4D-7588-1A9B-A7AD36A75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1C68A510-44FB-0D04-60C9-E1157607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216D6D88-D121-45EA-7BEF-D2A6ECF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F80F6E7C-C5CD-FAC4-881F-F7DA9424C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48557DC3-49F4-A303-1D6B-CC04D415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FF4E65E-CCDB-19EC-8967-9349E929A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5D0609A-B46F-21BE-1EFB-D9227AFC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D4656737-0C7F-D558-B8DE-E1AA396A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48B1A66-F43D-09A0-C58D-68C2F14A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06282C31-840C-C8DB-FA3B-9F16AC9D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F02A6D42-3E39-1D15-575F-F29B3904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06B6596A-C9C4-1BA3-C674-AE8BFC41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5A4185F4-14C2-C23B-13F8-4E635E4F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D88A62F8-B045-70C8-D5F3-9112ECF14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6FA1B9E-39BF-CCE8-3E9A-FC5628D2E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8D30E45-FCCF-625C-AA0D-457D778F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9B4E8ED-B029-B323-CCDF-C72C80A6E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8846A8D4-E433-8CB5-E5A1-0B97D3059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DC72E7E-EFB7-B5C5-ED62-42BA340F4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E6FC8F34-BAF6-FAC9-2BA9-E4174541F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04F8AA7B-E2B0-0D3E-9662-0BC441D24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AAA59D3-4DC4-D6C0-C38A-0FE1A50B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1CBED23-49ED-678B-1AE5-C1365642D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F494F12-4C35-67BF-EECE-BD9CA9B79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84AA9EB0-47A6-E721-DB1E-158CEC030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323" name="Day_1">
          <a:extLst>
            <a:ext uri="{FF2B5EF4-FFF2-40B4-BE49-F238E27FC236}">
              <a16:creationId xmlns:a16="http://schemas.microsoft.com/office/drawing/2014/main" id="{168E61E7-B707-8BEC-5CA1-2913853C9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324" name="Day_2">
          <a:extLst>
            <a:ext uri="{FF2B5EF4-FFF2-40B4-BE49-F238E27FC236}">
              <a16:creationId xmlns:a16="http://schemas.microsoft.com/office/drawing/2014/main" id="{96F1E047-D79D-5910-8466-8EFC764D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325" name="Day_3">
          <a:extLst>
            <a:ext uri="{FF2B5EF4-FFF2-40B4-BE49-F238E27FC236}">
              <a16:creationId xmlns:a16="http://schemas.microsoft.com/office/drawing/2014/main" id="{A208010A-7F9E-FA74-F359-3E937F206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326" name="Day_4">
          <a:extLst>
            <a:ext uri="{FF2B5EF4-FFF2-40B4-BE49-F238E27FC236}">
              <a16:creationId xmlns:a16="http://schemas.microsoft.com/office/drawing/2014/main" id="{FAA4907D-E40B-0F3D-1A86-4EB28912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327" name="Day_5">
          <a:extLst>
            <a:ext uri="{FF2B5EF4-FFF2-40B4-BE49-F238E27FC236}">
              <a16:creationId xmlns:a16="http://schemas.microsoft.com/office/drawing/2014/main" id="{38500EEC-8C7B-9B83-692F-BCCF5704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328" name="Day_6">
          <a:extLst>
            <a:ext uri="{FF2B5EF4-FFF2-40B4-BE49-F238E27FC236}">
              <a16:creationId xmlns:a16="http://schemas.microsoft.com/office/drawing/2014/main" id="{3F005C8E-FC02-53D4-B9B0-AB095BD1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803D06EE-5E76-EC03-2A51-70A37136F275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7DBC7E73-2951-9523-EC81-7FD7CA469364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09FE619-28E3-247C-4ADB-11241CDD255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1481017A-ED35-AC8E-11A9-E3543CA5A091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20E86C7-F17D-BFDC-60F9-F082D831835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A62240C-11D5-5C32-0406-CB5CEFC1E42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C1EF475-2B6D-0D7A-2DF3-C125FDC6811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4C4ACEF-A634-BFEC-A6DF-D1148BE3A4A2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1A7A282-3A89-CA36-6D32-83A586F2B15F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06A0860D-BDFB-0787-18B9-1EF54EDBBEB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2C4D1FB6-5579-3BBF-D281-4BD28C40A91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E5550B9-28C2-97DC-582B-6152A975DB3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202630FF-3F54-ED2A-5828-DF650B09AB1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83825BE-2829-EA8D-9643-12AD3EC5C5F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C8643760-8DD2-7E0E-4D95-C4E60D173AA5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5FCC024-FFBF-ABEA-7B97-C287B25AFB5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41996AD-A8B4-1EB6-5052-614AEB42385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A3527E8-4811-9C08-A896-01B7B7A9E40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45D4FF3-8F72-EE1B-388C-18FC6E0AA764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96A369C8-7BD4-5B19-9ED1-A6CE20E384F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5B21388-7D69-2D55-C47B-BED6CB61294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0D347CD-B010-6E91-6F29-2306FB157135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EB18FF5-C1B6-C600-8A3B-E4448BF8C15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3459A8B5-7012-83CD-F68B-717DB05327D6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10E3EBB-480F-8C76-762B-6331FBBAEF9D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F6652084-B892-1F5B-7A23-D8CDA13B8C1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2F2A93A-ACAB-F340-8813-954B64141556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F93BC19-C06F-5C33-F52E-4933BAE2985C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E4145C3-9BCB-9811-A916-49BDBA13AA6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33744DF4-D515-FD16-7FBC-8CD946203D19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3DD3F7D-B17D-F5E2-5BEB-55ABB046895D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9F935D5-7610-0F7E-7257-46B077D3A428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1B2FCE6-2465-BCC0-9AC6-A1138D6F26EC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44252DAB-95C7-11B3-089D-497A02BE0FD6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EA2212B6-B11F-8E3B-4665-A3967BE0796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0EF6272-1E54-1CA8-411B-A0B36466315F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35080A7-29C9-DEE9-17A0-E55CF07D9B3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1B12CB51-251A-3082-1B9A-D9D07C172B85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2930129F-BE62-B626-0803-DCD96928E2E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1AA6282-072C-2278-F7E7-FE58A1C957AC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B0B0564-8B96-A7A6-4469-547FBF944538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68B1EEA5-235D-5091-0EA8-5223A33A791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C479DD5-4A29-A768-9668-07B6C2FC342F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62F1281F-09F9-EEFC-A66A-D07E4A2DD6F9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E8C72DE0-B080-476E-81FA-2DE505D3C938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7E58666A-FAFA-EF86-76B7-D7DAC04B777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E60C613-5CEE-BD7F-BA57-042F180645C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DADE5BC-3BFA-19CD-9B64-EB9A3ECB9EB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0226AD47-EB8E-E86B-7DF9-C2C46B91B3D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577C727-EC74-DF0F-E881-DA63548F88F8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FF57C49-DE30-A779-C078-0DF7CD11D59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4C57C76-1426-F543-A99B-22815531BA9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AF0A867C-9159-2D95-72D6-FC3760349BB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2528CDD-B79A-08B5-A983-C520CB2EE6F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D3FE0335-1FA4-4CA4-8A24-E87B428B5F59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9863DCD-CBA8-7585-E8AE-68C04561B71E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BB7CD8D3-2469-36F1-E473-92F302C03E2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C56D85C-E2D0-46B4-26BB-0581DEDFB46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250DDBB3-AA80-656D-37C7-5AECFBE9A7D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8CEB8A8E-21D0-BB81-8E0B-F960349A1A7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C868225E-A9B4-28F2-3A63-D71585D743B1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FB4FE6C-D36A-0831-2A9B-DB3BEC7FA1C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47BD2DA-411D-E7F1-0DAF-FCE129FF880B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B6F7978-C116-0E28-E76B-1319786FBBFC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1132B92-9FA4-0230-632E-6C4314CC2B09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73019A3-79BE-ADFF-3A74-060CF6F7F98A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D74DAEE-CE21-3661-70D2-98FE865690D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DC1A8DF5-B484-7206-C190-C47464EF2D0F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043F24A2-189B-3366-631C-F681B501FFF0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974BD464-26EC-EB6B-A3FE-C9005FC3E0CB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C2A1F48-2D21-5ACA-D42C-99FC26A1B6B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AA1CFEF-E69B-69F6-9F5A-7A6089CE613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B714F8E7-C9DB-ED95-7BC9-D93BB489476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39065B4-47F4-B69E-AFCD-81F71DEFDF49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F5BEFA19-23CB-7DD6-B600-48E306F6367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565F1C1-7F59-C5E7-92CC-4990B104AB4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422F16D-6B4C-7DFB-242E-EE69B7BF295F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4E2E231-3375-2C53-FE3F-65B30BA548F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9D824BB-A113-A751-7FF8-BDCB54729AD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01577279-CF03-C745-F8A8-A665D75D6D59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6C3CF12-11FA-B8D1-A860-A5474E6F13FC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3465093-CA2A-53DF-18F4-7A6A268077B4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0E1A2FD-E88E-F2DF-3F8A-D2CBBD8F7DA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97D7CEDC-43C1-9C8B-71E8-D9D81E92A2D4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4AEFCA6-BC88-2F78-EDC9-4CA629E082F7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8BDCEBB-A593-6275-20F8-ED9EA8B9357C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12BF053A-7D83-8378-DEE6-A5B0BD029F76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5E5DCB43-E560-2415-FBF1-4626F22EAD8A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29037F95-BD37-3375-2956-7949BB704DE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0E63636-64D5-66FE-676B-E0CA3499EB7D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4F3E5EA-DECF-2E77-6318-ED1A34BC053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E73A35A-8B2F-05B6-C993-B57BF15472A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E45E7E5E-173A-28E2-8366-929CE520AFCF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06ADCE7F-7D7A-707C-16B6-6DCD3083686F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B76D4E13-E99D-1AFA-E7CD-C39C62BC6C5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3A355C33-D1D1-8D55-1D94-1ABBDDA4F6AE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EEB8FD78-21C8-72A5-D84F-69D06FCF4AE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5976901B-CA09-016E-D6F7-5B8BA616D30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EADDB975-5A08-8AEE-1930-3164A8159CDE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8F47335-F00D-D803-56FA-86628CD15C83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5A1B331-9BDE-FFA8-58DF-23302E76EB7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B16E77C8-2526-9B6F-9466-9821ED12B96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157F4FE-6932-F444-98C5-B7E80AC2E540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0DABBFDA-6750-715E-4E19-9FCC38BC959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D134EAF-D7EA-F2B2-8E8B-9D8D8175A16D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D267F44-B3AD-B354-5348-504CF415D126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3CE2B429-91F2-4056-48BC-A0ED0EED6DD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032952A-A4A1-82F2-F803-70322B67CDF4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B3D4605F-B20D-DAD9-8D95-034F5543E539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643B5D0-79DA-EF30-75FD-E59A81C2313E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40CB302-723E-B649-D388-4D8E5F26685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2B854476-3AE5-104F-8FDC-24C1A58A71FB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ED4CF72-2960-2027-97A9-D87FA1931912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D8494CB-A4CD-AB0A-A79C-F14A4003F36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CBCF888D-C312-423E-AAD3-FF3E2C122C31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B587ADCF-6BC7-B501-916D-6C0948A9E2E7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E8E96BAA-4F2F-4773-FF67-CB8AEFE6C22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D7527F4F-AF88-2E5A-F831-C37A4F29F21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0E302C30-F133-319D-1179-396EE0CF749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B5413E9C-EDEE-734A-13E7-9069DF09EB73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113F0E4-04B6-AB9B-79A1-D712C072967B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E41B297-0EF6-C13C-998A-D622A7EF8985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9FA0531-D50D-5495-1B25-AA420982CBF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895F8B72-1E7C-0B71-CE8B-DD79E1CC605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5AE632A-3D42-BC68-9466-81DCCE2EF47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3E72B5C5-F99F-D24A-8FBF-7BB2B434CE1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4B2E2A20-3E17-5DF4-2AA2-F1B038589B5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4A13CD0C-ADC7-E826-2BB3-68AF0C55C584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681C494-195C-4BA9-99A4-8ACE89C3053D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BE05B984-750C-F83E-725E-C1BECAD3F8F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G34" sqref="G34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36967</v>
      </c>
      <c r="E4" s="848">
        <f>Weather_Input!A6</f>
        <v>36968</v>
      </c>
      <c r="F4" s="848">
        <f>Weather_Input!A7</f>
        <v>36969</v>
      </c>
      <c r="G4" s="848">
        <f>Weather_Input!A8</f>
        <v>36970</v>
      </c>
      <c r="H4" s="848">
        <f>Weather_Input!A9</f>
        <v>36971</v>
      </c>
      <c r="I4" s="849">
        <f>Weather_Input!A10</f>
        <v>36972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37/18/28</v>
      </c>
      <c r="E5" s="882" t="str">
        <f>TEXT(Weather_Input!B6,"0")&amp;"/"&amp;TEXT(Weather_Input!C6,"0") &amp; "/" &amp; TEXT((Weather_Input!B6+Weather_Input!C6)/2,"0")</f>
        <v>46/29/38</v>
      </c>
      <c r="F5" s="882" t="str">
        <f>TEXT(Weather_Input!B7,"0")&amp;"/"&amp;TEXT(Weather_Input!C7,"0") &amp; "/" &amp; TEXT((Weather_Input!B7+Weather_Input!C7)/2,"0")</f>
        <v>49/32/41</v>
      </c>
      <c r="G5" s="882" t="str">
        <f>TEXT(Weather_Input!B8,"0")&amp;"/"&amp;TEXT(Weather_Input!C8,"0") &amp; "/" &amp; TEXT((Weather_Input!B8+Weather_Input!C8)/2,"0")</f>
        <v>51/35/43</v>
      </c>
      <c r="H5" s="882" t="str">
        <f>TEXT(Weather_Input!B9,"0")&amp;"/"&amp;TEXT(Weather_Input!C9,"0") &amp; "/" &amp; TEXT((Weather_Input!B9+Weather_Input!C9)/2,"0")</f>
        <v>49/31/40</v>
      </c>
      <c r="I5" s="883" t="str">
        <f>TEXT(Weather_Input!B10,"0")&amp;"/"&amp;TEXT(Weather_Input!C10,"0") &amp; "/" &amp; TEXT((Weather_Input!B10+Weather_Input!C10)/2,"0")</f>
        <v>49/31/40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153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117</v>
      </c>
      <c r="G6" s="851">
        <f ca="1">VLOOKUP(G4,NSG_Sendouts,CELL("Col",NSG_Deliveries!C8),FALSE)/1000</f>
        <v>110</v>
      </c>
      <c r="H6" s="851">
        <f ca="1">VLOOKUP(H4,NSG_Sendouts,CELL("Col",NSG_Deliveries!C9),FALSE)/1000</f>
        <v>116</v>
      </c>
      <c r="I6" s="856">
        <f ca="1">VLOOKUP(I4,NSG_Sendouts,CELL("Col",NSG_Deliveries!C10),FALSE)/1000</f>
        <v>118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4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157</v>
      </c>
      <c r="E19" s="860">
        <f t="shared" ca="1" si="1"/>
        <v>130</v>
      </c>
      <c r="F19" s="860">
        <f t="shared" ca="1" si="1"/>
        <v>117</v>
      </c>
      <c r="G19" s="860">
        <f t="shared" ca="1" si="1"/>
        <v>110</v>
      </c>
      <c r="H19" s="860">
        <f t="shared" ca="1" si="1"/>
        <v>116</v>
      </c>
      <c r="I19" s="861">
        <f t="shared" ca="1" si="1"/>
        <v>118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9.35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86.248999999999995</v>
      </c>
      <c r="E32" s="851">
        <f>NSG_Supplies!R8/1000</f>
        <v>86.248999999999995</v>
      </c>
      <c r="F32" s="851">
        <f>NSG_Supplies!R9/1000</f>
        <v>86.248999999999995</v>
      </c>
      <c r="G32" s="851">
        <f>NSG_Supplies!R10/1000</f>
        <v>86.248999999999995</v>
      </c>
      <c r="H32" s="851">
        <f>NSG_Supplies!R11/1000</f>
        <v>86.248999999999995</v>
      </c>
      <c r="I32" s="852">
        <f>NSG_Supplies!R12/1000</f>
        <v>86.248999999999995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0.1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175.69899999999998</v>
      </c>
      <c r="E37" s="891">
        <f t="shared" si="2"/>
        <v>146.249</v>
      </c>
      <c r="F37" s="891">
        <f t="shared" si="2"/>
        <v>126.249</v>
      </c>
      <c r="G37" s="891">
        <f t="shared" si="2"/>
        <v>126.249</v>
      </c>
      <c r="H37" s="891">
        <f t="shared" si="2"/>
        <v>126.249</v>
      </c>
      <c r="I37" s="892">
        <f t="shared" si="2"/>
        <v>126.249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18.698999999999984</v>
      </c>
      <c r="E38" s="895">
        <f t="shared" ca="1" si="3"/>
        <v>16.248999999999995</v>
      </c>
      <c r="F38" s="895">
        <f t="shared" ca="1" si="3"/>
        <v>9.2489999999999952</v>
      </c>
      <c r="G38" s="895">
        <f t="shared" ca="1" si="3"/>
        <v>16.248999999999995</v>
      </c>
      <c r="H38" s="895">
        <f t="shared" ca="1" si="3"/>
        <v>10.248999999999995</v>
      </c>
      <c r="I38" s="896">
        <f t="shared" ca="1" si="3"/>
        <v>8.2489999999999952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36.24</v>
      </c>
      <c r="E40" s="1175">
        <f>NSG_Supplies!S8/1000</f>
        <v>36.24</v>
      </c>
      <c r="F40" s="1175">
        <f>NSG_Supplies!S9/1000</f>
        <v>36.24</v>
      </c>
      <c r="G40" s="1175">
        <f>NSG_Supplies!S10/1000</f>
        <v>36.24</v>
      </c>
      <c r="H40" s="1175">
        <f>NSG_Supplies!S11/1000</f>
        <v>36.24</v>
      </c>
      <c r="I40" s="1176">
        <f>NSG_Supplies!S12/1000</f>
        <v>36.24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8</v>
      </c>
      <c r="E42" s="902">
        <f>Weather_Input!D6</f>
        <v>7</v>
      </c>
      <c r="F42" s="902">
        <f>Weather_Input!D7</f>
        <v>10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9" sqref="A19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36967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>
        <v>27.8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37</v>
      </c>
      <c r="C4" s="965">
        <f>Weather_Input!C5</f>
        <v>18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946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210.47499999999999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70.400000000000006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-249.64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153.91500000000002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238.672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5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149.75399999999999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578.57600000000002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367.42399999999998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SUM(B54+B56+B57)</f>
        <v>3.75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371.17399999999998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7.32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-378.49099999999999</v>
      </c>
      <c r="D29" s="987" t="s">
        <v>11</v>
      </c>
      <c r="E29" s="986">
        <f>-PGL_Supplies!AC7/1000</f>
        <v>-378.49099999999999</v>
      </c>
      <c r="F29" s="307"/>
      <c r="G29" s="986">
        <f>-PGL_Supplies!AC7/1000</f>
        <v>-378.49099999999999</v>
      </c>
      <c r="H29" s="515"/>
      <c r="I29" s="988">
        <f>-PGL_Supplies!AC7/1000</f>
        <v>-378.49099999999999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10.5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220.97499999999999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210.47499999999999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0.4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70.400000000000006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153.61500000000001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0.3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153.91500000000002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-249.64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2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236.672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6.3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238.672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156.054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236.672</v>
      </c>
    </row>
    <row r="63" spans="1:9" ht="16.5" thickBot="1">
      <c r="A63" s="800" t="s">
        <v>565</v>
      </c>
      <c r="B63" s="1020">
        <f>+B62+B61-B60+B59</f>
        <v>149.75399999999999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1" zoomScale="75" workbookViewId="0">
      <selection activeCell="A27" sqref="A27"/>
    </sheetView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36967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>
        <v>27.8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18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153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76.900000000000006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16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60.1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76.900000000000006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-9.35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-86.248999999999995</v>
      </c>
      <c r="D26" s="719"/>
      <c r="E26" s="712">
        <f>-NSG_Supplies!R7/1000</f>
        <v>-86.248999999999995</v>
      </c>
      <c r="F26" s="719"/>
      <c r="G26" s="712">
        <f>-NSG_Supplies!R7/1000</f>
        <v>-86.248999999999995</v>
      </c>
      <c r="H26" s="718"/>
      <c r="I26" s="777">
        <f>-NSG_Supplies!R7/1000</f>
        <v>-86.248999999999995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0.1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60.1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4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16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18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946</v>
      </c>
      <c r="C8" s="274">
        <f>NSG_Deliveries!C5/1000</f>
        <v>153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70.400000000000006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482.91500000000002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120.72899999999998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-680.0440000000001</v>
      </c>
      <c r="C18" s="289">
        <f>-I63</f>
        <v>-60.1</v>
      </c>
      <c r="D18" s="290" t="s">
        <v>11</v>
      </c>
      <c r="E18" s="289">
        <f>-I63</f>
        <v>-60.1</v>
      </c>
      <c r="F18" s="290" t="s">
        <v>11</v>
      </c>
      <c r="G18" s="289">
        <f>-I63</f>
        <v>-60.1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265.9559999999999</v>
      </c>
      <c r="C20" s="295">
        <f>C8+C18+C19</f>
        <v>92.9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269.7059999999999</v>
      </c>
      <c r="C23" s="301">
        <f>C20</f>
        <v>92.9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-378.49099999999999</v>
      </c>
      <c r="C32" s="315">
        <f>-NSG_Supplies!R7/1000</f>
        <v>-86.248999999999995</v>
      </c>
      <c r="D32" s="315">
        <f>B32</f>
        <v>-378.49099999999999</v>
      </c>
      <c r="E32" s="315">
        <f>C32</f>
        <v>-86.248999999999995</v>
      </c>
      <c r="F32" s="315">
        <f>B32</f>
        <v>-378.49099999999999</v>
      </c>
      <c r="G32" s="315">
        <f>C32</f>
        <v>-86.248999999999995</v>
      </c>
      <c r="H32" s="320">
        <f>B32</f>
        <v>-378.49099999999999</v>
      </c>
      <c r="I32" s="321">
        <f>C32</f>
        <v>-86.248999999999995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-36.24</v>
      </c>
      <c r="D33" s="315">
        <f>B33</f>
        <v>0</v>
      </c>
      <c r="E33" s="315">
        <f>C33</f>
        <v>-36.24</v>
      </c>
      <c r="F33" s="315">
        <f>B33</f>
        <v>0</v>
      </c>
      <c r="G33" s="315">
        <f>C33</f>
        <v>-36.24</v>
      </c>
      <c r="H33" s="320">
        <f>B33</f>
        <v>0</v>
      </c>
      <c r="I33" s="321">
        <f>C33</f>
        <v>-36.24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7.32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-9.35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339.8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153.61500000000001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10.5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482.91500000000002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0.1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70.400000000000006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70.400000000000006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60.1</v>
      </c>
    </row>
    <row r="64" spans="1:9" ht="17.100000000000001" customHeight="1" thickBot="1">
      <c r="A64" s="425" t="s">
        <v>394</v>
      </c>
      <c r="B64" s="324">
        <f>PGL_Supplies!Y7/1000</f>
        <v>220.97499999999999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149.75399999999999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6.3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120.72899999999998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77.319999999999993</v>
      </c>
      <c r="D97" s="603"/>
      <c r="E97" s="615">
        <f>+C97</f>
        <v>77.319999999999993</v>
      </c>
      <c r="F97" s="603"/>
      <c r="G97" s="615">
        <f>+C97</f>
        <v>77.319999999999993</v>
      </c>
      <c r="H97" s="603"/>
      <c r="I97" s="285">
        <f>+C97</f>
        <v>77.319999999999993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-10006.585000000001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370.72899999999998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-153.61500000000001</v>
      </c>
      <c r="C117" s="315">
        <f>-NSG_Supplies!X7/1000</f>
        <v>0</v>
      </c>
      <c r="D117" s="315">
        <f>-PGL_Supplies!AA7/1000</f>
        <v>-153.61500000000001</v>
      </c>
      <c r="E117" s="315">
        <f>-NSG_Supplies!X7/1000</f>
        <v>0</v>
      </c>
      <c r="F117" s="315">
        <f>-PGL_Supplies!AA7/1000</f>
        <v>-153.61500000000001</v>
      </c>
      <c r="G117" s="315">
        <f>-NSG_Supplies!X7/1000</f>
        <v>0</v>
      </c>
      <c r="H117" s="320">
        <f>-PGL_Supplies!AA7/1000</f>
        <v>-153.61500000000001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-36.24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7.32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77.319999999999993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10500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153.61500000000001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0.3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339.5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-10006.585000000001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6.3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156.054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220.97499999999999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370.72899999999998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36968.157635648146</v>
      </c>
      <c r="F22" s="164" t="s">
        <v>272</v>
      </c>
      <c r="G22" s="191">
        <f ca="1">NOW()</f>
        <v>36968.157635648146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36968.157635648146</v>
      </c>
      <c r="F22" s="164" t="s">
        <v>272</v>
      </c>
      <c r="G22" s="191">
        <f ca="1">NOW()</f>
        <v>36968.157635648146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36967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18</v>
      </c>
      <c r="F6" s="24" t="s">
        <v>293</v>
      </c>
      <c r="G6" s="25">
        <f>Weather_Input!F5</f>
        <v>542</v>
      </c>
      <c r="H6" s="26" t="s">
        <v>294</v>
      </c>
      <c r="I6" s="27">
        <f ca="1">G6-(VLOOKUP(B5,DD_Normal_Data,CELL("Col",C7),FALSE))</f>
        <v>29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27.5</v>
      </c>
      <c r="F7" s="24" t="s">
        <v>296</v>
      </c>
      <c r="G7" s="25">
        <f>Weather_Input!G5</f>
        <v>5627</v>
      </c>
      <c r="H7" s="26" t="s">
        <v>296</v>
      </c>
      <c r="I7" s="123">
        <f ca="1">G7-(VLOOKUP(B5,DD_Normal_Data,CELL("Col",D4),FALSE))</f>
        <v>319</v>
      </c>
      <c r="J7" s="123"/>
    </row>
    <row r="8" spans="1:109" ht="15">
      <c r="A8" s="18"/>
      <c r="B8" s="20"/>
      <c r="C8" s="15"/>
      <c r="D8" s="32" t="str">
        <f>IF(Weather_Input!I5=""," ",Weather_Input!I5)</f>
        <v>LIGHT SNOW OR FLURRIES…MAINLY SOUTH AND N.E. INDIANA..ENDING THIS A.M. BE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COMING PARTLY SUNNY. NORTH WINDS 10/15. AT NIGHT, CLEAR AND COLD.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36968</v>
      </c>
      <c r="C10" s="15"/>
      <c r="D10" s="153" t="s">
        <v>290</v>
      </c>
      <c r="E10" s="23">
        <f>Weather_Input!B6</f>
        <v>46</v>
      </c>
      <c r="F10" s="24" t="s">
        <v>291</v>
      </c>
      <c r="G10" s="25">
        <f>IF(E12&lt;65,65-(Weather_Input!B6+Weather_Input!C6)/2,0)</f>
        <v>27.5</v>
      </c>
      <c r="H10" s="26" t="s">
        <v>292</v>
      </c>
      <c r="I10" s="27">
        <f ca="1">G10-(VLOOKUP(B10,DD_Normal_Data,CELL("Col",B11),FALSE))</f>
        <v>0.5</v>
      </c>
    </row>
    <row r="11" spans="1:109" ht="15">
      <c r="A11" s="18"/>
      <c r="B11" s="21"/>
      <c r="C11" s="15"/>
      <c r="D11" s="22" t="s">
        <v>176</v>
      </c>
      <c r="E11" s="23">
        <f>Weather_Input!C6</f>
        <v>29</v>
      </c>
      <c r="F11" s="24" t="s">
        <v>293</v>
      </c>
      <c r="G11" s="25">
        <f>IF(DAY(B10)=1,G10,G6+G10)</f>
        <v>569.5</v>
      </c>
      <c r="H11" s="30" t="s">
        <v>294</v>
      </c>
      <c r="I11" s="27">
        <f ca="1">G11-(VLOOKUP(B10,DD_Normal_Data,CELL("Col",C12),FALSE))</f>
        <v>29.5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37.5</v>
      </c>
      <c r="F12" s="24" t="s">
        <v>296</v>
      </c>
      <c r="G12" s="25">
        <f>IF(AND(DAY(B10)=1,MONTH(B10)=8),G10,G7+G10)</f>
        <v>5654.5</v>
      </c>
      <c r="H12" s="26" t="s">
        <v>296</v>
      </c>
      <c r="I12" s="27">
        <f ca="1">G12-(VLOOKUP(B10,DD_Normal_Data,CELL("Col",D9),FALSE))</f>
        <v>319.5</v>
      </c>
    </row>
    <row r="13" spans="1:109" ht="15">
      <c r="A13" s="18"/>
      <c r="B13" s="21"/>
      <c r="C13" s="15"/>
      <c r="D13" s="32" t="str">
        <f>IF(Weather_Input!I6=""," ",Weather_Input!I6)</f>
        <v>SUNNY AND WARMER. AT NIGHT, FAIR.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36969</v>
      </c>
      <c r="C15" s="15"/>
      <c r="D15" s="22" t="s">
        <v>290</v>
      </c>
      <c r="E15" s="23">
        <f>Weather_Input!B7</f>
        <v>49</v>
      </c>
      <c r="F15" s="24" t="s">
        <v>291</v>
      </c>
      <c r="G15" s="25">
        <f>IF(E17&lt;65,65-(Weather_Input!B7+Weather_Input!C7)/2,0)</f>
        <v>24.5</v>
      </c>
      <c r="H15" s="26" t="s">
        <v>292</v>
      </c>
      <c r="I15" s="27">
        <f ca="1">G15-(VLOOKUP(B15,DD_Normal_Data,CELL("Col",B16),FALSE))</f>
        <v>-1.5</v>
      </c>
    </row>
    <row r="16" spans="1:109" ht="15">
      <c r="A16" s="18"/>
      <c r="B16" s="20"/>
      <c r="C16" s="15"/>
      <c r="D16" s="22" t="s">
        <v>176</v>
      </c>
      <c r="E16" s="23">
        <f>Weather_Input!C7</f>
        <v>32</v>
      </c>
      <c r="F16" s="24" t="s">
        <v>293</v>
      </c>
      <c r="G16" s="25">
        <f>IF(DAY(B15)=1,G15,G11+G15)</f>
        <v>594</v>
      </c>
      <c r="H16" s="30" t="s">
        <v>294</v>
      </c>
      <c r="I16" s="27">
        <f ca="1">G16-(VLOOKUP(B15,DD_Normal_Data,CELL("Col",C17),FALSE))</f>
        <v>28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40.5</v>
      </c>
      <c r="F17" s="24" t="s">
        <v>296</v>
      </c>
      <c r="G17" s="25">
        <f>IF(AND(DAY(B15)=1,MONTH(B15)=8),G15,G12+G15)</f>
        <v>5679</v>
      </c>
      <c r="H17" s="26" t="s">
        <v>296</v>
      </c>
      <c r="I17" s="27">
        <f ca="1">G17-(VLOOKUP(B15,DD_Normal_Data,CELL("Col",D14),FALSE))</f>
        <v>318</v>
      </c>
    </row>
    <row r="18" spans="1:109" ht="15">
      <c r="A18" s="18"/>
      <c r="B18" s="20"/>
      <c r="C18" s="15"/>
      <c r="D18" s="32" t="str">
        <f>IF(Weather_Input!I7=""," ",Weather_Input!I7)</f>
        <v>MOSTLY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36970</v>
      </c>
      <c r="C20" s="15"/>
      <c r="D20" s="22" t="s">
        <v>290</v>
      </c>
      <c r="E20" s="23">
        <f>Weather_Input!B8</f>
        <v>51</v>
      </c>
      <c r="F20" s="24" t="s">
        <v>291</v>
      </c>
      <c r="G20" s="25">
        <f>IF(E22&lt;65,65-(Weather_Input!B8+Weather_Input!C8)/2,0)</f>
        <v>22</v>
      </c>
      <c r="H20" s="26" t="s">
        <v>292</v>
      </c>
      <c r="I20" s="27">
        <f ca="1">G20-(VLOOKUP(B20,DD_Normal_Data,CELL("Col",B21),FALSE))</f>
        <v>-4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616</v>
      </c>
      <c r="H21" s="30" t="s">
        <v>294</v>
      </c>
      <c r="I21" s="27">
        <f ca="1">G21-(VLOOKUP(B20,DD_Normal_Data,CELL("Col",C22),FALSE))</f>
        <v>24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43</v>
      </c>
      <c r="F22" s="24" t="s">
        <v>296</v>
      </c>
      <c r="G22" s="25">
        <f>IF(AND(DAY(B20)=1,MONTH(B20)=8),G20,G17+G20)</f>
        <v>5701</v>
      </c>
      <c r="H22" s="26" t="s">
        <v>296</v>
      </c>
      <c r="I22" s="27">
        <f ca="1">G22-(VLOOKUP(B20,DD_Normal_Data,CELL("Col",D19),FALSE))</f>
        <v>314</v>
      </c>
    </row>
    <row r="23" spans="1:109" ht="15">
      <c r="A23" s="18"/>
      <c r="B23" s="21"/>
      <c r="C23" s="15"/>
      <c r="D23" s="32" t="str">
        <f>IF(Weather_Input!I8=""," ",Weather_Input!I8)</f>
        <v>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36971</v>
      </c>
      <c r="C25" s="15"/>
      <c r="D25" s="22" t="s">
        <v>290</v>
      </c>
      <c r="E25" s="23">
        <f>Weather_Input!B9</f>
        <v>49</v>
      </c>
      <c r="F25" s="24" t="s">
        <v>291</v>
      </c>
      <c r="G25" s="25">
        <f>IF(E27&lt;65,65-(Weather_Input!B9+Weather_Input!C9)/2,0)</f>
        <v>25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641</v>
      </c>
      <c r="H26" s="30" t="s">
        <v>294</v>
      </c>
      <c r="I26" s="27">
        <f ca="1">G26-(VLOOKUP(B25,DD_Normal_Data,CELL("Col",C27),FALSE))</f>
        <v>23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</v>
      </c>
      <c r="F27" s="24" t="s">
        <v>296</v>
      </c>
      <c r="G27" s="25">
        <f>IF(AND(DAY(B25)=1,MONTH(B25)=8),G25,G22+G25)</f>
        <v>5726</v>
      </c>
      <c r="H27" s="26" t="s">
        <v>296</v>
      </c>
      <c r="I27" s="27">
        <f ca="1">G27-(VLOOKUP(B25,DD_Normal_Data,CELL("Col",D24),FALSE))</f>
        <v>313</v>
      </c>
    </row>
    <row r="28" spans="1:109" ht="15">
      <c r="A28" s="18"/>
      <c r="B28" s="20"/>
      <c r="C28" s="15"/>
      <c r="D28" s="32" t="str">
        <f>IF(Weather_Input!I9=""," ",Weather_Input!I9)</f>
        <v>A 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36972</v>
      </c>
      <c r="C30" s="15"/>
      <c r="D30" s="22" t="s">
        <v>290</v>
      </c>
      <c r="E30" s="23">
        <f>Weather_Input!B10</f>
        <v>49</v>
      </c>
      <c r="F30" s="24" t="s">
        <v>291</v>
      </c>
      <c r="G30" s="25">
        <f>IF(E32&lt;65,65-(Weather_Input!B10+Weather_Input!C10)/2,0)</f>
        <v>25</v>
      </c>
      <c r="H30" s="26" t="s">
        <v>292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666</v>
      </c>
      <c r="H31" s="30" t="s">
        <v>294</v>
      </c>
      <c r="I31" s="27">
        <f ca="1">G31-(VLOOKUP(B30,DD_Normal_Data,CELL("Col",C32),FALSE))</f>
        <v>23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</v>
      </c>
      <c r="F32" s="24" t="s">
        <v>296</v>
      </c>
      <c r="G32" s="25">
        <f>IF(AND(DAY(B30)=1,MONTH(B30)=8),G30,G27+G30)</f>
        <v>5751</v>
      </c>
      <c r="H32" s="26" t="s">
        <v>296</v>
      </c>
      <c r="I32" s="27">
        <f ca="1">G32-(VLOOKUP(B30,DD_Normal_Data,CELL("Col",D29),FALSE))</f>
        <v>313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36967</v>
      </c>
      <c r="C36" s="91">
        <f>B10</f>
        <v>36968</v>
      </c>
      <c r="D36" s="91">
        <f>B15</f>
        <v>36969</v>
      </c>
      <c r="E36" s="91">
        <f xml:space="preserve">       B20</f>
        <v>36970</v>
      </c>
      <c r="F36" s="91">
        <f>B25</f>
        <v>36971</v>
      </c>
      <c r="G36" s="91">
        <f>B30</f>
        <v>36972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946</v>
      </c>
      <c r="C37" s="41">
        <f ca="1">(VLOOKUP(C36,PGL_Sendouts,(CELL("COL",PGL_Deliveries!C7))))/1000</f>
        <v>835</v>
      </c>
      <c r="D37" s="41">
        <f ca="1">(VLOOKUP(D36,PGL_Sendouts,(CELL("COL",PGL_Deliveries!C8))))/1000</f>
        <v>770</v>
      </c>
      <c r="E37" s="41">
        <f ca="1">(VLOOKUP(E36,PGL_Sendouts,(CELL("COL",PGL_Deliveries!C9))))/1000</f>
        <v>725</v>
      </c>
      <c r="F37" s="41">
        <f ca="1">(VLOOKUP(F36,PGL_Sendouts,(CELL("COL",PGL_Deliveries!C10))))/1000</f>
        <v>755</v>
      </c>
      <c r="G37" s="41">
        <f ca="1">(VLOOKUP(G36,PGL_Sendouts,(CELL("COL",PGL_Deliveries!C10))))/1000</f>
        <v>760</v>
      </c>
      <c r="H37" s="14"/>
      <c r="I37" s="15"/>
    </row>
    <row r="38" spans="1:9" ht="15">
      <c r="A38" s="15" t="s">
        <v>301</v>
      </c>
      <c r="B38" s="41">
        <f>PGL_6_Day_Report!D30</f>
        <v>1224.51</v>
      </c>
      <c r="C38" s="41">
        <f>PGL_6_Day_Report!E30</f>
        <v>1089.3900000000001</v>
      </c>
      <c r="D38" s="41">
        <f>PGL_6_Day_Report!F30</f>
        <v>1024.3900000000001</v>
      </c>
      <c r="E38" s="41">
        <f>PGL_6_Day_Report!G30</f>
        <v>979.39</v>
      </c>
      <c r="F38" s="41">
        <f>PGL_6_Day_Report!H30</f>
        <v>1009.39</v>
      </c>
      <c r="G38" s="41">
        <f>PGL_6_Day_Report!I30</f>
        <v>1014.39</v>
      </c>
      <c r="H38" s="14"/>
      <c r="I38" s="15"/>
    </row>
    <row r="39" spans="1:9" ht="15">
      <c r="A39" s="42" t="s">
        <v>109</v>
      </c>
      <c r="B39" s="41">
        <f>SUM(PGL_Supplies!Z7:AE7)/1000</f>
        <v>994.83199999999999</v>
      </c>
      <c r="C39" s="41">
        <f>SUM(PGL_Supplies!Z8:AE8)/1000</f>
        <v>910.02300000000002</v>
      </c>
      <c r="D39" s="41">
        <f>SUM(PGL_Supplies!Z9:AE9)/1000</f>
        <v>852.23099999999999</v>
      </c>
      <c r="E39" s="41">
        <f>SUM(PGL_Supplies!Z10:AE10)/1000</f>
        <v>852.77800000000002</v>
      </c>
      <c r="F39" s="41">
        <f>SUM(PGL_Supplies!Z11:AE11)/1000</f>
        <v>852.77800000000002</v>
      </c>
      <c r="G39" s="41">
        <f>SUM(PGL_Supplies!Z12:AE12)/1000</f>
        <v>852.77800000000002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339.5</v>
      </c>
      <c r="C42" s="41">
        <f>PGL_Supplies!V8/1000</f>
        <v>339.5</v>
      </c>
      <c r="D42" s="41">
        <f>PGL_Supplies!V9/1000</f>
        <v>339.5</v>
      </c>
      <c r="E42" s="41">
        <f>PGL_Supplies!V10/1000</f>
        <v>339.5</v>
      </c>
      <c r="F42" s="41">
        <f>PGL_Supplies!V11/1000</f>
        <v>339.5</v>
      </c>
      <c r="G42" s="41">
        <f>PGL_Supplies!V12/1000</f>
        <v>339.5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36967</v>
      </c>
      <c r="C44" s="91">
        <f t="shared" si="0"/>
        <v>36968</v>
      </c>
      <c r="D44" s="91">
        <f t="shared" si="0"/>
        <v>36969</v>
      </c>
      <c r="E44" s="91">
        <f t="shared" si="0"/>
        <v>36970</v>
      </c>
      <c r="F44" s="91">
        <f t="shared" si="0"/>
        <v>36971</v>
      </c>
      <c r="G44" s="91">
        <f t="shared" si="0"/>
        <v>36972</v>
      </c>
      <c r="H44" s="14"/>
      <c r="I44" s="15"/>
    </row>
    <row r="45" spans="1:9" ht="15">
      <c r="A45" s="15" t="s">
        <v>56</v>
      </c>
      <c r="B45" s="41">
        <f ca="1">NSG_6_Day_Report!D6</f>
        <v>153</v>
      </c>
      <c r="C45" s="41">
        <f ca="1">NSG_6_Day_Report!E6</f>
        <v>130</v>
      </c>
      <c r="D45" s="41">
        <f ca="1">NSG_6_Day_Report!F6</f>
        <v>117</v>
      </c>
      <c r="E45" s="41">
        <f ca="1">NSG_6_Day_Report!G6</f>
        <v>110</v>
      </c>
      <c r="F45" s="41">
        <f ca="1">NSG_6_Day_Report!H6</f>
        <v>116</v>
      </c>
      <c r="G45" s="41">
        <f ca="1">NSG_6_Day_Report!I6</f>
        <v>118</v>
      </c>
      <c r="H45" s="14"/>
      <c r="I45" s="15"/>
    </row>
    <row r="46" spans="1:9" ht="15">
      <c r="A46" s="42" t="s">
        <v>301</v>
      </c>
      <c r="B46" s="41">
        <f ca="1">NSG_6_Day_Report!D19</f>
        <v>157</v>
      </c>
      <c r="C46" s="41">
        <f ca="1">NSG_6_Day_Report!E19</f>
        <v>130</v>
      </c>
      <c r="D46" s="41">
        <f ca="1">NSG_6_Day_Report!F19</f>
        <v>117</v>
      </c>
      <c r="E46" s="41">
        <f ca="1">NSG_6_Day_Report!G19</f>
        <v>110</v>
      </c>
      <c r="F46" s="41">
        <f ca="1">NSG_6_Day_Report!H19</f>
        <v>116</v>
      </c>
      <c r="G46" s="41">
        <f ca="1">NSG_6_Day_Report!I19</f>
        <v>118</v>
      </c>
      <c r="H46" s="14"/>
      <c r="I46" s="15"/>
    </row>
    <row r="47" spans="1:9" ht="15">
      <c r="A47" s="42" t="s">
        <v>109</v>
      </c>
      <c r="B47" s="41">
        <f>SUM(NSG_Supplies!P7:R7)/1000</f>
        <v>106.249</v>
      </c>
      <c r="C47" s="41">
        <f>SUM(NSG_Supplies!P8:R8)/1000</f>
        <v>106.249</v>
      </c>
      <c r="D47" s="41">
        <f>SUM(NSG_Supplies!P9:R9)/1000</f>
        <v>106.249</v>
      </c>
      <c r="E47" s="41">
        <f>SUM(NSG_Supplies!P10:R10)/1000</f>
        <v>106.249</v>
      </c>
      <c r="F47" s="41">
        <f>SUM(NSG_Supplies!P11:R11)/1000</f>
        <v>106.249</v>
      </c>
      <c r="G47" s="41">
        <f>SUM(NSG_Supplies!P12:R12)/1000</f>
        <v>106.249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36.24</v>
      </c>
      <c r="C50" s="41">
        <f>NSG_Supplies!S8/1000</f>
        <v>36.24</v>
      </c>
      <c r="D50" s="41">
        <f>NSG_Supplies!S9/1000</f>
        <v>36.24</v>
      </c>
      <c r="E50" s="41">
        <f>NSG_Supplies!S10/1000</f>
        <v>36.24</v>
      </c>
      <c r="F50" s="41">
        <f>NSG_Supplies!S11/1000</f>
        <v>36.24</v>
      </c>
      <c r="G50" s="41">
        <f>NSG_Supplies!S12/1000</f>
        <v>36.24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36967</v>
      </c>
      <c r="C52" s="91">
        <f t="shared" si="1"/>
        <v>36968</v>
      </c>
      <c r="D52" s="91">
        <f t="shared" si="1"/>
        <v>36969</v>
      </c>
      <c r="E52" s="91">
        <f t="shared" si="1"/>
        <v>36970</v>
      </c>
      <c r="F52" s="91">
        <f t="shared" si="1"/>
        <v>36971</v>
      </c>
      <c r="G52" s="91">
        <f t="shared" si="1"/>
        <v>36972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36968</v>
      </c>
      <c r="C5" s="1147">
        <f>Weather_Input!A7</f>
        <v>36969</v>
      </c>
      <c r="D5" s="1147">
        <f>Weather_Input!A8</f>
        <v>36970</v>
      </c>
      <c r="E5" s="1147">
        <f>Weather_Input!A9</f>
        <v>36971</v>
      </c>
      <c r="F5" s="1148">
        <f>Weather_Input!A10</f>
        <v>36972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343.536</v>
      </c>
      <c r="C6" s="1149">
        <f>PGL_Supplies!AC9/1000+PGL_Supplies!L9/1000-PGL_Requirements!O9/1000+C15-PGL_Requirements!T9/1000</f>
        <v>298.01900000000001</v>
      </c>
      <c r="D6" s="1149">
        <f>PGL_Supplies!AC10/1000+PGL_Supplies!L10/1000-PGL_Requirements!O10/1000+D15-PGL_Requirements!T10/1000</f>
        <v>298.56599999999997</v>
      </c>
      <c r="E6" s="1149">
        <f>PGL_Supplies!AC11/1000+PGL_Supplies!L11/1000-PGL_Requirements!O11/1000+E15-PGL_Requirements!T11/1000</f>
        <v>298.56599999999997</v>
      </c>
      <c r="F6" s="1150">
        <f>PGL_Supplies!AC12/1000+PGL_Supplies!L12/1000-PGL_Requirements!O12/1000+F15-PGL_Requirements!T12/1000</f>
        <v>298.56599999999997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325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36968</v>
      </c>
      <c r="C22" s="1161">
        <f t="shared" si="0"/>
        <v>36969</v>
      </c>
      <c r="D22" s="1161">
        <f t="shared" si="0"/>
        <v>36970</v>
      </c>
      <c r="E22" s="1161">
        <f t="shared" si="0"/>
        <v>36971</v>
      </c>
      <c r="F22" s="1162">
        <f t="shared" si="0"/>
        <v>36972</v>
      </c>
      <c r="G22" s="100"/>
    </row>
    <row r="23" spans="1:7">
      <c r="A23" s="100" t="s">
        <v>313</v>
      </c>
      <c r="B23" s="1155">
        <f>NSG_Supplies!R8/1000+NSG_Supplies!F8/1000-NSG_Requirements!H8/1000</f>
        <v>86.248999999999995</v>
      </c>
      <c r="C23" s="1155">
        <f>NSG_Supplies!R9/1000+NSG_Supplies!F9/1000-NSG_Requirements!H9/1000</f>
        <v>86.248999999999995</v>
      </c>
      <c r="D23" s="1155">
        <f>NSG_Supplies!R10/1000+NSG_Supplies!F10/1000-NSG_Requirements!H10/1000</f>
        <v>86.248999999999995</v>
      </c>
      <c r="E23" s="1155">
        <f>NSG_Supplies!R12/1000+NSG_Supplies!F11/1000-NSG_Requirements!H11/1000</f>
        <v>86.248999999999995</v>
      </c>
      <c r="F23" s="1150">
        <f>NSG_Supplies!R12/1000+NSG_Supplies!F12/1000-NSG_Requirements!H12/1000</f>
        <v>86.248999999999995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221.005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221.005</v>
      </c>
      <c r="D14" s="438"/>
      <c r="E14" s="440">
        <f>AVERAGE(C14/24)</f>
        <v>9.2085416666666671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36968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16.248999999999995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221.005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86.248999999999995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835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541.49200000000008</v>
      </c>
      <c r="L28" s="936" t="s">
        <v>746</v>
      </c>
      <c r="M28" s="961">
        <f>SUM(J2+K17+K19+H11+H9-M26)</f>
        <v>16.248999999999995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343.536</v>
      </c>
    </row>
    <row r="30" spans="1:17" ht="10.5" customHeight="1">
      <c r="A30" s="938"/>
      <c r="B30" s="955"/>
      <c r="C30" s="936"/>
      <c r="D30" s="955"/>
      <c r="F30" s="1114">
        <f>PGL_Requirements!A8</f>
        <v>36968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50.02800000000002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791.49200000000008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541.49200000000008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36967</v>
      </c>
      <c r="B5" s="11">
        <v>37</v>
      </c>
      <c r="C5" s="49">
        <v>18</v>
      </c>
      <c r="D5" s="49">
        <v>8</v>
      </c>
      <c r="E5" s="11" t="s">
        <v>787</v>
      </c>
      <c r="F5" s="11">
        <v>542</v>
      </c>
      <c r="G5" s="11">
        <v>5627</v>
      </c>
      <c r="H5" s="11">
        <v>33</v>
      </c>
      <c r="I5" s="912" t="s">
        <v>795</v>
      </c>
      <c r="J5" s="912" t="s">
        <v>796</v>
      </c>
      <c r="K5" s="11">
        <v>4</v>
      </c>
      <c r="L5" s="11">
        <v>1</v>
      </c>
      <c r="N5" s="15" t="str">
        <f>I5&amp;" "&amp;I5</f>
        <v>LIGHT SNOW OR FLURRIES…MAINLY SOUTH AND N.E. INDIANA..ENDING THIS A.M. BE LIGHT SNOW OR FLURRIES…MAINLY SOUTH AND N.E. INDIANA..ENDING THIS A.M. BE</v>
      </c>
      <c r="AE5" s="15">
        <v>1</v>
      </c>
      <c r="AH5" s="15" t="s">
        <v>34</v>
      </c>
    </row>
    <row r="6" spans="1:34" ht="16.5" customHeight="1">
      <c r="A6" s="88">
        <f>A5+1</f>
        <v>36968</v>
      </c>
      <c r="B6" s="11">
        <v>46</v>
      </c>
      <c r="C6" s="49">
        <v>29</v>
      </c>
      <c r="D6" s="49">
        <v>7</v>
      </c>
      <c r="E6" s="11" t="s">
        <v>11</v>
      </c>
      <c r="F6" s="11" t="s">
        <v>11</v>
      </c>
      <c r="G6" s="11"/>
      <c r="H6" s="11" t="s">
        <v>11</v>
      </c>
      <c r="I6" s="912" t="s">
        <v>797</v>
      </c>
      <c r="J6" s="912" t="s">
        <v>11</v>
      </c>
      <c r="K6" s="11">
        <v>4</v>
      </c>
      <c r="L6" s="11" t="s">
        <v>634</v>
      </c>
      <c r="N6" s="15" t="str">
        <f>I6&amp;" "&amp;J6</f>
        <v xml:space="preserve">SUNNY AND WARMER. AT NIGHT, FAIR.  </v>
      </c>
      <c r="AE6" s="15">
        <v>1</v>
      </c>
      <c r="AH6" s="15" t="s">
        <v>35</v>
      </c>
    </row>
    <row r="7" spans="1:34" ht="16.5" customHeight="1">
      <c r="A7" s="88">
        <f>A6+1</f>
        <v>36969</v>
      </c>
      <c r="B7" s="11">
        <v>49</v>
      </c>
      <c r="C7" s="49">
        <v>32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12" t="s">
        <v>794</v>
      </c>
      <c r="J7" s="912" t="s">
        <v>11</v>
      </c>
      <c r="K7" s="11">
        <v>1</v>
      </c>
      <c r="L7" s="11" t="s">
        <v>22</v>
      </c>
      <c r="N7" s="15" t="str">
        <f>I7&amp;" "&amp;J7</f>
        <v xml:space="preserve">MOSTLY CLOUDY.  </v>
      </c>
    </row>
    <row r="8" spans="1:34" ht="16.5" customHeight="1">
      <c r="A8" s="88">
        <f>A7+1</f>
        <v>36970</v>
      </c>
      <c r="B8" s="11">
        <v>51</v>
      </c>
      <c r="C8" s="49">
        <v>35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798</v>
      </c>
      <c r="J8" s="912" t="s">
        <v>11</v>
      </c>
      <c r="K8" s="11">
        <v>2</v>
      </c>
      <c r="L8" s="11">
        <v>0</v>
      </c>
      <c r="N8" s="15" t="str">
        <f>I8&amp;" "&amp;J8</f>
        <v xml:space="preserve">PARTLY SUNNY.  </v>
      </c>
    </row>
    <row r="9" spans="1:34" ht="16.5" customHeight="1">
      <c r="A9" s="88">
        <f>A8+1</f>
        <v>36971</v>
      </c>
      <c r="B9" s="11">
        <v>49</v>
      </c>
      <c r="C9" s="49">
        <v>31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36972</v>
      </c>
      <c r="B10" s="11">
        <v>49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4.3780000000000001</v>
      </c>
      <c r="C2" s="60"/>
      <c r="D2" s="121" t="s">
        <v>325</v>
      </c>
      <c r="E2" s="426">
        <f>Weather_Input!A5</f>
        <v>36967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199.767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69.760999999999996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153.36799999999999</v>
      </c>
      <c r="C10" s="64"/>
      <c r="D10" s="117" t="s">
        <v>213</v>
      </c>
      <c r="E10" s="154">
        <f>PGL_Deliveries!S5/1000</f>
        <v>4.3780000000000001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11.03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256.42099999999999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144.78899999999999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-249.80399999999997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20.718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564.61400000000003</v>
      </c>
      <c r="C18" s="169"/>
      <c r="D18" s="179" t="s">
        <v>592</v>
      </c>
      <c r="E18" s="178">
        <f>SUM(E5:E17)</f>
        <v>4.3780000000000001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220.97499999999999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3.75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10.5</v>
      </c>
      <c r="D21" s="631" t="s">
        <v>593</v>
      </c>
      <c r="E21" s="211">
        <f>SUM(E18:E20)</f>
        <v>8.1470000000000002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210.47499999999999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153.61500000000001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156.054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7.32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23.044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144.78899999999999</v>
      </c>
      <c r="C34" s="64"/>
      <c r="D34" s="60" t="s">
        <v>197</v>
      </c>
      <c r="E34" s="154">
        <f>PGL_Supplies!AC7/1000</f>
        <v>378.49099999999999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394.21499999999997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236.672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3.75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18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8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8.6440000000000001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2.3860000000000001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2.5000000000000001E-2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86.248999999999995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11.2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75.048999999999992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36967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266668</v>
      </c>
      <c r="O6" s="204">
        <v>0</v>
      </c>
      <c r="P6" s="204">
        <v>36669327</v>
      </c>
      <c r="Q6" s="204">
        <v>15045098</v>
      </c>
      <c r="R6" s="204">
        <v>21624229</v>
      </c>
      <c r="S6" s="204">
        <v>0</v>
      </c>
    </row>
    <row r="7" spans="1:19">
      <c r="A7" s="4">
        <f>B1</f>
        <v>36967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232240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36901567</v>
      </c>
      <c r="Q7">
        <f>IF(O7&gt;0,Q6+O7,Q6)</f>
        <v>15045098</v>
      </c>
      <c r="R7">
        <f>IF(P7&gt;Q7,P7-Q7,0)</f>
        <v>21856469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36967</v>
      </c>
      <c r="B5" s="1">
        <f>(Weather_Input!B5+Weather_Input!C5)/2</f>
        <v>27.5</v>
      </c>
      <c r="C5" s="913">
        <v>946000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4378</v>
      </c>
      <c r="T5" s="1163">
        <v>0</v>
      </c>
      <c r="U5" s="913">
        <f>SUM(D5:S5)-T5</f>
        <v>4378</v>
      </c>
      <c r="V5" s="913">
        <v>199767</v>
      </c>
      <c r="W5" s="11">
        <v>69761</v>
      </c>
      <c r="X5" s="11">
        <v>153368</v>
      </c>
      <c r="Y5" s="11">
        <v>0</v>
      </c>
      <c r="Z5" s="11">
        <v>256421</v>
      </c>
      <c r="AA5" s="11">
        <v>0</v>
      </c>
      <c r="AB5" s="11">
        <v>0</v>
      </c>
      <c r="AC5" s="11">
        <v>0</v>
      </c>
      <c r="AD5" s="11">
        <v>144789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8644</v>
      </c>
      <c r="AK5" s="11">
        <v>2386</v>
      </c>
      <c r="AL5" s="11">
        <v>0</v>
      </c>
      <c r="AM5" s="1">
        <v>1023</v>
      </c>
      <c r="AN5" s="1"/>
      <c r="AO5" s="1">
        <v>20718</v>
      </c>
      <c r="AP5" s="1">
        <v>0</v>
      </c>
      <c r="AQ5" s="1">
        <v>0</v>
      </c>
      <c r="AR5" s="1">
        <v>23044</v>
      </c>
      <c r="AS5" s="1">
        <v>0</v>
      </c>
      <c r="AT5" s="1">
        <v>836</v>
      </c>
      <c r="AU5" s="1">
        <v>250000</v>
      </c>
      <c r="AV5" s="1">
        <v>640</v>
      </c>
      <c r="AW5" s="628">
        <f>AU5*0.015</f>
        <v>3750</v>
      </c>
      <c r="AX5" s="1">
        <v>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36968</v>
      </c>
      <c r="B6" s="1">
        <f>(Weather_Input!B6+Weather_Input!C6)/2</f>
        <v>37.5</v>
      </c>
      <c r="C6" s="913">
        <v>835000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36969</v>
      </c>
      <c r="B7" s="932">
        <f>(Weather_Input!B7+Weather_Input!C7)/2</f>
        <v>40.5</v>
      </c>
      <c r="C7" s="913">
        <v>770000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36970</v>
      </c>
      <c r="B8" s="932">
        <f>(Weather_Input!B8+Weather_Input!C8)/2</f>
        <v>43</v>
      </c>
      <c r="C8" s="913">
        <v>725000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36971</v>
      </c>
      <c r="B9" s="932">
        <f>(Weather_Input!B9+Weather_Input!C9)/2</f>
        <v>40</v>
      </c>
      <c r="C9" s="913">
        <v>755000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36972</v>
      </c>
      <c r="B10" s="932">
        <f>(Weather_Input!B10+Weather_Input!C10)/2</f>
        <v>40</v>
      </c>
      <c r="C10" s="913">
        <v>760000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36967</v>
      </c>
      <c r="B5" s="1">
        <f>(Weather_Input!B5+Weather_Input!C5)/2</f>
        <v>27.5</v>
      </c>
      <c r="C5" s="913">
        <v>153000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11200</v>
      </c>
      <c r="L5" s="1">
        <v>0</v>
      </c>
      <c r="M5" s="1">
        <v>0</v>
      </c>
      <c r="N5" s="1">
        <v>25</v>
      </c>
    </row>
    <row r="6" spans="1:14">
      <c r="A6" s="12">
        <f>A5+1</f>
        <v>36968</v>
      </c>
      <c r="B6" s="1">
        <f>(Weather_Input!B6+Weather_Input!C6)/2</f>
        <v>37.5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36969</v>
      </c>
      <c r="B7" s="932">
        <f>(Weather_Input!B7+Weather_Input!C7)/2</f>
        <v>40.5</v>
      </c>
      <c r="C7" s="913">
        <v>117000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36970</v>
      </c>
      <c r="B8" s="932">
        <f>(Weather_Input!B8+Weather_Input!C8)/2</f>
        <v>43</v>
      </c>
      <c r="C8" s="913">
        <v>110000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36971</v>
      </c>
      <c r="B9" s="932">
        <f>(Weather_Input!B9+Weather_Input!C9)/2</f>
        <v>40</v>
      </c>
      <c r="C9" s="913">
        <v>116000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36972</v>
      </c>
      <c r="B10" s="932">
        <f>(Weather_Input!B10+Weather_Input!C10)/2</f>
        <v>40</v>
      </c>
      <c r="C10" s="913">
        <v>118000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36967</v>
      </c>
      <c r="B7" s="922">
        <v>0</v>
      </c>
      <c r="C7" s="923">
        <v>0</v>
      </c>
      <c r="D7" s="626">
        <v>0</v>
      </c>
      <c r="E7" s="626">
        <v>0</v>
      </c>
      <c r="F7" s="922">
        <v>6300</v>
      </c>
      <c r="G7" s="922">
        <v>0</v>
      </c>
      <c r="H7" s="924">
        <v>0</v>
      </c>
      <c r="I7" s="625">
        <v>0</v>
      </c>
      <c r="J7" s="625">
        <v>10500</v>
      </c>
      <c r="K7" s="626">
        <v>0</v>
      </c>
      <c r="L7" s="625">
        <v>0</v>
      </c>
      <c r="M7" s="626">
        <v>0</v>
      </c>
      <c r="N7" s="626">
        <v>0</v>
      </c>
      <c r="O7" s="627">
        <v>7320</v>
      </c>
      <c r="P7" s="626">
        <v>250000</v>
      </c>
      <c r="Q7" s="628">
        <f t="shared" ref="Q7:Q12" si="0">P7*0.015</f>
        <v>3750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36967</v>
      </c>
    </row>
    <row r="8" spans="1:89" s="1" customFormat="1" ht="12.75">
      <c r="A8" s="834">
        <f>A7+1</f>
        <v>36968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36969</v>
      </c>
      <c r="AN9" s="625"/>
    </row>
    <row r="10" spans="1:89" s="1" customFormat="1" ht="12.75">
      <c r="A10" s="834">
        <f>A9+1</f>
        <v>36970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36970</v>
      </c>
    </row>
    <row r="11" spans="1:89" s="1" customFormat="1" ht="12.75">
      <c r="A11" s="834">
        <f>A10+1</f>
        <v>36971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36971</v>
      </c>
    </row>
    <row r="12" spans="1:89" s="1" customFormat="1" ht="12.75">
      <c r="A12" s="834">
        <f>A11+1</f>
        <v>36972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36967</v>
      </c>
      <c r="B7" s="628">
        <v>0</v>
      </c>
      <c r="C7" s="629">
        <v>400</v>
      </c>
      <c r="D7" s="628">
        <v>300</v>
      </c>
      <c r="E7" s="628">
        <v>2000</v>
      </c>
      <c r="F7" s="628">
        <v>0</v>
      </c>
      <c r="G7" s="922">
        <v>0</v>
      </c>
      <c r="H7" s="626">
        <v>1000</v>
      </c>
      <c r="I7" s="626">
        <v>5000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339500</v>
      </c>
      <c r="W7" s="627">
        <v>0</v>
      </c>
      <c r="X7" s="625">
        <v>0</v>
      </c>
      <c r="Y7" s="925">
        <v>220975</v>
      </c>
      <c r="Z7" s="627">
        <v>70000</v>
      </c>
      <c r="AA7" s="1">
        <v>153615</v>
      </c>
      <c r="AB7" s="625">
        <v>236672</v>
      </c>
      <c r="AC7" s="625">
        <v>378491</v>
      </c>
      <c r="AD7" s="625">
        <v>156054</v>
      </c>
      <c r="AE7" s="925">
        <v>0</v>
      </c>
      <c r="AF7" s="51">
        <f>Weather_Input!A5</f>
        <v>36967</v>
      </c>
      <c r="AI7" s="625"/>
      <c r="AJ7" s="625"/>
      <c r="AK7" s="625"/>
    </row>
    <row r="8" spans="1:37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339500</v>
      </c>
      <c r="W8" s="627">
        <v>0</v>
      </c>
      <c r="X8" s="625">
        <v>0</v>
      </c>
      <c r="Y8" s="925">
        <v>221005</v>
      </c>
      <c r="Z8" s="627">
        <v>70000</v>
      </c>
      <c r="AA8" s="1">
        <v>153615</v>
      </c>
      <c r="AB8" s="625">
        <v>236672</v>
      </c>
      <c r="AC8" s="625">
        <v>343536</v>
      </c>
      <c r="AD8" s="625">
        <v>106200</v>
      </c>
      <c r="AE8" s="925">
        <v>0</v>
      </c>
      <c r="AF8" s="834">
        <f>AF7+1</f>
        <v>36968</v>
      </c>
      <c r="AI8" s="625"/>
      <c r="AJ8" s="625"/>
      <c r="AK8" s="625"/>
    </row>
    <row r="9" spans="1:37" s="625" customFormat="1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339500</v>
      </c>
      <c r="W9" s="627">
        <v>0</v>
      </c>
      <c r="X9" s="625">
        <v>0</v>
      </c>
      <c r="Y9" s="925">
        <v>233460</v>
      </c>
      <c r="Z9" s="627">
        <v>70000</v>
      </c>
      <c r="AA9" s="1">
        <v>153615</v>
      </c>
      <c r="AB9" s="625">
        <v>224397</v>
      </c>
      <c r="AC9" s="625">
        <v>298019</v>
      </c>
      <c r="AD9" s="625">
        <v>106200</v>
      </c>
      <c r="AE9" s="925">
        <v>0</v>
      </c>
      <c r="AF9" s="834">
        <f>AF8+1</f>
        <v>36969</v>
      </c>
    </row>
    <row r="10" spans="1:37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339500</v>
      </c>
      <c r="W10" s="627">
        <v>0</v>
      </c>
      <c r="X10" s="625">
        <v>0</v>
      </c>
      <c r="Y10" s="925">
        <v>223250</v>
      </c>
      <c r="Z10" s="627">
        <v>70000</v>
      </c>
      <c r="AA10" s="1">
        <v>153615</v>
      </c>
      <c r="AB10" s="625">
        <v>224397</v>
      </c>
      <c r="AC10" s="625">
        <v>298566</v>
      </c>
      <c r="AD10" s="625">
        <v>106200</v>
      </c>
      <c r="AE10" s="925">
        <v>0</v>
      </c>
      <c r="AF10" s="834">
        <f>AF9+1</f>
        <v>36970</v>
      </c>
      <c r="AI10" s="625"/>
      <c r="AJ10" s="625"/>
      <c r="AK10" s="625"/>
    </row>
    <row r="11" spans="1:37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339500</v>
      </c>
      <c r="W11" s="627">
        <v>0</v>
      </c>
      <c r="X11" s="625">
        <v>0</v>
      </c>
      <c r="Y11" s="925">
        <v>223250</v>
      </c>
      <c r="Z11" s="627">
        <v>70000</v>
      </c>
      <c r="AA11" s="1">
        <v>153615</v>
      </c>
      <c r="AB11" s="625">
        <v>224397</v>
      </c>
      <c r="AC11" s="625">
        <v>298566</v>
      </c>
      <c r="AD11" s="625">
        <v>106200</v>
      </c>
      <c r="AE11" s="925">
        <v>0</v>
      </c>
      <c r="AF11" s="834">
        <f>AF10+1</f>
        <v>36971</v>
      </c>
    </row>
    <row r="12" spans="1:37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339500</v>
      </c>
      <c r="W12" s="627">
        <v>0</v>
      </c>
      <c r="X12" s="625">
        <v>0</v>
      </c>
      <c r="Y12" s="925">
        <v>223250</v>
      </c>
      <c r="Z12" s="627">
        <v>70000</v>
      </c>
      <c r="AA12" s="1">
        <v>153615</v>
      </c>
      <c r="AB12" s="625">
        <v>224397</v>
      </c>
      <c r="AC12" s="625">
        <v>298566</v>
      </c>
      <c r="AD12" s="625">
        <v>106200</v>
      </c>
      <c r="AE12" s="925">
        <v>0</v>
      </c>
      <c r="AF12" s="834">
        <f>AF11+1</f>
        <v>36972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4000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36967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36968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36969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36970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36970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36971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36971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36972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36972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36967</v>
      </c>
      <c r="B7" s="628">
        <v>100</v>
      </c>
      <c r="C7" s="629">
        <v>0</v>
      </c>
      <c r="D7" s="628">
        <v>0</v>
      </c>
      <c r="E7" s="628">
        <v>0</v>
      </c>
      <c r="F7" s="628">
        <v>9350</v>
      </c>
      <c r="G7" s="628">
        <f>(R7+S7+C7+PGL_Requirements!Y7+PGL_Requirements!Z7-NSG_Requirements!C7)*0.05</f>
        <v>6124.4500000000007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86249</v>
      </c>
      <c r="S7" s="628">
        <v>36240</v>
      </c>
      <c r="T7" s="628">
        <v>0</v>
      </c>
      <c r="U7" s="628">
        <v>0</v>
      </c>
      <c r="V7" s="834">
        <f>Weather_Input!A5</f>
        <v>36967</v>
      </c>
      <c r="W7" s="625"/>
      <c r="X7" s="625"/>
    </row>
    <row r="8" spans="1:24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6124.4500000000007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86249</v>
      </c>
      <c r="S8" s="628">
        <v>36240</v>
      </c>
      <c r="T8" s="628">
        <v>0</v>
      </c>
      <c r="U8" s="628">
        <v>0</v>
      </c>
      <c r="V8" s="834">
        <f>V7+1</f>
        <v>36968</v>
      </c>
      <c r="W8" s="625"/>
      <c r="X8" s="625"/>
    </row>
    <row r="9" spans="1:24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6124.4500000000007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86249</v>
      </c>
      <c r="S9" s="628">
        <v>36240</v>
      </c>
      <c r="T9" s="628">
        <v>0</v>
      </c>
      <c r="U9" s="628">
        <v>0</v>
      </c>
      <c r="V9" s="834">
        <f>V8+1</f>
        <v>36969</v>
      </c>
      <c r="W9" s="625"/>
      <c r="X9" s="625"/>
    </row>
    <row r="10" spans="1:24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6124.4500000000007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86249</v>
      </c>
      <c r="S10" s="628">
        <v>36240</v>
      </c>
      <c r="T10" s="628">
        <v>0</v>
      </c>
      <c r="U10" s="628">
        <v>0</v>
      </c>
      <c r="V10" s="834">
        <f>V9+1</f>
        <v>36970</v>
      </c>
      <c r="W10" s="625"/>
      <c r="X10" s="625"/>
    </row>
    <row r="11" spans="1:24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6124.4500000000007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86249</v>
      </c>
      <c r="S11" s="628">
        <v>36240</v>
      </c>
      <c r="T11" s="628">
        <v>0</v>
      </c>
      <c r="U11" s="628">
        <v>0</v>
      </c>
      <c r="V11" s="834">
        <f>V10+1</f>
        <v>36971</v>
      </c>
      <c r="W11" s="625"/>
      <c r="X11" s="625"/>
    </row>
    <row r="12" spans="1:24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6124.4500000000007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86249</v>
      </c>
      <c r="S12" s="628">
        <v>36240</v>
      </c>
      <c r="T12" s="628">
        <v>0</v>
      </c>
      <c r="U12" s="628">
        <v>0</v>
      </c>
      <c r="V12" s="834">
        <f>V11+1</f>
        <v>36972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36967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5.75" thickBot="1">
      <c r="A4" s="846"/>
      <c r="B4" s="847"/>
      <c r="C4" s="847"/>
      <c r="D4" s="466">
        <f>Weather_Input!A5</f>
        <v>36967</v>
      </c>
      <c r="E4" s="466">
        <f>Weather_Input!A6</f>
        <v>36968</v>
      </c>
      <c r="F4" s="466">
        <f>Weather_Input!A7</f>
        <v>36969</v>
      </c>
      <c r="G4" s="466">
        <f>Weather_Input!A8</f>
        <v>36970</v>
      </c>
      <c r="H4" s="466">
        <f>Weather_Input!A9</f>
        <v>36971</v>
      </c>
      <c r="I4" s="467">
        <f>Weather_Input!A10</f>
        <v>36972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37/18/28</v>
      </c>
      <c r="E5" s="468" t="str">
        <f>TEXT(Weather_Input!B6,"0")&amp;"/"&amp;TEXT(Weather_Input!C6,"0") &amp; "/" &amp; TEXT((Weather_Input!B6+Weather_Input!C6)/2,"0")</f>
        <v>46/29/38</v>
      </c>
      <c r="F5" s="468" t="str">
        <f>TEXT(Weather_Input!B7,"0")&amp;"/"&amp;TEXT(Weather_Input!C7,"0") &amp; "/" &amp; TEXT((Weather_Input!B7+Weather_Input!C7)/2,"0")</f>
        <v>49/32/41</v>
      </c>
      <c r="G5" s="468" t="str">
        <f>TEXT(Weather_Input!B8,"0")&amp;"/"&amp;TEXT(Weather_Input!C8,"0") &amp; "/" &amp; TEXT((Weather_Input!B8+Weather_Input!C8)/2,"0")</f>
        <v>51/35/43</v>
      </c>
      <c r="H5" s="468" t="str">
        <f>TEXT(Weather_Input!B9,"0")&amp;"/"&amp;TEXT(Weather_Input!C9,"0") &amp; "/" &amp; TEXT((Weather_Input!B9+Weather_Input!C9)/2,"0")</f>
        <v>49/31/40</v>
      </c>
      <c r="I5" s="469" t="str">
        <f>TEXT(Weather_Input!B10,"0")&amp;"/"&amp;TEXT(Weather_Input!C10,"0") &amp; "/" &amp; TEXT((Weather_Input!B10+Weather_Input!C10)/2,"0")</f>
        <v>49/31/40</v>
      </c>
    </row>
    <row r="6" spans="1:256" ht="15.75">
      <c r="A6" s="853" t="s">
        <v>139</v>
      </c>
      <c r="B6" s="841"/>
      <c r="C6" s="841"/>
      <c r="D6" s="468">
        <f>PGL_Deliveries!C5/1000</f>
        <v>946</v>
      </c>
      <c r="E6" s="468">
        <f>PGL_Deliveries!C6/1000</f>
        <v>835</v>
      </c>
      <c r="F6" s="468">
        <f>PGL_Deliveries!C7/1000</f>
        <v>770</v>
      </c>
      <c r="G6" s="468">
        <f>PGL_Deliveries!C8/1000</f>
        <v>725</v>
      </c>
      <c r="H6" s="468">
        <f>PGL_Deliveries!C9/1000</f>
        <v>755</v>
      </c>
      <c r="I6" s="469">
        <f>PGL_Deliveries!C10/1000</f>
        <v>760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7.32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10.5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6.3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1224.51</v>
      </c>
      <c r="E30" s="472">
        <f t="shared" si="1"/>
        <v>1089.3900000000001</v>
      </c>
      <c r="F30" s="472">
        <f t="shared" si="1"/>
        <v>1024.3900000000001</v>
      </c>
      <c r="G30" s="472">
        <f t="shared" si="1"/>
        <v>979.39</v>
      </c>
      <c r="H30" s="472">
        <f t="shared" si="1"/>
        <v>1009.39</v>
      </c>
      <c r="I30" s="1177">
        <f t="shared" si="1"/>
        <v>1014.39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220.97499999999999</v>
      </c>
      <c r="E47" s="468">
        <f>PGL_Supplies!Y8/1000</f>
        <v>221.005</v>
      </c>
      <c r="F47" s="468">
        <f>PGL_Supplies!Y9/1000</f>
        <v>233.46</v>
      </c>
      <c r="G47" s="468">
        <f>PGL_Supplies!Y10/1000</f>
        <v>223.25</v>
      </c>
      <c r="H47" s="468">
        <f>PGL_Supplies!Y11/1000</f>
        <v>223.25</v>
      </c>
      <c r="I47" s="469">
        <f>PGL_Supplies!Y12/1000</f>
        <v>223.25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153.61500000000001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 ht="15.75">
      <c r="A50" s="853"/>
      <c r="B50" s="841" t="s">
        <v>421</v>
      </c>
      <c r="C50" s="854"/>
      <c r="D50" s="468">
        <f>PGL_Supplies!AB7/1000</f>
        <v>236.672</v>
      </c>
      <c r="E50" s="468">
        <f>PGL_Supplies!AB8/1000</f>
        <v>236.672</v>
      </c>
      <c r="F50" s="468">
        <f>PGL_Supplies!AB9/1000</f>
        <v>224.39699999999999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 ht="15.75">
      <c r="A51" s="853"/>
      <c r="B51" s="841" t="s">
        <v>141</v>
      </c>
      <c r="C51" s="841"/>
      <c r="D51" s="468">
        <f>PGL_Supplies!AC7/1000</f>
        <v>378.49099999999999</v>
      </c>
      <c r="E51" s="468">
        <f>PGL_Supplies!AC8/1000</f>
        <v>343.536</v>
      </c>
      <c r="F51" s="468">
        <f>PGL_Supplies!AC9/1000</f>
        <v>298.01900000000001</v>
      </c>
      <c r="G51" s="468">
        <f>PGL_Supplies!AC10/1000</f>
        <v>298.56599999999997</v>
      </c>
      <c r="H51" s="468">
        <f>PGL_Supplies!AC11/1000</f>
        <v>298.56599999999997</v>
      </c>
      <c r="I51" s="469">
        <f>PGL_Supplies!AC12/1000</f>
        <v>298.56599999999997</v>
      </c>
    </row>
    <row r="52" spans="1:10" ht="15.75">
      <c r="A52" s="853"/>
      <c r="B52" s="841" t="s">
        <v>142</v>
      </c>
      <c r="C52" s="841"/>
      <c r="D52" s="468">
        <f>PGL_Supplies!AD7/1000</f>
        <v>156.054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5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0.4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0.3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2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1224.5070000000003</v>
      </c>
      <c r="E61" s="478">
        <f t="shared" si="2"/>
        <v>1135.028</v>
      </c>
      <c r="F61" s="478">
        <f t="shared" si="2"/>
        <v>1089.691</v>
      </c>
      <c r="G61" s="478">
        <f t="shared" si="2"/>
        <v>1080.028</v>
      </c>
      <c r="H61" s="478">
        <f t="shared" si="2"/>
        <v>1080.028</v>
      </c>
      <c r="I61" s="1179">
        <f t="shared" si="2"/>
        <v>1080.028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45.63799999999992</v>
      </c>
      <c r="F62" s="479">
        <f t="shared" si="3"/>
        <v>65.300999999999931</v>
      </c>
      <c r="G62" s="479">
        <f t="shared" si="3"/>
        <v>100.63800000000003</v>
      </c>
      <c r="H62" s="479">
        <f t="shared" si="3"/>
        <v>70.638000000000034</v>
      </c>
      <c r="I62" s="1180">
        <f t="shared" si="3"/>
        <v>65.638000000000034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2.9999999997016857E-3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339.5</v>
      </c>
      <c r="E64" s="1170">
        <f>PGL_Supplies!V8/1000</f>
        <v>339.5</v>
      </c>
      <c r="F64" s="1170">
        <f>PGL_Supplies!V9/1000</f>
        <v>339.5</v>
      </c>
      <c r="G64" s="1170">
        <f>PGL_Supplies!V10/1000</f>
        <v>339.5</v>
      </c>
      <c r="H64" s="1170">
        <f>PGL_Supplies!V11/1000</f>
        <v>339.5</v>
      </c>
      <c r="I64" s="1171">
        <f>PGL_Supplies!V12/1000</f>
        <v>339.5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2001-03-17T22:07:39Z</cp:lastPrinted>
  <dcterms:created xsi:type="dcterms:W3CDTF">1997-07-16T16:14:22Z</dcterms:created>
  <dcterms:modified xsi:type="dcterms:W3CDTF">2023-09-10T17:18:48Z</dcterms:modified>
</cp:coreProperties>
</file>