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8A6C35-9E50-40CF-A9EF-CF59412C06B8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PGL_Nine_to_Nine!$A$1:$I$72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C5" i="11"/>
  <c r="Q5" i="11"/>
  <c r="U5" i="11"/>
  <c r="Z5" i="11"/>
  <c r="C6" i="11"/>
  <c r="Q6" i="11"/>
  <c r="Z6" i="11"/>
  <c r="C7" i="11"/>
  <c r="U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U17" i="11"/>
  <c r="Z17" i="11"/>
  <c r="C18" i="11"/>
  <c r="Q18" i="11"/>
  <c r="Z18" i="11"/>
  <c r="C19" i="11"/>
  <c r="Q19" i="11"/>
  <c r="U19" i="11"/>
  <c r="Z19" i="11"/>
  <c r="Q20" i="11"/>
  <c r="Z20" i="11"/>
  <c r="C21" i="11"/>
  <c r="Q21" i="11"/>
  <c r="C22" i="11"/>
  <c r="Z22" i="11"/>
  <c r="Z23" i="11"/>
  <c r="C24" i="11"/>
  <c r="Q24" i="11"/>
  <c r="U24" i="11"/>
  <c r="C25" i="11"/>
  <c r="D25" i="11"/>
  <c r="Z25" i="11"/>
  <c r="C26" i="11"/>
  <c r="Q26" i="11"/>
  <c r="Z26" i="11"/>
  <c r="C27" i="11"/>
  <c r="Q27" i="11"/>
  <c r="Z27" i="11"/>
  <c r="C28" i="11"/>
  <c r="Q28" i="11"/>
  <c r="Z28" i="11"/>
  <c r="C29" i="11"/>
  <c r="E29" i="11"/>
  <c r="G29" i="11"/>
  <c r="I29" i="11"/>
  <c r="Q29" i="11"/>
  <c r="Z29" i="11"/>
  <c r="Q30" i="11"/>
  <c r="Z30" i="11"/>
  <c r="AB30" i="11"/>
  <c r="AD30" i="11"/>
  <c r="B32" i="11"/>
  <c r="Q32" i="11"/>
  <c r="B33" i="11"/>
  <c r="Q33" i="11"/>
  <c r="B34" i="11"/>
  <c r="Q34" i="11"/>
  <c r="Q35" i="11"/>
  <c r="B36" i="11"/>
  <c r="Q36" i="11"/>
  <c r="B37" i="11"/>
  <c r="B38" i="11"/>
  <c r="Q38" i="11"/>
  <c r="B39" i="11"/>
  <c r="Q39" i="11"/>
  <c r="B40" i="11"/>
  <c r="Q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<sst xmlns="http://schemas.openxmlformats.org/spreadsheetml/2006/main" count="2340" uniqueCount="838">
  <si>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</si>
  <si>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</si>
  <si>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</si>
  <si>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</si>
  <si>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</si>
  <si>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</si>
  <si>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</si>
  <si>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</si>
  <si>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</si>
  <si>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</si>
  <si>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</si>
  <si>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</si>
  <si>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</si>
  <si>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</si>
  <si>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</si>
  <si>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</si>
  <si>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</si>
  <si>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</si>
  <si>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</si>
  <si>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</si>
  <si>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</si>
  <si>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</si>
  <si>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</si>
  <si>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</si>
  <si>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</si>
  <si>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</si>
  <si>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</si>
  <si>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</si>
  <si>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</si>
  <si>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</si>
  <si>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</si>
  <si>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</si>
  <si>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</si>
  <si>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</si>
  <si>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</si>
  <si>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</si>
  <si>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</si>
  <si>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</si>
  <si>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</si>
  <si>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</si>
  <si>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</si>
  <si>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</si>
  <si>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</si>
  <si>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</si>
  <si>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</si>
  <si>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</si>
  <si>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</si>
  <si>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</si>
  <si>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</si>
  <si>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</si>
  <si>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</si>
  <si>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</si>
  <si>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</si>
  <si>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</si>
  <si>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</si>
  <si>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</si>
  <si>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</si>
  <si>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</si>
  <si>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</si>
  <si>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</si>
  <si>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</si>
  <si>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</si>
  <si>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</si>
  <si>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</si>
  <si>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</si>
  <si>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</si>
  <si>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</si>
  <si>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</si>
  <si>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</si>
  <si>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</si>
  <si>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</si>
  <si>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</si>
  <si>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</si>
  <si>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</si>
  <si>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</si>
  <si>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</si>
  <si>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</si>
  <si>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</si>
  <si>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</si>
  <si>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</si>
  <si>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</si>
  <si>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</si>
  <si>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</si>
  <si>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</si>
  <si>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</si>
  <si>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</si>
  <si>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</si>
  <si>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</si>
  <si>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</si>
  <si>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</si>
  <si>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</si>
  <si>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</si>
  <si>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</si>
  <si>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</si>
  <si>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</si>
  <si>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</si>
  <si>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</si>
  <si>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</si>
  <si>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</si>
  <si>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</si>
  <si>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</si>
  <si>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</si>
  <si>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</si>
  <si>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</si>
  <si>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</si>
  <si>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</si>
  <si>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</si>
  <si>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</si>
  <si>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</si>
  <si>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</si>
  <si>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</si>
  <si>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</si>
  <si>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</si>
  <si>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</si>
  <si>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</si>
  <si>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</si>
  <si>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</si>
  <si>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</si>
  <si>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</si>
  <si>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</si>
  <si>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</si>
  <si>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</si>
  <si>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</si>
  <si>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</si>
  <si>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</si>
  <si>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</si>
  <si>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</si>
  <si>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</si>
  <si>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</si>
  <si>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</si>
  <si>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</si>
  <si>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</si>
  <si>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</si>
  <si>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</si>
  <si>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</si>
  <si>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</si>
  <si>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</si>
  <si>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</si>
  <si>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</si>
  <si>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</si>
  <si>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</si>
  <si>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</si>
  <si>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</si>
  <si>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</si>
  <si>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</si>
  <si>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</si>
  <si>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</si>
  <si>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</si>
  <si>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</si>
  <si>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</si>
  <si>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</si>
  <si>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</si>
  <si>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</si>
  <si>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</si>
  <si>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</si>
  <si>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</si>
  <si>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</si>
  <si>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</si>
  <si>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</si>
  <si>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</si>
  <si>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</si>
  <si>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</si>
  <si>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</si>
  <si>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</si>
  <si>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</si>
  <si>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</si>
  <si>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</si>
  <si>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</si>
  <si>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</si>
  <si>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</si>
  <si>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</si>
  <si>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</si>
  <si>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</si>
  <si>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</si>
  <si>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</si>
  <si>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</si>
  <si>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</si>
  <si>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</si>
  <si>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</si>
  <si>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</si>
  <si>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</si>
  <si>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</si>
  <si>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</si>
  <si>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</si>
  <si>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</si>
  <si>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</si>
  <si>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</si>
  <si>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</si>
  <si>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</si>
  <si>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</si>
  <si>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</si>
  <si>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</si>
  <si>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</si>
  <si>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</si>
  <si>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</si>
  <si>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</si>
  <si>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</si>
  <si>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</si>
  <si>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</si>
  <si>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</si>
  <si>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</si>
  <si>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</si>
  <si>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</si>
  <si>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</si>
  <si>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</si>
  <si>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</si>
  <si>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</si>
  <si>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</si>
  <si>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</si>
  <si>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</si>
  <si>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</si>
  <si>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</si>
  <si>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</si>
  <si>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</si>
  <si>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</si>
  <si>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</si>
  <si>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</si>
  <si>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</si>
  <si>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</si>
  <si>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</si>
  <si>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</si>
  <si>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</si>
  <si>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</si>
  <si>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</si>
  <si>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</si>
  <si>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</si>
  <si>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</si>
  <si>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</si>
  <si>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</si>
  <si>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</si>
  <si>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</si>
  <si>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</si>
  <si>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</si>
  <si>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</si>
  <si>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</si>
  <si>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</si>
  <si>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</si>
  <si>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</si>
  <si>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</si>
  <si>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</si>
  <si>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</si>
  <si>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</si>
  <si>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</si>
  <si>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</si>
  <si>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</si>
  <si>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</si>
  <si>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</si>
  <si>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</si>
  <si>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</si>
  <si>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</si>
  <si>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</si>
  <si>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</si>
  <si>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</si>
  <si>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</si>
  <si>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</si>
  <si>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</si>
  <si>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</si>
  <si>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</si>
  <si>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</si>
  <si>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</si>
  <si>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</si>
  <si>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</si>
  <si>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</si>
  <si>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</si>
  <si>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</si>
  <si>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</si>
  <si>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</si>
  <si>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</si>
  <si>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</si>
  <si>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</si>
  <si>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</si>
  <si>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</si>
  <si>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</si>
  <si>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</si>
  <si>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</si>
  <si>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</si>
  <si>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</si>
  <si>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</si>
  <si>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</si>
  <si>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</si>
  <si>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</si>
  <si>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</si>
  <si>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</si>
  <si>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</si>
  <si>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</si>
  <si>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</si>
  <si>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</si>
  <si>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</si>
  <si>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</si>
  <si>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</si>
  <si>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</si>
  <si>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</si>
  <si>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</si>
  <si>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</si>
  <si>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</si>
  <si>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</si>
  <si>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</si>
  <si>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</si>
  <si>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</si>
  <si>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</si>
  <si>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</si>
  <si>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</si>
  <si>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</si>
  <si>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</si>
  <si>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</si>
  <si>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</si>
  <si>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</si>
  <si>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</si>
  <si>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</si>
  <si>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</si>
  <si>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</si>
  <si>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</si>
  <si>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</si>
  <si>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</si>
  <si>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</si>
  <si>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</si>
  <si>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</si>
  <si>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</si>
  <si>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</si>
  <si>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</si>
  <si>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</si>
  <si>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</si>
  <si>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</si>
  <si>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</si>
  <si>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</si>
  <si>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</si>
  <si>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</si>
  <si>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</si>
  <si>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</si>
  <si>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</si>
  <si>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</si>
  <si>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</si>
  <si>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</si>
  <si>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</si>
  <si>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</si>
  <si>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</si>
  <si>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</si>
  <si>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</si>
  <si>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</si>
  <si>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</si>
  <si>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</si>
  <si>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</si>
  <si>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</si>
  <si>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</si>
  <si>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</si>
  <si>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</si>
  <si>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</si>
  <si>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</si>
  <si>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</si>
  <si>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</si>
  <si>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</si>
  <si>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</si>
  <si>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</si>
  <si>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</si>
  <si>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</si>
  <si>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</si>
  <si>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</si>
  <si>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</si>
  <si>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</si>
  <si>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</si>
  <si>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</si>
  <si>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</si>
  <si>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</si>
  <si>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</si>
  <si>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</si>
  <si>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</si>
  <si>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</si>
  <si>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</si>
  <si>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</si>
  <si>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</si>
  <si>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</si>
  <si>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</si>
  <si>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</si>
  <si>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</si>
  <si>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</si>
  <si>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</si>
  <si>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</si>
  <si>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</si>
  <si>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</si>
  <si>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</si>
  <si>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</si>
  <si>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</si>
  <si>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</si>
  <si>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</si>
  <si>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</si>
  <si>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</si>
  <si>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</si>
  <si>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</si>
  <si>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</si>
  <si>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</si>
  <si>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</si>
  <si>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</si>
  <si>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</si>
  <si>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</si>
  <si>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</si>
  <si>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</si>
  <si>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</si>
  <si>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</si>
  <si>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</si>
  <si>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</si>
  <si>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</si>
  <si>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</si>
  <si>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</si>
  <si>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</si>
  <si>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</si>
  <si>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</si>
  <si>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</si>
  <si>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</si>
  <si>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</si>
  <si>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</si>
  <si>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</si>
  <si>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</si>
  <si>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</si>
  <si>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</si>
  <si>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</si>
  <si>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</si>
  <si>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</si>
  <si>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</si>
  <si>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</si>
  <si>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</si>
  <si>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</si>
  <si>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</si>
  <si>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</si>
  <si>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</si>
  <si>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</si>
  <si>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</si>
  <si>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</si>
  <si>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</si>
  <si>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</si>
  <si>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</si>
  <si>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</si>
  <si>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</si>
  <si>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</si>
  <si>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</si>
  <si>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</si>
  <si>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</si>
  <si>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</si>
  <si>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</si>
  <si>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</si>
  <si>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</si>
  <si>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</si>
  <si>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</si>
  <si>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</si>
  <si>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</si>
  <si>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</si>
  <si>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</si>
  <si>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</si>
  <si>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</si>
  <si>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</si>
  <si>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</si>
  <si>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</si>
  <si>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</si>
  <si>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</si>
  <si>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</si>
  <si>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</si>
  <si>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</si>
  <si>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</si>
  <si>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</si>
  <si>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</si>
  <si>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</si>
  <si>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</si>
  <si>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</si>
  <si>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</si>
  <si>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</si>
  <si>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</si>
  <si>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</si>
  <si>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</si>
  <si>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</si>
  <si>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</si>
  <si>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</si>
  <si>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</si>
  <si>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</si>
  <si>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</si>
  <si>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</si>
  <si>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</si>
  <si>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</si>
  <si>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</si>
  <si>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</si>
  <si>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</si>
  <si>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</si>
  <si>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</si>
  <si>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</si>
  <si>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</si>
  <si>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</si>
  <si>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</si>
  <si>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</si>
  <si>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</si>
  <si>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</si>
  <si>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</si>
  <si>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</si>
  <si>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</si>
  <si>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</si>
  <si>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</si>
  <si>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</si>
  <si>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</si>
  <si>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</si>
  <si>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</si>
  <si>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</si>
  <si>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</si>
  <si>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</si>
  <si>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</si>
  <si>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</si>
  <si>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</si>
  <si>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</si>
  <si>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</si>
  <si>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</si>
  <si>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</si>
  <si>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</si>
  <si>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</si>
  <si>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</si>
  <si>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</si>
  <si>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</si>
  <si>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</si>
  <si>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</si>
  <si>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</si>
  <si>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</si>
  <si>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</si>
  <si>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</si>
  <si>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</si>
  <si>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</si>
  <si>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</si>
  <si>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</si>
  <si>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</si>
  <si>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</si>
  <si>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</si>
  <si>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</si>
  <si>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</si>
  <si>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</si>
  <si>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</si>
  <si>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</si>
  <si>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</si>
  <si>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</si>
  <si>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</si>
  <si>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</si>
  <si>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</si>
  <si>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</si>
  <si>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</si>
  <si>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</si>
  <si>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</si>
  <si>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</si>
  <si>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</si>
  <si>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</si>
  <si>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</si>
  <si>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</si>
  <si>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</si>
  <si>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</si>
  <si>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</si>
  <si>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</si>
  <si>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</si>
  <si>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</si>
  <si>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</si>
  <si>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</si>
  <si>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</si>
  <si>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</si>
  <si>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</si>
  <si>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</si>
  <si>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</si>
  <si>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</si>
  <si>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</si>
  <si>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</si>
  <si>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</si>
  <si>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</si>
  <si>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</si>
  <si>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</si>
  <si>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</si>
  <si>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</si>
  <si>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</si>
  <si>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</si>
  <si>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</si>
  <si>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</si>
  <si>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</si>
  <si>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</si>
  <si>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</si>
  <si>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</si>
  <si>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</si>
  <si>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</si>
  <si>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</si>
  <si>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</si>
  <si>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</si>
  <si>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</si>
  <si>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</si>
  <si>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</si>
  <si>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</si>
  <si>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</si>
  <si>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</si>
  <si>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</si>
  <si>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</si>
  <si>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</si>
  <si>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</si>
  <si>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</si>
  <si>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</si>
  <si>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</si>
  <si>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</si>
  <si>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</si>
  <si>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</si>
  <si>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</si>
  <si>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</si>
  <si>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</si>
  <si>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</si>
  <si>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</si>
  <si>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</si>
  <si>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</si>
  <si>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</si>
  <si>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</si>
  <si>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</si>
  <si>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</si>
  <si>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</si>
  <si>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</si>
  <si>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</si>
  <si>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</si>
  <si>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</si>
  <si>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</si>
  <si>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</si>
  <si>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</si>
  <si>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</si>
  <si>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</si>
  <si>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</si>
  <si>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</si>
  <si>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</si>
  <si>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</si>
  <si>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</si>
  <si>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</si>
  <si>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</si>
  <si>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</si>
  <si>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</si>
  <si>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</si>
  <si>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</si>
  <si>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</si>
  <si>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</si>
  <si>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</si>
  <si>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</si>
  <si>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</si>
  <si>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</si>
  <si>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</si>
  <si>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</si>
  <si>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</si>
  <si>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</si>
  <si>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</si>
  <si>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</si>
  <si>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</si>
  <si>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</si>
  <si>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</si>
  <si>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</si>
  <si>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</si>
  <si>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</si>
  <si>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</si>
  <si>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</si>
  <si>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</si>
  <si>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</si>
  <si>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</si>
  <si>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</si>
  <si>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</si>
  <si>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</si>
  <si>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</si>
  <si>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</si>
  <si>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</si>
  <si>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</si>
  <si>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</si>
  <si>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</si>
  <si>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</si>
  <si>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</si>
  <si>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</si>
  <si>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</si>
  <si>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</si>
  <si>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</si>
  <si>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</si>
  <si>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</si>
  <si>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</si>
  <si>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</si>
  <si>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</si>
  <si>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</si>
  <si>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</si>
  <si>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</si>
  <si>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</si>
  <si>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</si>
  <si>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</si>
  <si>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</si>
  <si>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</si>
  <si>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</si>
  <si>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</si>
  <si>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</si>
  <si>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</si>
  <si>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</si>
  <si>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</si>
  <si>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</si>
  <si>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</si>
  <si>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</si>
  <si>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</si>
  <si>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</si>
  <si>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</si>
  <si>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</si>
  <si>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</si>
  <si>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</si>
  <si>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</si>
  <si>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</si>
  <si>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</si>
  <si>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</si>
  <si>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</si>
  <si>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</si>
  <si>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</si>
  <si>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</si>
  <si>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</si>
  <si>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</si>
  <si>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</si>
  <si>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</si>
  <si>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</si>
  <si>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</si>
  <si>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</si>
  <si>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</si>
  <si>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</si>
  <si>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</si>
  <si>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</si>
  <si>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</si>
  <si>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</si>
  <si>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</si>
  <si>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</si>
  <si>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</si>
  <si>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</si>
  <si>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</si>
  <si>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</si>
  <si>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</si>
  <si>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</si>
  <si>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</si>
  <si>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</si>
  <si>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</si>
  <si>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</si>
  <si>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</si>
  <si>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</si>
  <si>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</si>
  <si>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</si>
  <si>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</si>
  <si>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</si>
  <si>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</si>
  <si>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</si>
  <si>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</si>
  <si>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</si>
  <si>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</si>
  <si>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</si>
  <si>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</si>
  <si>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</si>
  <si>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</si>
  <si>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</si>
  <si>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</si>
  <si>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</si>
  <si>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</si>
  <si>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</si>
  <si>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</si>
  <si>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</si>
  <si>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</si>
  <si>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</si>
  <si>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</si>
  <si>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</si>
  <si>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</si>
  <si>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</si>
  <si>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</si>
  <si>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</si>
  <si>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</si>
  <si>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</si>
  <si>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</si>
  <si>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</si>
  <si>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</si>
  <si>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</si>
  <si>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</si>
  <si>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</si>
  <si>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</si>
  <si>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</si>
  <si>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</si>
  <si>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</si>
  <si>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</si>
  <si>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</si>
  <si>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</si>
  <si>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</si>
  <si>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</si>
  <si>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</si>
  <si>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</si>
  <si>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</si>
  <si>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</si>
  <si>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</si>
  <si>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</si>
  <si>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</si>
  <si>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</si>
  <si>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</si>
  <si>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</si>
  <si>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</si>
  <si>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</si>
  <si>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</si>
  <si>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</si>
  <si>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</si>
  <si>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</si>
  <si>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</si>
  <si>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</si>
  <si>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</si>
  <si>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</si>
  <si>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</si>
  <si>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</si>
  <si>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</si>
  <si>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N/A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</si>
  <si>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</si>
  <si>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</si>
  <si>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</si>
  <si>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</si>
  <si>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</si>
  <si>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</si>
  <si>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</si>
  <si>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</si>
  <si>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</si>
  <si>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</si>
  <si>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</si>
  <si>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</si>
  <si>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</si>
  <si>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</si>
  <si>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</si>
  <si>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</si>
  <si>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</si>
  <si>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</si>
  <si>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</si>
  <si>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</si>
  <si>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</si>
  <si>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</si>
  <si>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</si>
  <si>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</si>
  <si>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</si>
  <si>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</si>
  <si>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</si>
  <si>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</si>
  <si>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</si>
  <si>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</si>
  <si>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</si>
  <si>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</si>
  <si>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</si>
  <si>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</si>
  <si>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</si>
  <si>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 xml:space="preserve">  IT MAY SHOWER WITH PERIODS OF CLOUDS AND SUNSHINE.</t>
  </si>
  <si>
    <t xml:space="preserve">  SUNSHINE AND SOME CLOUDS.</t>
  </si>
  <si>
    <t>Ave Temperature</t>
  </si>
  <si>
    <t xml:space="preserve">  CLOUDY MOST OF THE TIME WITH NOTHING MORE THAN A COUPLE OF SHOWERS.</t>
  </si>
  <si>
    <t xml:space="preserve">  A GOOD DEAL OF SUN.</t>
  </si>
  <si>
    <t>73rd &amp; 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</si>
</sst>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21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5" xfId="0" applyFont="1" applyBorder="1" applyAlignment="1">
      <alignment horizontal="left"/>
    </xf>
    <xf numFmtId="0" fontId="29" fillId="0" borderId="197" xfId="0" applyFont="1" applyBorder="1" applyAlignment="1">
      <alignment horizontal="left"/>
    </xf>
    <xf numFmtId="179" fontId="11" fillId="2" borderId="198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5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9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7AB8B28-AE63-F79B-F537-9CB3F5D065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756C81E-F557-706A-4B5B-2A1F6B737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2A63D1D-B137-43D1-4A5A-CC3594C72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12B6DAFF-D165-7399-AE02-B0A8C2D83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B2B81B2-42CF-6B15-EF97-CF8A6AFF77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4302390-ACF2-192E-9FFA-CADB0E6AB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6A2C813-F6D7-0761-EF2E-2393ED29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2694BF1D-ABB2-2C11-D256-15E18BC16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0923B26-2DE3-6C74-33EE-B65BF0AAA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CF2E88E-41C7-FE7C-11CC-55DA5FAF5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6DFBE6B-7107-F18A-957D-05319C62B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28C6DB6-096F-E0E9-A257-C93EB5D5B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6ECE0D5-358D-1249-D7AB-2F003602F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61DA9A5-7415-4E20-4945-DA7E1768E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B13947B-7177-79CF-5986-8D0B8F0AAA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240119E9-6975-B397-1393-D9496AC893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C508C01-C367-2F6F-7598-E56967C9D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A3EE17B5-D136-4689-DDDA-4BDAA3993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FF0B0B65-0A00-208A-52B5-E8DDB5649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065432D-EA23-6F7E-B844-76D7AFFE9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8F69664E-78C0-BB62-CF86-03574CEC8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F1C74BD5-D299-A632-B056-8C905E9DF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32FFF84F-F6B3-4BBF-8428-F6FE02046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F190966E-4E6A-90A7-D70C-B751FB04C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8AAAD3F1-5056-7ECD-9635-361FAF4CF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16FCE3CA-4965-49C5-9010-8AA00DB48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EAE0F6A-60F2-CB97-C2C7-818180C3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A73E4BFF-4B8A-9000-AB83-70588A59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5A312865-5AF6-90EA-6F45-CF064B7A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3FB6F11B-15B8-8267-907C-40AF3170A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1153F8ED-1835-AAED-E565-EEA64896F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93C0A3DE-59E5-8BF0-A236-7DD1E8CCF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8A6E0B24-69A2-9F06-E7DB-52E1A223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32F782E3-424E-981B-4593-30DC0A169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F911133E-D64A-5C22-5C0F-110733347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ADDAF2B1-FA80-DDA1-343E-56C660FDF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D2E50488-0B0E-1A7A-27D2-6DD57A36E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89759200-65B3-4F2E-ECF8-12D3DD91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CBA8C843-EDB5-FDAD-7A44-E2A15C397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D50058C-B5D1-977E-81EB-CA4B7EF3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19F09D9A-C86A-D0B3-680D-AEBD45DCD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A8185DEB-FA6F-22D3-F936-3E7D0C642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89211DDA-59E0-DF68-A4B5-ABBE4C77D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4093CD18-B097-8BCB-26CA-AB02303D8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127" name="Day_1">
          <a:extLst>
            <a:ext uri="{FF2B5EF4-FFF2-40B4-BE49-F238E27FC236}">
              <a16:creationId xmlns:a16="http://schemas.microsoft.com/office/drawing/2014/main" id="{0CE14B39-5224-8E91-DC5F-E56EF672D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128" name="Day_2">
          <a:extLst>
            <a:ext uri="{FF2B5EF4-FFF2-40B4-BE49-F238E27FC236}">
              <a16:creationId xmlns:a16="http://schemas.microsoft.com/office/drawing/2014/main" id="{8F179685-51AF-C251-5FA8-9A5906F2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129" name="Day_3">
          <a:extLst>
            <a:ext uri="{FF2B5EF4-FFF2-40B4-BE49-F238E27FC236}">
              <a16:creationId xmlns:a16="http://schemas.microsoft.com/office/drawing/2014/main" id="{4FAD5A8D-41C5-AB83-B870-B68220B6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130" name="Day_4">
          <a:extLst>
            <a:ext uri="{FF2B5EF4-FFF2-40B4-BE49-F238E27FC236}">
              <a16:creationId xmlns:a16="http://schemas.microsoft.com/office/drawing/2014/main" id="{A48565AC-84CB-A043-DCE2-0B91B058A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131" name="Day_5">
          <a:extLst>
            <a:ext uri="{FF2B5EF4-FFF2-40B4-BE49-F238E27FC236}">
              <a16:creationId xmlns:a16="http://schemas.microsoft.com/office/drawing/2014/main" id="{BBAA9815-C1BC-086B-6F63-173907B6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132" name="Day_6">
          <a:extLst>
            <a:ext uri="{FF2B5EF4-FFF2-40B4-BE49-F238E27FC236}">
              <a16:creationId xmlns:a16="http://schemas.microsoft.com/office/drawing/2014/main" id="{A135DAFE-D792-50FD-B86B-610ABE507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C968963E-7B3B-4BD9-9D3E-B524D401ADFC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3D937FB4-0E08-C68C-7E7E-AD32B6B43528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978B9C4F-308F-BF27-31E9-6158CEF53FA1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2990AF75-FA17-439A-569C-60560EEE0396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4F19DA6E-4611-6CFF-0734-F6D45AAD6564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9C3C68A0-B4BA-597B-D3E2-E47BD4CF042B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40D674DC-95D7-DCED-0826-E20D23D19F3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2523CB0F-3EFB-A8A8-1102-3727A5BC51A7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9FDE30D6-AF9C-7C32-9801-DF53217812E6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77FFAEF-CA7B-548D-4B91-4CACCBD54B1E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39CD28D0-8F22-37A4-B87D-408541391631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F71D6875-8869-12F7-A45F-327338E7B9C6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019D9131-7D20-604E-379E-46CF5D1C04CE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1B5788A-FA4A-9D30-8E87-958F93CEE9CC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8B00D6C1-7BE1-BA03-A432-3556DDC19D63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EAD3503-232D-65D1-C903-B07F74430B85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C4D7D3B9-FC87-3622-D8A4-635B29263AC3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19A777B2-67F6-8600-D76F-927C2676F274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BFF276CC-3CDC-CD62-B968-6EAA2136429F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98C0EE79-9459-48FD-5513-3CCFC87A957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432B5F1-243E-F6E3-DE54-E61FA0ECBDB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11C39E1B-3465-EC24-1BFC-E9752A6585DB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3DAE86EE-76C1-737F-BD32-8F8CA81A174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2C8AA238-E793-CC2D-45D6-8FE439BDCDBB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3FF1BFC3-2CEB-5314-85E7-3DF51FE0130E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90DB86A8-FD05-7CA3-48F9-4400F05DAE1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AEDA6460-7B79-DC96-C5AE-167D6535F0A8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669DBB3C-3EFD-8C29-5F75-058B68AF2624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F38B09F4-7B0D-9DE6-7655-1F3A63378775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4B1EABE0-3DA0-C0FD-6D94-57EEF11A3208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A3344DEF-C06A-8370-9E8F-6727A2A73E9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6CD6EF7F-8ACA-ED38-55D4-2D75EFB2E036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2960EB48-B9FA-BD02-F7F1-28A3E4C7D251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FDF3F853-7FC0-DCF4-81FB-AE7E6068DC78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93A46536-4B6F-B270-3674-A9F808B634FA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F53E3BCB-1C3E-7FFC-CCDF-CC2E86430F8B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C49BFD88-F77C-7BBD-8D08-D015FD2219E5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602885E0-6A61-78FD-17E1-32BAAF69D703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C8F7ACA4-DD3F-385C-C5C3-D386B78BF90D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A8F89F6C-040E-EBCC-2BD0-07C698BDF6EA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527FEBC-8B4B-5344-7025-2F1B5468F48D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76334342-B2C4-0A86-BEA6-F8207906F438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1A91BAAB-00FF-1D25-6107-BD0D51F517CA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CF74943D-8D10-7EDF-7A77-DB5430E31A4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65F8B38C-3B61-4E6B-4819-C818D182274A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0A1907DF-60DA-8BAB-25AC-DB9A50188149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74433144-82C7-B5DF-A890-8DA0A3E56F26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FC1C93AC-F7F9-6155-8F78-FB38F1496CF1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06FE6C01-4E8A-A917-6663-CC24F27260DF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BCC47D51-46B6-B620-E259-ABAEF163DD24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0F4724DC-66F1-46B8-7055-D992B10AE52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89239EBB-AE8D-51BC-1DCE-A26C00D932A6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BC98C05A-BF83-4A5A-1629-CDEF176CD420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A022C67A-02C2-321B-B554-B419EFFBA58C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CDD247D8-9D59-DE5B-A87B-21A943C095A8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BE8C3824-142E-4AA4-2C6C-6CF76C5D1B4B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ECA57AD5-C41E-4C98-41A5-6631FE9C6BAF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4C690CDD-7249-E3EB-38EA-962761835D1F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3EFCF51-F99D-F571-3A98-D34B0F4558B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B8733B99-CF0D-4AD4-C882-D975B5394EFA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8A8B46B8-EF4C-2860-7BB4-1A150013F6CD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D441B057-0620-175B-2091-7F5BDD47CACC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CC043D92-7CD2-B5DF-E416-4641183B1F6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923E9340-A47C-A04D-F744-7841A686B19D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FFC6A8EA-9481-154A-A721-5B77E571FCBD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7666CDD3-281F-F34C-CD1E-7C73A8DBA7DC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25552028-B9E7-C4C7-D03C-D44DE7D201F5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F7CB03E5-6641-9CB9-6674-F7A5A40481F2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DAFDA121-43DE-CC4A-2D00-C2745E25E99C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CA478510-A9BC-7914-BAC3-9664AE0FAB3D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C0B60B39-AF20-821E-CE9E-AE774B96D948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83074679-B721-D044-F468-7386E0FAA98D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557DDC0C-3B62-FE48-9C2C-E8AB2C5DCA99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7C5D5CD0-406D-C671-18AA-97F224348A61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18C7EA60-EAF6-8605-5808-F02111B2C984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A047C337-70DD-5899-76BF-612DAE04A344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0D675FC4-54DD-51E3-33C1-F640754FA573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7167A63B-F71F-218D-547F-1E6E99AE9B5D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7F6157FC-2156-2922-4C6B-58323D5FA16B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D4D85B6A-4956-904D-7985-35502263790C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87FC9816-6477-8559-1743-BEE33096C1BD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5EC81065-5501-9489-4D38-9052D799911F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015498D8-351A-EF95-6DE6-6781C3BFEBEA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09238598-2E8E-3F32-4768-7D2D7DEA61E0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F9F2DB86-0179-D09E-8C00-B02CF82EE67D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6FC36E2A-FCF8-1C60-A9D7-F386E2556F8F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2EEE9334-015F-4D29-64EE-B89316300679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6C180A2C-31F0-66DA-7D54-DDAB0A53DBDB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6193812A-8D86-C141-FCB1-448D75786C75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90453934-AEA8-C276-E532-F0FAC15DA136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B58A6DAD-6725-F163-A07C-7ED7AAA95A7E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3F10EBC5-21CF-1CF6-6FB0-433840E6D40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D8A9C131-AD68-3609-761A-60F0ADCCBABD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0BD68F63-4A50-51F1-69D9-0D56DD84E4C1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009A71E3-ED65-AF7A-786C-67315B94CD96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73AF9DB2-2F9B-6FC6-364F-8F94E5006CC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D1A674EC-5CEB-4EA9-AB45-22B2DF855FF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D9F029F1-2B58-D095-B0D4-F9931A860DAC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52D09695-8800-69DA-7DDB-81708CBC3F57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D1E18B0C-6D38-73C7-0CFB-3CCB783C27DD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B9D96812-7247-D423-B8E8-65DC15F164BE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CAD813DC-E1C2-6855-B695-0742B1E44C6F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A4B5D987-272B-32AD-98E3-BB412421820B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E654193A-AACD-409F-7F4F-EB66623EB2F5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7C57849E-4182-5865-C90D-4216104B334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739FA72E-81C8-50AC-6901-617B44F5527C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1F2CEA7D-8475-AF06-631F-394B9C4084C6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DE99B391-7821-06E9-937F-4A435C30022C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AB84F0C6-CDA0-4B6C-8552-99F2C617CFFD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F8AECF91-D408-4E0C-7ABD-E5F74F3AE058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2FF5057-55E0-4BD9-4B76-0D5BE4F3AD75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0223AC95-3A7E-DB09-8B3C-7C63BB328156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37C3C934-86C8-91D8-E901-420D6EE19676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31EA8809-8C99-5BA2-4B82-AA557C9EA245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C39E28DF-5FB7-BFAE-41E4-A0659AA4FAF2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F0952678-84B3-5B88-F1B7-878AD952F918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DB20D41B-61BE-E966-A09A-2F9B54F7BD32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198E3320-5E6F-602E-EF1B-31951B61AA53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6DA7DD8D-9847-177C-F8DF-D57A71B5A2EA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CDE4D03B-1B32-43DE-826B-046F85D2810D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417BB64C-8553-3587-D8C7-07FCC7C5760F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D7FE4EF9-F6E1-C1FE-410D-A249CF1BB917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C6A9311D-0EE1-ED39-1F7F-11CA560EA77B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1EF68227-0824-70C8-8AB2-3A60AE27F7D5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3D05B57E-8E55-C4B8-7ACE-D6DBB424FE0A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C87E3B77-1213-E08A-456E-CE98010B6815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D937EFE3-CA47-64E8-EF5D-DF391D897A2C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202CDC6F-A953-B1F9-DAD1-ACD66EF2E46A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6A86BF41-BED4-0F35-21AC-743563D31D72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A3A740F9-7B06-EF52-D3DA-269A0BA5E529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C7" sqref="C7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4" t="s">
        <v>11</v>
      </c>
      <c r="B1" s="809"/>
    </row>
    <row r="2" spans="1:88">
      <c r="A2" s="1104" t="s">
        <v>11</v>
      </c>
      <c r="B2" t="s">
        <v>11</v>
      </c>
    </row>
    <row r="3" spans="1:88" ht="15.75" thickBot="1">
      <c r="A3" s="1193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3"/>
      <c r="B4" s="809" t="s">
        <v>171</v>
      </c>
      <c r="H4" t="s">
        <v>11</v>
      </c>
      <c r="I4" t="s">
        <v>11</v>
      </c>
      <c r="J4" t="s">
        <v>11</v>
      </c>
      <c r="CJ4" s="461" t="s">
        <v>11</v>
      </c>
    </row>
    <row r="5" spans="1:88">
      <c r="A5" t="s">
        <v>11</v>
      </c>
      <c r="B5" s="776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3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09" t="s">
        <v>11</v>
      </c>
      <c r="C11" s="415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7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6" t="s">
        <v>171</v>
      </c>
      <c r="C25" t="s">
        <v>11</v>
      </c>
      <c r="E25" t="s">
        <v>11</v>
      </c>
      <c r="G25" s="452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2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2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2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2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5" t="s">
        <v>648</v>
      </c>
      <c r="B1" s="833"/>
      <c r="C1" s="833"/>
      <c r="D1" s="833"/>
      <c r="E1" s="833"/>
      <c r="F1" s="833"/>
      <c r="G1" s="833" t="s">
        <v>134</v>
      </c>
      <c r="H1" s="876" t="str">
        <f>D3</f>
        <v>SAT</v>
      </c>
      <c r="I1" s="877">
        <f>D4</f>
        <v>37037</v>
      </c>
      <c r="J1" s="112"/>
    </row>
    <row r="2" spans="1:10" ht="20.100000000000001" customHeight="1">
      <c r="A2" s="836" t="s">
        <v>162</v>
      </c>
      <c r="B2" s="837"/>
      <c r="C2" s="837"/>
      <c r="D2" s="837"/>
      <c r="E2" s="837"/>
      <c r="F2" s="837"/>
      <c r="G2" s="837"/>
      <c r="H2" s="837"/>
      <c r="I2" s="838"/>
      <c r="J2" s="112"/>
    </row>
    <row r="3" spans="1:10" ht="20.100000000000001" customHeight="1" thickBot="1">
      <c r="A3" s="839"/>
      <c r="B3" s="837"/>
      <c r="C3" s="837"/>
      <c r="D3" s="840" t="str">
        <f t="shared" ref="D3:I3" si="0">CHOOSE(WEEKDAY(D4),"SUN","MON","TUE","WED","THU","FRI","SAT")</f>
        <v>SAT</v>
      </c>
      <c r="E3" s="840" t="str">
        <f t="shared" si="0"/>
        <v>SUN</v>
      </c>
      <c r="F3" s="840" t="str">
        <f t="shared" si="0"/>
        <v>MON</v>
      </c>
      <c r="G3" s="840" t="str">
        <f t="shared" si="0"/>
        <v>TUE</v>
      </c>
      <c r="H3" s="840" t="str">
        <f t="shared" si="0"/>
        <v>WED</v>
      </c>
      <c r="I3" s="841" t="str">
        <f t="shared" si="0"/>
        <v>THU</v>
      </c>
      <c r="J3" s="112"/>
    </row>
    <row r="4" spans="1:10" ht="20.100000000000001" customHeight="1" thickBot="1">
      <c r="A4" s="842" t="s">
        <v>163</v>
      </c>
      <c r="B4" s="843"/>
      <c r="C4" s="843"/>
      <c r="D4" s="844">
        <f>Weather_Input!A5</f>
        <v>37037</v>
      </c>
      <c r="E4" s="844">
        <f>Weather_Input!A6</f>
        <v>37038</v>
      </c>
      <c r="F4" s="844">
        <f>Weather_Input!A7</f>
        <v>37039</v>
      </c>
      <c r="G4" s="844">
        <f>Weather_Input!A8</f>
        <v>37040</v>
      </c>
      <c r="H4" s="844">
        <f>Weather_Input!A9</f>
        <v>37041</v>
      </c>
      <c r="I4" s="845">
        <f>Weather_Input!A10</f>
        <v>37042</v>
      </c>
      <c r="J4" s="112"/>
    </row>
    <row r="5" spans="1:10" s="113" customFormat="1" ht="20.100000000000001" customHeight="1" thickTop="1">
      <c r="A5" s="846" t="s">
        <v>136</v>
      </c>
      <c r="B5" s="837"/>
      <c r="C5" s="837" t="s">
        <v>137</v>
      </c>
      <c r="D5" s="878" t="str">
        <f>TEXT(Weather_Input!B5,"0")&amp;"/"&amp;TEXT(Weather_Input!C5,"0") &amp; "/" &amp; TEXT((Weather_Input!B5+Weather_Input!C5)/2,"0")</f>
        <v>56/47/52</v>
      </c>
      <c r="E5" s="878" t="str">
        <f>TEXT(Weather_Input!B6,"0")&amp;"/"&amp;TEXT(Weather_Input!C6,"0") &amp; "/" &amp; TEXT((Weather_Input!B6+Weather_Input!C6)/2,"0")</f>
        <v>65/48/57</v>
      </c>
      <c r="F5" s="878" t="str">
        <f>TEXT(Weather_Input!B7,"0")&amp;"/"&amp;TEXT(Weather_Input!C7,"0") &amp; "/" &amp; TEXT((Weather_Input!B7+Weather_Input!C7)/2,"0")</f>
        <v>69/52/61</v>
      </c>
      <c r="G5" s="878" t="str">
        <f>TEXT(Weather_Input!B8,"0")&amp;"/"&amp;TEXT(Weather_Input!C8,"0") &amp; "/" &amp; TEXT((Weather_Input!B8+Weather_Input!C8)/2,"0")</f>
        <v>69/53/61</v>
      </c>
      <c r="H5" s="878" t="str">
        <f>TEXT(Weather_Input!B9,"0")&amp;"/"&amp;TEXT(Weather_Input!C9,"0") &amp; "/" &amp; TEXT((Weather_Input!B9+Weather_Input!C9)/2,"0")</f>
        <v>70/55/63</v>
      </c>
      <c r="I5" s="879" t="str">
        <f>TEXT(Weather_Input!B10,"0")&amp;"/"&amp;TEXT(Weather_Input!C10,"0") &amp; "/" &amp; TEXT((Weather_Input!B10+Weather_Input!C10)/2,"0")</f>
        <v>70/55/63</v>
      </c>
      <c r="J5" s="112"/>
    </row>
    <row r="6" spans="1:10" ht="20.100000000000001" customHeight="1">
      <c r="A6" s="849" t="s">
        <v>138</v>
      </c>
      <c r="B6" s="837"/>
      <c r="C6" s="837"/>
      <c r="D6" s="847">
        <f ca="1">VLOOKUP(D4,NSG_Sendouts,CELL("Col",NSG_Deliveries!C5),FALSE)/1000</f>
        <v>60</v>
      </c>
      <c r="E6" s="847">
        <f ca="1">VLOOKUP(E4,NSG_Sendouts,CELL("Col",NSG_Deliveries!C6),FALSE)/1000</f>
        <v>50</v>
      </c>
      <c r="F6" s="847">
        <f ca="1">VLOOKUP(F4,NSG_Sendouts,CELL("Col",NSG_Deliveries!C7),FALSE)/1000</f>
        <v>46</v>
      </c>
      <c r="G6" s="847">
        <f ca="1">VLOOKUP(G4,NSG_Sendouts,CELL("Col",NSG_Deliveries!C8),FALSE)/1000</f>
        <v>45</v>
      </c>
      <c r="H6" s="847">
        <f ca="1">VLOOKUP(H4,NSG_Sendouts,CELL("Col",NSG_Deliveries!C9),FALSE)/1000</f>
        <v>43</v>
      </c>
      <c r="I6" s="852">
        <f ca="1">VLOOKUP(I4,NSG_Sendouts,CELL("Col",NSG_Deliveries!C10),FALSE)/1000</f>
        <v>43</v>
      </c>
      <c r="J6" s="113"/>
    </row>
    <row r="7" spans="1:10" ht="20.100000000000001" customHeight="1">
      <c r="A7" s="846" t="s">
        <v>139</v>
      </c>
      <c r="B7" s="837" t="s">
        <v>140</v>
      </c>
      <c r="C7" s="837"/>
      <c r="D7" s="847">
        <f>NSG_Requirements!C7/1000</f>
        <v>0</v>
      </c>
      <c r="E7" s="847">
        <f>NSG_Requirements!C8/1000</f>
        <v>0</v>
      </c>
      <c r="F7" s="847">
        <f>NSG_Requirements!C9/1000</f>
        <v>0</v>
      </c>
      <c r="G7" s="847">
        <f>NSG_Requirements!C10/1000</f>
        <v>0</v>
      </c>
      <c r="H7" s="847">
        <f>NSG_Requirements!C11/1000</f>
        <v>0</v>
      </c>
      <c r="I7" s="848">
        <f>NSG_Requirements!C12/1000</f>
        <v>0</v>
      </c>
      <c r="J7" s="112"/>
    </row>
    <row r="8" spans="1:10" ht="20.100000000000001" customHeight="1">
      <c r="A8" s="846"/>
      <c r="B8" s="837" t="s">
        <v>142</v>
      </c>
      <c r="C8" s="837"/>
      <c r="D8" s="847">
        <f>NSG_Requirements!D7/1000</f>
        <v>0</v>
      </c>
      <c r="E8" s="847">
        <f>NSG_Requirements!D8/1000</f>
        <v>0</v>
      </c>
      <c r="F8" s="847">
        <f>NSG_Requirements!D9/1000</f>
        <v>0</v>
      </c>
      <c r="G8" s="847">
        <f>NSG_Requirements!D10/1000</f>
        <v>0</v>
      </c>
      <c r="H8" s="847">
        <f>NSG_Requirements!D11/1000</f>
        <v>0</v>
      </c>
      <c r="I8" s="852">
        <f>NSG_Requirements!D11/1000</f>
        <v>0</v>
      </c>
      <c r="J8" s="113"/>
    </row>
    <row r="9" spans="1:10" ht="20.100000000000001" customHeight="1">
      <c r="A9" s="846"/>
      <c r="B9" s="837" t="s">
        <v>146</v>
      </c>
      <c r="C9" s="837"/>
      <c r="D9" s="847">
        <f>NSG_Requirements!E7/1000</f>
        <v>0</v>
      </c>
      <c r="E9" s="847">
        <f>NSG_Requirements!E8/1000</f>
        <v>0</v>
      </c>
      <c r="F9" s="847">
        <f>NSG_Requirements!E9/1000</f>
        <v>0</v>
      </c>
      <c r="G9" s="847">
        <f>NSG_Requirements!E10/1000</f>
        <v>0</v>
      </c>
      <c r="H9" s="847">
        <f>NSG_Requirements!E11/1000</f>
        <v>0</v>
      </c>
      <c r="I9" s="852">
        <f>NSG_Requirements!E12/1000</f>
        <v>0</v>
      </c>
      <c r="J9" s="113"/>
    </row>
    <row r="10" spans="1:10" ht="20.100000000000001" customHeight="1">
      <c r="A10" s="846"/>
      <c r="B10" s="837" t="s">
        <v>415</v>
      </c>
      <c r="C10" s="837"/>
      <c r="D10" s="847">
        <f>NSG_Requirements!F7/1000</f>
        <v>0</v>
      </c>
      <c r="E10" s="847">
        <f>NSG_Requirements!F8/1000</f>
        <v>0</v>
      </c>
      <c r="F10" s="847">
        <f>NSG_Requirements!F9/1000</f>
        <v>0</v>
      </c>
      <c r="G10" s="847">
        <f>NSG_Requirements!F10/1000</f>
        <v>0</v>
      </c>
      <c r="H10" s="847">
        <f>NSG_Requirements!F11/1000</f>
        <v>0</v>
      </c>
      <c r="I10" s="852">
        <f>NSG_Requirements!F12/1000</f>
        <v>0</v>
      </c>
      <c r="J10" s="113"/>
    </row>
    <row r="11" spans="1:10" ht="20.100000000000001" customHeight="1">
      <c r="A11" s="846" t="s">
        <v>143</v>
      </c>
      <c r="B11" s="837" t="s">
        <v>144</v>
      </c>
      <c r="C11" s="837" t="s">
        <v>60</v>
      </c>
      <c r="D11" s="847">
        <f>(NSG_Requirements!$K$7+NSG_Requirements!$L$7+NSG_Requirements!$M$7+NSG_Requirements!$N$7)/1000</f>
        <v>0</v>
      </c>
      <c r="E11" s="847">
        <f>(NSG_Requirements!$K$8+NSG_Requirements!$L$8+NSG_Requirements!$M$8+NSG_Requirements!$N$8)/1000</f>
        <v>0</v>
      </c>
      <c r="F11" s="847">
        <f>(NSG_Requirements!$K$9+NSG_Requirements!$L$9+NSG_Requirements!$M$9+NSG_Requirements!$N$9)/1000</f>
        <v>0</v>
      </c>
      <c r="G11" s="847">
        <f>(NSG_Requirements!$K$10+NSG_Requirements!$L$10+NSG_Requirements!$M$10+NSG_Requirements!$N$10)/1000</f>
        <v>0</v>
      </c>
      <c r="H11" s="847">
        <f>(NSG_Requirements!$K$11+NSG_Requirements!$L$11+NSG_Requirements!$M$11+NSG_Requirements!$N$11)/1000</f>
        <v>0</v>
      </c>
      <c r="I11" s="852">
        <f>(NSG_Requirements!$K$12+NSG_Requirements!$L$12+NSG_Requirements!$M$12+NSG_Requirements!$N$12)/1000</f>
        <v>0</v>
      </c>
      <c r="J11" s="113"/>
    </row>
    <row r="12" spans="1:10" ht="20.100000000000001" customHeight="1">
      <c r="A12" s="846"/>
      <c r="B12" s="837" t="s">
        <v>142</v>
      </c>
      <c r="C12" s="851" t="s">
        <v>90</v>
      </c>
      <c r="D12" s="847">
        <f>NSG_Requirements!J7/1000</f>
        <v>0</v>
      </c>
      <c r="E12" s="847">
        <f>NSG_Requirements!J8/1000</f>
        <v>0</v>
      </c>
      <c r="F12" s="847">
        <f>NSG_Requirements!J9/1000</f>
        <v>0</v>
      </c>
      <c r="G12" s="847">
        <f>NSG_Requirements!J10/1000</f>
        <v>0</v>
      </c>
      <c r="H12" s="847">
        <f>NSG_Requirements!J11/1000</f>
        <v>0</v>
      </c>
      <c r="I12" s="848">
        <f>NSG_Requirements!J12/1000</f>
        <v>0</v>
      </c>
      <c r="J12" s="112"/>
    </row>
    <row r="13" spans="1:10" ht="20.100000000000001" customHeight="1">
      <c r="A13" s="846"/>
      <c r="B13" s="837" t="s">
        <v>140</v>
      </c>
      <c r="C13" s="851" t="s">
        <v>90</v>
      </c>
      <c r="D13" s="847">
        <f>NSG_Requirements!H7/1000</f>
        <v>0</v>
      </c>
      <c r="E13" s="847">
        <f>NSG_Requirements!H8/1000</f>
        <v>1.25</v>
      </c>
      <c r="F13" s="847">
        <f>NSG_Requirements!H9/1000</f>
        <v>1.25</v>
      </c>
      <c r="G13" s="847">
        <f>NSG_Requirements!H10/1000</f>
        <v>1.25</v>
      </c>
      <c r="H13" s="847">
        <f>NSG_Requirements!H11/1000</f>
        <v>1.25</v>
      </c>
      <c r="I13" s="848">
        <f>NSG_Requirements!H12/1000</f>
        <v>1.25</v>
      </c>
      <c r="J13" s="112"/>
    </row>
    <row r="14" spans="1:10" ht="20.100000000000001" customHeight="1">
      <c r="A14" s="846"/>
      <c r="B14" s="837" t="s">
        <v>142</v>
      </c>
      <c r="C14" s="837"/>
      <c r="D14" s="847">
        <f>(NSG_Requirements!$S$7+NSG_Requirements!$T$7+NSG_Requirements!$U$7)/1000</f>
        <v>0</v>
      </c>
      <c r="E14" s="847">
        <f>(NSG_Requirements!$S$8+NSG_Requirements!$T$8+NSG_Requirements!$U$8)/1000</f>
        <v>0</v>
      </c>
      <c r="F14" s="847">
        <f>(NSG_Requirements!$S$9+NSG_Requirements!$T$9+NSG_Requirements!$U$9)/1000</f>
        <v>0</v>
      </c>
      <c r="G14" s="847">
        <f>(NSG_Requirements!$S$10+NSG_Requirements!$T$10+NSG_Requirements!$U$10)/1000</f>
        <v>0</v>
      </c>
      <c r="H14" s="847">
        <f>(NSG_Requirements!$S$11+NSG_Requirements!$T$11+NSG_Requirements!$U$11)/1000</f>
        <v>0</v>
      </c>
      <c r="I14" s="852">
        <f>(NSG_Requirements!$S$12+NSG_Requirements!$T$12+NSG_Requirements!$U$12)/1000</f>
        <v>0</v>
      </c>
      <c r="J14" s="112"/>
    </row>
    <row r="15" spans="1:10" ht="20.100000000000001" customHeight="1">
      <c r="A15" s="846"/>
      <c r="B15" s="837" t="s">
        <v>140</v>
      </c>
      <c r="C15" s="837"/>
      <c r="D15" s="847">
        <f>(NSG_Requirements!$Y$7+NSG_Requirements!$Z$7+NSG_Requirements!$AA$7)/1000</f>
        <v>0</v>
      </c>
      <c r="E15" s="847">
        <f>(NSG_Requirements!$Y$8+NSG_Requirements!$Z$8+NSG_Requirements!$AA$8)/1000</f>
        <v>0</v>
      </c>
      <c r="F15" s="847">
        <f>(NSG_Requirements!$Y$9+NSG_Requirements!$Z$9+NSG_Requirements!$AA$9)/1000</f>
        <v>0</v>
      </c>
      <c r="G15" s="847">
        <f>(NSG_Requirements!$Y$10+NSG_Requirements!$Z$10+NSG_Requirements!$AA$10)/1000</f>
        <v>0</v>
      </c>
      <c r="H15" s="847">
        <f>(NSG_Requirements!$Y$11+NSG_Requirements!$Z$11+NSG_Requirements!$AA$11)/1000</f>
        <v>0</v>
      </c>
      <c r="I15" s="852">
        <f>(NSG_Requirements!$Y$12+NSG_Requirements!$Z$12+NSG_Requirements!$AA$12)/1000</f>
        <v>0</v>
      </c>
      <c r="J15" s="113"/>
    </row>
    <row r="16" spans="1:10" ht="20.100000000000001" customHeight="1">
      <c r="A16" s="846"/>
      <c r="B16" s="837" t="s">
        <v>146</v>
      </c>
      <c r="C16" s="851"/>
      <c r="D16" s="847">
        <f>(NSG_Requirements!$V$7+NSG_Requirements!$W$7+NSG_Requirements!$X$7)/1000</f>
        <v>0</v>
      </c>
      <c r="E16" s="847">
        <f>(NSG_Requirements!$V$8+NSG_Requirements!$W$8+NSG_Requirements!$X$8)/1000</f>
        <v>0</v>
      </c>
      <c r="F16" s="847">
        <f>(NSG_Requirements!$V$9+NSG_Requirements!$W$9+NSG_Requirements!$X$9)/1000</f>
        <v>0</v>
      </c>
      <c r="G16" s="847">
        <f>(NSG_Requirements!$V$10+NSG_Requirements!$W$10+NSG_Requirements!$X$10)/1000</f>
        <v>0</v>
      </c>
      <c r="H16" s="847">
        <f>(NSG_Requirements!$V$11+NSG_Requirements!$W$11+NSG_Requirements!$X$11)/1000</f>
        <v>0</v>
      </c>
      <c r="I16" s="852">
        <f>(NSG_Requirements!$V$12+NSG_Requirements!$W$12+NSG_Requirements!$X$12)/1000</f>
        <v>0</v>
      </c>
      <c r="J16" s="113"/>
    </row>
    <row r="17" spans="1:10" ht="20.100000000000001" customHeight="1">
      <c r="A17" s="846"/>
      <c r="B17" s="837" t="s">
        <v>415</v>
      </c>
      <c r="C17" s="837"/>
      <c r="D17" s="847">
        <f>(NSG_Requirements!$AB$7+NSG_Requirements!$AC$7+NSG_Requirements!$AD$7+NSG_Requirements!$AE$7)/1000</f>
        <v>0</v>
      </c>
      <c r="E17" s="847">
        <f>(NSG_Requirements!$AB$8+NSG_Requirements!$AC$8+NSG_Requirements!$AD$8+NSG_Requirements!$AE$8)/1000</f>
        <v>0</v>
      </c>
      <c r="F17" s="847">
        <f>(NSG_Requirements!$AB$9+NSG_Requirements!$AC9+NSG_Requirements!$AD$9+NSG_Requirements!$AE$9)/1000</f>
        <v>0</v>
      </c>
      <c r="G17" s="847">
        <f>(NSG_Requirements!$AB$10+NSG_Requirements!$AC$10+NSG_Requirements!$AD$10+NSG_Requirements!$AE$10)/1000</f>
        <v>0</v>
      </c>
      <c r="H17" s="847">
        <f>(NSG_Requirements!$Y$11+NSG_Requirements!$Z$11+NSG_Requirements!$AA$11+NSG_Requirements!$AE$11)/1000</f>
        <v>0</v>
      </c>
      <c r="I17" s="852">
        <f>(NSG_Requirements!$Y$12+NSG_Requirements!$Z$12+NSG_Requirements!$AA$12+NSG_Requirements!$AE$12)/1000</f>
        <v>0</v>
      </c>
      <c r="J17" s="113"/>
    </row>
    <row r="18" spans="1:10" ht="20.100000000000001" customHeight="1">
      <c r="A18" s="864" t="s">
        <v>164</v>
      </c>
      <c r="B18" s="865" t="s">
        <v>400</v>
      </c>
      <c r="C18" s="865"/>
      <c r="D18" s="880">
        <f>NSG_Requirements!B7/1000</f>
        <v>0</v>
      </c>
      <c r="E18" s="880">
        <f>NSG_Requirements!B8/1000</f>
        <v>0</v>
      </c>
      <c r="F18" s="880">
        <f>NSG_Requirements!B9/1000</f>
        <v>0</v>
      </c>
      <c r="G18" s="880">
        <f>NSG_Requirements!B10/1000</f>
        <v>0</v>
      </c>
      <c r="H18" s="880">
        <f>NSG_Requirements!B11/1000</f>
        <v>0</v>
      </c>
      <c r="I18" s="881">
        <f>NSG_Requirements!B12/1000</f>
        <v>0</v>
      </c>
      <c r="J18" s="112"/>
    </row>
    <row r="19" spans="1:10" ht="20.100000000000001" customHeight="1" thickBot="1">
      <c r="A19" s="882" t="s">
        <v>150</v>
      </c>
      <c r="B19" s="872"/>
      <c r="C19" s="872"/>
      <c r="D19" s="856">
        <f t="shared" ref="D19:I19" ca="1" si="1">SUM(D6:D18)</f>
        <v>60</v>
      </c>
      <c r="E19" s="856">
        <f t="shared" ca="1" si="1"/>
        <v>51.25</v>
      </c>
      <c r="F19" s="856">
        <f t="shared" ca="1" si="1"/>
        <v>47.25</v>
      </c>
      <c r="G19" s="856">
        <f t="shared" ca="1" si="1"/>
        <v>46.25</v>
      </c>
      <c r="H19" s="856">
        <f t="shared" ca="1" si="1"/>
        <v>44.25</v>
      </c>
      <c r="I19" s="857">
        <f t="shared" ca="1" si="1"/>
        <v>44.25</v>
      </c>
      <c r="J19" s="112"/>
    </row>
    <row r="20" spans="1:10" ht="20.100000000000001" customHeight="1" thickTop="1" thickBot="1">
      <c r="A20" s="883"/>
      <c r="B20" s="884"/>
      <c r="C20" s="884"/>
      <c r="D20" s="885"/>
      <c r="E20" s="885"/>
      <c r="F20" s="885"/>
      <c r="G20" s="885"/>
      <c r="H20" s="885"/>
      <c r="I20" s="885"/>
      <c r="J20" s="113"/>
    </row>
    <row r="21" spans="1:10" ht="20.100000000000001" customHeight="1" thickTop="1" thickBot="1">
      <c r="A21" s="886" t="s">
        <v>151</v>
      </c>
      <c r="B21" s="860"/>
      <c r="C21" s="860"/>
      <c r="D21" s="861"/>
      <c r="E21" s="861"/>
      <c r="F21" s="861"/>
      <c r="G21" s="861"/>
      <c r="H21" s="861"/>
      <c r="I21" s="862"/>
      <c r="J21" s="112"/>
    </row>
    <row r="22" spans="1:10" ht="20.100000000000001" customHeight="1" thickTop="1">
      <c r="A22" s="846" t="s">
        <v>768</v>
      </c>
      <c r="B22" s="837" t="s">
        <v>144</v>
      </c>
      <c r="C22" s="837" t="s">
        <v>165</v>
      </c>
      <c r="D22" s="847">
        <f>NSG_Supplies!H7/1000</f>
        <v>0</v>
      </c>
      <c r="E22" s="847">
        <f>NSG_Supplies!H8/1000</f>
        <v>0</v>
      </c>
      <c r="F22" s="847">
        <f>NSG_Supplies!H9/1000</f>
        <v>0</v>
      </c>
      <c r="G22" s="847">
        <f>NSG_Supplies!H10/1000</f>
        <v>0</v>
      </c>
      <c r="H22" s="847">
        <f>NSG_Supplies!H11/1000</f>
        <v>0</v>
      </c>
      <c r="I22" s="848">
        <f>NSG_Supplies!H12/1000</f>
        <v>0</v>
      </c>
      <c r="J22" s="112"/>
    </row>
    <row r="23" spans="1:10" ht="20.100000000000001" customHeight="1">
      <c r="A23" s="846"/>
      <c r="B23" s="837" t="s">
        <v>142</v>
      </c>
      <c r="C23" s="837" t="s">
        <v>153</v>
      </c>
      <c r="D23" s="847">
        <f>NSG_Supplies!L7/1000</f>
        <v>0</v>
      </c>
      <c r="E23" s="847">
        <f>NSG_Supplies!L8/1000</f>
        <v>0</v>
      </c>
      <c r="F23" s="847">
        <f>NSG_Supplies!L9/1000</f>
        <v>0</v>
      </c>
      <c r="G23" s="847">
        <f>NSG_Supplies!L10/1000</f>
        <v>0</v>
      </c>
      <c r="H23" s="847">
        <f>NSG_Supplies!L11/1000</f>
        <v>0</v>
      </c>
      <c r="I23" s="848">
        <f>NSG_Supplies!L12/1000</f>
        <v>0</v>
      </c>
      <c r="J23" s="112"/>
    </row>
    <row r="24" spans="1:10" ht="20.100000000000001" customHeight="1">
      <c r="A24" s="846"/>
      <c r="B24" s="837"/>
      <c r="C24" s="837" t="s">
        <v>10</v>
      </c>
      <c r="D24" s="847">
        <f>NSG_Supplies!E7/1000</f>
        <v>3.3</v>
      </c>
      <c r="E24" s="847">
        <f>NSG_Supplies!E8/1000</f>
        <v>0</v>
      </c>
      <c r="F24" s="847">
        <f>NSG_Supplies!E9/1000</f>
        <v>0</v>
      </c>
      <c r="G24" s="847">
        <f>NSG_Supplies!E10/1000</f>
        <v>0</v>
      </c>
      <c r="H24" s="847">
        <f>NSG_Supplies!E11/1000</f>
        <v>0</v>
      </c>
      <c r="I24" s="852">
        <f>NSG_Supplies!E12/1000</f>
        <v>0</v>
      </c>
      <c r="J24" s="113"/>
    </row>
    <row r="25" spans="1:10" ht="20.100000000000001" customHeight="1">
      <c r="A25" s="846"/>
      <c r="B25" s="837" t="s">
        <v>140</v>
      </c>
      <c r="C25" s="851" t="s">
        <v>90</v>
      </c>
      <c r="D25" s="847">
        <f>NSG_Supplies!F7/1000</f>
        <v>6.76</v>
      </c>
      <c r="E25" s="847">
        <f>NSG_Supplies!F8/1000</f>
        <v>0</v>
      </c>
      <c r="F25" s="847">
        <f>NSG_Supplies!F9/1000</f>
        <v>0</v>
      </c>
      <c r="G25" s="847">
        <f>NSG_Supplies!F10/1000</f>
        <v>0</v>
      </c>
      <c r="H25" s="847">
        <f>NSG_Supplies!F11/1000</f>
        <v>0</v>
      </c>
      <c r="I25" s="852">
        <f>NSG_Supplies!F12/1000</f>
        <v>0</v>
      </c>
      <c r="J25" s="113"/>
    </row>
    <row r="26" spans="1:10" ht="20.100000000000001" customHeight="1">
      <c r="A26" s="846"/>
      <c r="B26" s="837" t="s">
        <v>83</v>
      </c>
      <c r="C26" s="837" t="s">
        <v>769</v>
      </c>
      <c r="D26" s="847">
        <f>NSG_Supplies!U7/1000</f>
        <v>0</v>
      </c>
      <c r="E26" s="847">
        <f>NSG_Supplies!U8/1000</f>
        <v>0</v>
      </c>
      <c r="F26" s="847">
        <f>NSG_Supplies!U9/1000</f>
        <v>0</v>
      </c>
      <c r="G26" s="847">
        <f>NSG_Supplies!U10/1000</f>
        <v>0</v>
      </c>
      <c r="H26" s="847">
        <f>NSG_Supplies!U11/1000</f>
        <v>0</v>
      </c>
      <c r="I26" s="852">
        <f>NSG_Supplies!U12/1000</f>
        <v>0</v>
      </c>
      <c r="J26" s="113"/>
    </row>
    <row r="27" spans="1:10" ht="20.100000000000001" customHeight="1">
      <c r="A27" s="849" t="s">
        <v>166</v>
      </c>
      <c r="B27" s="853" t="s">
        <v>142</v>
      </c>
      <c r="C27" s="853"/>
      <c r="D27" s="847">
        <f>(PGL_Requirements!$V$7+PGL_Requirements!$W$7+PGL_Requirements!$X$7)/1000</f>
        <v>0</v>
      </c>
      <c r="E27" s="847">
        <f>(PGL_Requirements!$V$8+PGL_Requirements!$W$8+PGL_Requirements!$X$8)/1000</f>
        <v>0</v>
      </c>
      <c r="F27" s="847">
        <f>(PGL_Requirements!$V$9+PGL_Requirements!$W$9+PGL_Requirements!$X$9)/1000</f>
        <v>0</v>
      </c>
      <c r="G27" s="847">
        <f>(PGL_Requirements!$V$10+PGL_Requirements!$W$10+PGL_Requirements!$X$10)/1000</f>
        <v>0</v>
      </c>
      <c r="H27" s="847">
        <f>(PGL_Requirements!$V$11+PGL_Requirements!$W$11+PGL_Requirements!$X$11)/1000</f>
        <v>0</v>
      </c>
      <c r="I27" s="848">
        <f>(PGL_Requirements!$V$12+PGL_Requirements!$W$12+PGL_Requirements!$X$12)/1000</f>
        <v>0</v>
      </c>
      <c r="J27" s="112"/>
    </row>
    <row r="28" spans="1:10" ht="20.100000000000001" customHeight="1">
      <c r="A28" s="846"/>
      <c r="B28" s="853" t="s">
        <v>140</v>
      </c>
      <c r="C28" s="853"/>
      <c r="D28" s="847">
        <f>(PGL_Requirements!$Y$7+PGL_Requirements!$AA$7+PGL_Requirements!$Z$7+PGL_Requirements!$AB$7)/1000</f>
        <v>0</v>
      </c>
      <c r="E28" s="847">
        <f>(PGL_Requirements!$Y$8+PGL_Requirements!$AA$8+PGL_Requirements!$Z$8+PGL_Requirements!$AB$8)/1000</f>
        <v>0</v>
      </c>
      <c r="F28" s="847">
        <f>(PGL_Requirements!$Y$9+PGL_Requirements!$AA$9+PGL_Requirements!$Z$9+PGL_Requirements!$AB$9)/1000</f>
        <v>0</v>
      </c>
      <c r="G28" s="847">
        <f>(PGL_Requirements!$Y$10+PGL_Requirements!$AA$10+PGL_Requirements!$Z$10+PGL_Requirements!$AB$10)/1000</f>
        <v>0</v>
      </c>
      <c r="H28" s="847">
        <f>(PGL_Requirements!$Y$11+PGL_Requirements!$AA$11+PGL_Requirements!$Z$11+PGL_Requirements!$AB$11)/1000</f>
        <v>0</v>
      </c>
      <c r="I28" s="848">
        <f>(PGL_Requirements!$Y$12+PGL_Requirements!$AA$12+PGL_Requirements!$Z$12+PGL_Requirements!$AB$12)/1000</f>
        <v>0</v>
      </c>
      <c r="J28" s="112"/>
    </row>
    <row r="29" spans="1:10" ht="20.100000000000001" customHeight="1">
      <c r="A29" s="846"/>
      <c r="B29" s="853" t="s">
        <v>146</v>
      </c>
      <c r="C29" s="837"/>
      <c r="D29" s="847">
        <f>(PGL_Requirements!$AC$7+PGL_Requirements!$AD$7+PGL_Requirements!$AE$7)/1000</f>
        <v>0</v>
      </c>
      <c r="E29" s="847">
        <f>(PGL_Requirements!$AC$8+PGL_Requirements!$AD$8+PGL_Requirements!$AE$8)/1000</f>
        <v>0</v>
      </c>
      <c r="F29" s="847">
        <f>(PGL_Requirements!$AC$9+PGL_Requirements!$AD$9+PGL_Requirements!$AE$9)/1000</f>
        <v>0</v>
      </c>
      <c r="G29" s="847">
        <f>(PGL_Requirements!$AC$10+PGL_Requirements!$AD$10+PGL_Requirements!$AE$10)/1000</f>
        <v>0</v>
      </c>
      <c r="H29" s="847">
        <f>(PGL_Requirements!$AC$11+PGL_Requirements!$AD$11+PGL_Requirements!$AE$11)/1000</f>
        <v>0</v>
      </c>
      <c r="I29" s="848">
        <f>(PGL_Requirements!$AC$12+PGL_Requirements!$AD$12+PGL_Requirements!$AE$12)/1000</f>
        <v>0</v>
      </c>
      <c r="J29" s="112"/>
    </row>
    <row r="30" spans="1:10" ht="20.100000000000001" customHeight="1">
      <c r="A30" s="846"/>
      <c r="B30" s="837" t="s">
        <v>415</v>
      </c>
      <c r="C30" s="837"/>
      <c r="D30" s="847">
        <v>0</v>
      </c>
      <c r="E30" s="847">
        <v>0</v>
      </c>
      <c r="F30" s="847">
        <v>0</v>
      </c>
      <c r="G30" s="847">
        <v>0</v>
      </c>
      <c r="H30" s="847">
        <v>0</v>
      </c>
      <c r="I30" s="848">
        <v>0</v>
      </c>
      <c r="J30" s="112"/>
    </row>
    <row r="31" spans="1:10" ht="20.100000000000001" customHeight="1">
      <c r="A31" s="846" t="s">
        <v>167</v>
      </c>
      <c r="B31" s="837" t="s">
        <v>142</v>
      </c>
      <c r="C31" s="837" t="s">
        <v>168</v>
      </c>
      <c r="D31" s="847">
        <f>NSG_Supplies!P7/1000</f>
        <v>0</v>
      </c>
      <c r="E31" s="847">
        <f>NSG_Supplies!P8/1000</f>
        <v>0</v>
      </c>
      <c r="F31" s="847">
        <f>NSG_Supplies!P9/1000</f>
        <v>0</v>
      </c>
      <c r="G31" s="847">
        <f>NSG_Supplies!P10/1000</f>
        <v>0</v>
      </c>
      <c r="H31" s="847">
        <f>NSG_Supplies!P11/1000</f>
        <v>0</v>
      </c>
      <c r="I31" s="848">
        <f>NSG_Supplies!P12/1000</f>
        <v>0</v>
      </c>
      <c r="J31" s="112"/>
    </row>
    <row r="32" spans="1:10" ht="20.100000000000001" customHeight="1">
      <c r="A32" s="846"/>
      <c r="B32" s="837" t="s">
        <v>140</v>
      </c>
      <c r="C32" s="1162" t="s">
        <v>770</v>
      </c>
      <c r="D32" s="847">
        <f>NSG_Supplies!R7/1000</f>
        <v>29.943000000000001</v>
      </c>
      <c r="E32" s="847">
        <f>NSG_Supplies!R8/1000</f>
        <v>29.943000000000001</v>
      </c>
      <c r="F32" s="847">
        <f>NSG_Supplies!R9/1000</f>
        <v>29.943000000000001</v>
      </c>
      <c r="G32" s="847">
        <f>NSG_Supplies!R10/1000</f>
        <v>29.943000000000001</v>
      </c>
      <c r="H32" s="847">
        <f>NSG_Supplies!R11/1000</f>
        <v>29.943000000000001</v>
      </c>
      <c r="I32" s="848">
        <f>NSG_Supplies!R12/1000</f>
        <v>29.943000000000001</v>
      </c>
      <c r="J32" s="112"/>
    </row>
    <row r="33" spans="1:13" ht="20.100000000000001" customHeight="1">
      <c r="A33" s="846"/>
      <c r="B33" s="837" t="s">
        <v>142</v>
      </c>
      <c r="C33" s="837" t="s">
        <v>637</v>
      </c>
      <c r="D33" s="847">
        <f>NSG_Supplies!Q7/1000</f>
        <v>20</v>
      </c>
      <c r="E33" s="847">
        <f>NSG_Supplies!Q8/1000</f>
        <v>20</v>
      </c>
      <c r="F33" s="847">
        <f>NSG_Supplies!Q9/1000</f>
        <v>20</v>
      </c>
      <c r="G33" s="847">
        <f>NSG_Supplies!Q10/1000</f>
        <v>20</v>
      </c>
      <c r="H33" s="847">
        <f>NSG_Supplies!Q11/1000</f>
        <v>20</v>
      </c>
      <c r="I33" s="848">
        <f>NSG_Supplies!Q12/1000</f>
        <v>20</v>
      </c>
      <c r="J33" s="112"/>
    </row>
    <row r="34" spans="1:13" ht="20.100000000000001" customHeight="1">
      <c r="A34" s="846" t="s">
        <v>159</v>
      </c>
      <c r="B34" s="837" t="s">
        <v>146</v>
      </c>
      <c r="C34" s="837" t="s">
        <v>169</v>
      </c>
      <c r="D34" s="847">
        <f>NSG_Supplies!O7/1000</f>
        <v>0</v>
      </c>
      <c r="E34" s="847">
        <f>NSG_Supplies!O8/1000</f>
        <v>0</v>
      </c>
      <c r="F34" s="847">
        <f>NSG_Supplies!O9/1000</f>
        <v>0</v>
      </c>
      <c r="G34" s="847">
        <f>NSG_Supplies!O10/1000</f>
        <v>0</v>
      </c>
      <c r="H34" s="847">
        <f>NSG_Supplies!O11/1000</f>
        <v>0</v>
      </c>
      <c r="I34" s="852">
        <f>NSG_Supplies!O12/1000</f>
        <v>0</v>
      </c>
      <c r="J34" s="112"/>
    </row>
    <row r="35" spans="1:13" ht="20.100000000000001" customHeight="1">
      <c r="A35" s="846"/>
      <c r="B35" s="837" t="s">
        <v>415</v>
      </c>
      <c r="C35" s="851" t="s">
        <v>523</v>
      </c>
      <c r="D35" s="847">
        <f>NSG_Supplies!N7/1000</f>
        <v>0</v>
      </c>
      <c r="E35" s="847">
        <f>NSG_Supplies!N8/1000</f>
        <v>0</v>
      </c>
      <c r="F35" s="847">
        <f>NSG_Supplies!N9/1000</f>
        <v>0</v>
      </c>
      <c r="G35" s="847">
        <f>NSG_Supplies!N10/1000</f>
        <v>0</v>
      </c>
      <c r="H35" s="847">
        <f>NSG_Supplies!N11/1000</f>
        <v>0</v>
      </c>
      <c r="I35" s="852">
        <f>NSG_Supplies!N12/1000</f>
        <v>0</v>
      </c>
      <c r="J35" s="112"/>
    </row>
    <row r="36" spans="1:13" ht="20.100000000000001" customHeight="1">
      <c r="A36" s="864"/>
      <c r="B36" s="865" t="s">
        <v>400</v>
      </c>
      <c r="C36" s="865"/>
      <c r="D36" s="880">
        <f>NSG_Supplies!B7/1000</f>
        <v>0</v>
      </c>
      <c r="E36" s="880">
        <f>NSG_Supplies!B8/1000</f>
        <v>0</v>
      </c>
      <c r="F36" s="880">
        <f>NSG_Supplies!B9/1000</f>
        <v>0</v>
      </c>
      <c r="G36" s="880">
        <f>NSG_Supplies!B10/1000</f>
        <v>0</v>
      </c>
      <c r="H36" s="880">
        <f>NSG_Supplies!B11/1000</f>
        <v>0</v>
      </c>
      <c r="I36" s="866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7" t="s">
        <v>159</v>
      </c>
      <c r="B37" s="868"/>
      <c r="C37" s="868"/>
      <c r="D37" s="887">
        <f t="shared" ref="D37:I37" si="2">SUM(D22:D36)</f>
        <v>60.003</v>
      </c>
      <c r="E37" s="887">
        <f t="shared" si="2"/>
        <v>49.942999999999998</v>
      </c>
      <c r="F37" s="887">
        <f t="shared" si="2"/>
        <v>49.942999999999998</v>
      </c>
      <c r="G37" s="887">
        <f t="shared" si="2"/>
        <v>49.942999999999998</v>
      </c>
      <c r="H37" s="887">
        <f t="shared" si="2"/>
        <v>49.942999999999998</v>
      </c>
      <c r="I37" s="888">
        <f t="shared" si="2"/>
        <v>49.942999999999998</v>
      </c>
      <c r="J37" s="112"/>
      <c r="K37" s="113"/>
      <c r="L37" s="95"/>
      <c r="M37" s="113"/>
    </row>
    <row r="38" spans="1:13" ht="20.100000000000001" customHeight="1">
      <c r="A38" s="889" t="s">
        <v>160</v>
      </c>
      <c r="B38" s="890"/>
      <c r="C38" s="890"/>
      <c r="D38" s="891">
        <f t="shared" ref="D38:I38" ca="1" si="3">IF(D37-D19&lt;0,0,D37-D19)</f>
        <v>3.0000000000001137E-3</v>
      </c>
      <c r="E38" s="891">
        <f t="shared" ca="1" si="3"/>
        <v>0</v>
      </c>
      <c r="F38" s="891">
        <f t="shared" ca="1" si="3"/>
        <v>2.6929999999999978</v>
      </c>
      <c r="G38" s="891">
        <f t="shared" ca="1" si="3"/>
        <v>3.6929999999999978</v>
      </c>
      <c r="H38" s="891">
        <f t="shared" ca="1" si="3"/>
        <v>5.6929999999999978</v>
      </c>
      <c r="I38" s="892">
        <f t="shared" ca="1" si="3"/>
        <v>5.6929999999999978</v>
      </c>
      <c r="J38" s="112"/>
      <c r="K38" s="113"/>
      <c r="L38" s="95"/>
      <c r="M38" s="113"/>
    </row>
    <row r="39" spans="1:13" ht="20.100000000000001" customHeight="1" thickBot="1">
      <c r="A39" s="893" t="s">
        <v>161</v>
      </c>
      <c r="B39" s="872"/>
      <c r="C39" s="872"/>
      <c r="D39" s="873">
        <f t="shared" ref="D39:I39" ca="1" si="4">IF(D19-D37&lt;0,0,D19-D37)</f>
        <v>0</v>
      </c>
      <c r="E39" s="873">
        <f t="shared" ca="1" si="4"/>
        <v>1.3070000000000022</v>
      </c>
      <c r="F39" s="873">
        <f t="shared" ca="1" si="4"/>
        <v>0</v>
      </c>
      <c r="G39" s="873">
        <f t="shared" ca="1" si="4"/>
        <v>0</v>
      </c>
      <c r="H39" s="873">
        <f t="shared" ca="1" si="4"/>
        <v>0</v>
      </c>
      <c r="I39" s="874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3" t="s">
        <v>771</v>
      </c>
      <c r="B40" s="1164"/>
      <c r="C40" s="1164"/>
      <c r="D40" s="1165">
        <f>NSG_Supplies!S7/1000</f>
        <v>18.998000000000001</v>
      </c>
      <c r="E40" s="1165">
        <f>NSG_Supplies!S8/1000</f>
        <v>18.998000000000001</v>
      </c>
      <c r="F40" s="1165">
        <f>NSG_Supplies!S9/1000</f>
        <v>18.998000000000001</v>
      </c>
      <c r="G40" s="1165">
        <f>NSG_Supplies!S10/1000</f>
        <v>18.998000000000001</v>
      </c>
      <c r="H40" s="1165">
        <f>NSG_Supplies!S11/1000</f>
        <v>18.998000000000001</v>
      </c>
      <c r="I40" s="1166">
        <f>NSG_Supplies!S12/1000</f>
        <v>18.998000000000001</v>
      </c>
    </row>
    <row r="41" spans="1:13" ht="20.100000000000001" customHeight="1" thickTop="1" thickBot="1">
      <c r="B41" s="895"/>
      <c r="C41" s="895"/>
      <c r="D41" s="895"/>
      <c r="E41" s="895"/>
      <c r="F41" s="895"/>
      <c r="G41" s="894"/>
      <c r="H41" s="894"/>
      <c r="I41" s="894"/>
    </row>
    <row r="42" spans="1:13" ht="20.100000000000001" customHeight="1" thickTop="1" thickBot="1">
      <c r="A42" s="896" t="s">
        <v>170</v>
      </c>
      <c r="B42" s="897"/>
      <c r="C42" s="897"/>
      <c r="D42" s="898">
        <f>Weather_Input!D5</f>
        <v>9</v>
      </c>
      <c r="E42" s="898">
        <f>Weather_Input!D6</f>
        <v>8</v>
      </c>
      <c r="F42" s="898">
        <f>Weather_Input!D7</f>
        <v>10</v>
      </c>
      <c r="G42" s="899"/>
      <c r="H42" s="894"/>
      <c r="I42" s="894"/>
    </row>
    <row r="43" spans="1:13" ht="15.75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72"/>
  <sheetViews>
    <sheetView topLeftCell="A9" zoomScale="75" workbookViewId="0">
      <selection activeCell="A14" sqref="A14"/>
    </sheetView>
  </sheetViews>
  <sheetFormatPr defaultColWidth="8.88671875" defaultRowHeight="15"/>
  <cols>
    <col min="1" max="1" width="22.77734375" customWidth="1"/>
    <col min="2" max="9" width="10.77734375" customWidth="1"/>
    <col min="16" max="16" width="23.77734375" customWidth="1"/>
    <col min="17" max="18" width="8.77734375" customWidth="1"/>
    <col min="19" max="19" width="9.77734375" customWidth="1"/>
    <col min="20" max="20" width="22.77734375" customWidth="1"/>
    <col min="21" max="23" width="8.77734375" customWidth="1"/>
    <col min="24" max="24" width="19.77734375" customWidth="1"/>
    <col min="25" max="30" width="8.77734375" customWidth="1"/>
  </cols>
  <sheetData>
    <row r="1" spans="1:32" ht="19.5" thickTop="1" thickBot="1">
      <c r="A1" s="585" t="s">
        <v>11</v>
      </c>
      <c r="B1" s="586"/>
      <c r="C1" s="586"/>
      <c r="D1" s="586"/>
      <c r="E1" s="587" t="s">
        <v>172</v>
      </c>
      <c r="F1" s="588">
        <f>Weather_Input!A5</f>
        <v>37037</v>
      </c>
      <c r="G1" s="768" t="str">
        <f>CHOOSE(WEEKDAY(F1),"SUN","MON","TUE","WED","THU","FRI","SAT")</f>
        <v>SAT</v>
      </c>
      <c r="H1" s="590" t="s">
        <v>257</v>
      </c>
      <c r="I1" s="591"/>
      <c r="P1" s="1225" t="s">
        <v>11</v>
      </c>
      <c r="Q1" s="1222" t="s">
        <v>11</v>
      </c>
      <c r="R1" s="1223" t="s">
        <v>740</v>
      </c>
      <c r="S1" s="1224"/>
      <c r="T1" s="1225" t="s">
        <v>11</v>
      </c>
      <c r="U1" s="1226" t="s">
        <v>800</v>
      </c>
      <c r="V1" s="1227" t="s">
        <v>11</v>
      </c>
      <c r="W1" s="1228"/>
      <c r="X1" s="1275" t="s">
        <v>11</v>
      </c>
      <c r="Y1" s="586"/>
      <c r="Z1" s="586"/>
      <c r="AA1" s="587" t="s">
        <v>172</v>
      </c>
      <c r="AB1" s="1308">
        <f>Weather_Input!A5</f>
        <v>37037</v>
      </c>
      <c r="AC1" s="1309" t="str">
        <f>CHOOSE(WEEKDAY(AB1),"SUN","MON","TUE","WED","THU","FRI","SAT")</f>
        <v>SAT</v>
      </c>
      <c r="AD1" s="591"/>
    </row>
    <row r="2" spans="1:32" ht="17.25" thickTop="1" thickBot="1">
      <c r="A2" s="256" t="s">
        <v>11</v>
      </c>
      <c r="B2" s="607" t="s">
        <v>688</v>
      </c>
      <c r="C2" s="959">
        <v>52.4</v>
      </c>
      <c r="D2" s="599" t="s">
        <v>555</v>
      </c>
      <c r="E2" s="606"/>
      <c r="F2" s="604" t="s">
        <v>556</v>
      </c>
      <c r="G2" s="605" t="s">
        <v>11</v>
      </c>
      <c r="H2" s="603" t="s">
        <v>173</v>
      </c>
      <c r="I2" s="258"/>
      <c r="P2" s="423" t="s">
        <v>744</v>
      </c>
      <c r="Q2" s="322">
        <f>PGL_Supplies!X7/1000</f>
        <v>0.3</v>
      </c>
      <c r="R2" s="8"/>
      <c r="S2" s="611"/>
      <c r="T2" s="566" t="s">
        <v>425</v>
      </c>
      <c r="U2" s="1201"/>
      <c r="V2" s="561" t="s">
        <v>11</v>
      </c>
      <c r="W2" s="1215" t="s">
        <v>11</v>
      </c>
      <c r="X2" s="257" t="s">
        <v>534</v>
      </c>
      <c r="Y2" s="1243" t="s">
        <v>408</v>
      </c>
      <c r="Z2" s="1248" t="s">
        <v>175</v>
      </c>
      <c r="AA2" s="1249" t="s">
        <v>23</v>
      </c>
      <c r="AB2" s="1248" t="s">
        <v>175</v>
      </c>
      <c r="AC2" s="1243" t="s">
        <v>23</v>
      </c>
      <c r="AD2" s="1250" t="s">
        <v>175</v>
      </c>
      <c r="AF2" s="1221" t="s">
        <v>11</v>
      </c>
    </row>
    <row r="3" spans="1:32" ht="15.75">
      <c r="A3" s="785" t="s">
        <v>534</v>
      </c>
      <c r="B3" s="598" t="s">
        <v>408</v>
      </c>
      <c r="C3" s="257" t="s">
        <v>11</v>
      </c>
      <c r="D3" s="598" t="s">
        <v>23</v>
      </c>
      <c r="E3" s="259" t="s">
        <v>175</v>
      </c>
      <c r="F3" s="601" t="s">
        <v>23</v>
      </c>
      <c r="G3" s="259" t="s">
        <v>175</v>
      </c>
      <c r="H3" s="598" t="s">
        <v>23</v>
      </c>
      <c r="I3" s="492" t="s">
        <v>175</v>
      </c>
      <c r="P3" s="423" t="s">
        <v>793</v>
      </c>
      <c r="Q3" s="1267">
        <f>PGL_Requirements!J7/1000</f>
        <v>0</v>
      </c>
      <c r="R3" s="982" t="s">
        <v>11</v>
      </c>
      <c r="S3" s="311"/>
      <c r="T3" s="566" t="s">
        <v>474</v>
      </c>
      <c r="U3" s="322">
        <f>PGL_Supplies!I7/1000</f>
        <v>15</v>
      </c>
      <c r="V3" s="386" t="s">
        <v>11</v>
      </c>
      <c r="W3" s="1215" t="s">
        <v>11</v>
      </c>
      <c r="X3" s="1276" t="s">
        <v>11</v>
      </c>
      <c r="Y3" s="960">
        <f>Weather_Input!B5</f>
        <v>56</v>
      </c>
      <c r="Z3" s="961">
        <f>Weather_Input!C5</f>
        <v>47</v>
      </c>
      <c r="AA3" s="602" t="s">
        <v>11</v>
      </c>
      <c r="AB3" s="267" t="s">
        <v>11</v>
      </c>
      <c r="AC3" s="267"/>
      <c r="AD3" s="265"/>
    </row>
    <row r="4" spans="1:32" ht="16.5" thickBot="1">
      <c r="A4" s="256" t="s">
        <v>11</v>
      </c>
      <c r="B4" s="960">
        <f>Weather_Input!B5</f>
        <v>56</v>
      </c>
      <c r="C4" s="961">
        <f>Weather_Input!C5</f>
        <v>47</v>
      </c>
      <c r="D4" s="600"/>
      <c r="E4" s="600"/>
      <c r="F4" s="602" t="s">
        <v>11</v>
      </c>
      <c r="G4" s="267" t="s">
        <v>11</v>
      </c>
      <c r="H4" s="267"/>
      <c r="I4" s="265"/>
      <c r="P4" s="247" t="s">
        <v>797</v>
      </c>
      <c r="Q4" s="1268">
        <v>24</v>
      </c>
      <c r="R4" s="121"/>
      <c r="S4" s="1007"/>
      <c r="T4" s="535" t="s">
        <v>475</v>
      </c>
      <c r="U4" s="1301">
        <v>0</v>
      </c>
      <c r="V4" s="524" t="s">
        <v>11</v>
      </c>
      <c r="W4" s="1216"/>
      <c r="X4" t="s">
        <v>834</v>
      </c>
      <c r="Y4" s="1108"/>
      <c r="Z4" s="1315">
        <v>52.5</v>
      </c>
      <c r="AA4" s="432"/>
      <c r="AB4" s="1111"/>
      <c r="AC4" s="432"/>
      <c r="AD4" s="810"/>
    </row>
    <row r="5" spans="1:32" ht="16.5" thickBot="1">
      <c r="A5" s="256" t="s">
        <v>627</v>
      </c>
      <c r="B5" s="962"/>
      <c r="C5" s="963">
        <f>PGL_Requirements!H7/1000</f>
        <v>0</v>
      </c>
      <c r="D5" s="618"/>
      <c r="E5" s="300"/>
      <c r="F5" s="618"/>
      <c r="G5" s="605"/>
      <c r="H5" s="300"/>
      <c r="I5" s="294"/>
      <c r="P5" s="1125" t="s">
        <v>4</v>
      </c>
      <c r="Q5" s="322">
        <f>PGL_Supplies!Y7/1000</f>
        <v>144.11600000000001</v>
      </c>
      <c r="R5" s="1112" t="s">
        <v>11</v>
      </c>
      <c r="S5" s="347"/>
      <c r="T5" s="1286" t="s">
        <v>451</v>
      </c>
      <c r="U5" s="997">
        <f>U3+U4</f>
        <v>15</v>
      </c>
      <c r="V5" s="564" t="s">
        <v>11</v>
      </c>
      <c r="W5" s="1318" t="s">
        <v>11</v>
      </c>
      <c r="X5" s="1277" t="s">
        <v>418</v>
      </c>
      <c r="Y5" s="1155" t="s">
        <v>11</v>
      </c>
      <c r="Z5" s="964">
        <f>PGL_Deliveries!C5/1000</f>
        <v>320</v>
      </c>
      <c r="AA5" s="600"/>
      <c r="AB5" s="267"/>
      <c r="AC5" s="600"/>
      <c r="AD5" s="265"/>
    </row>
    <row r="6" spans="1:32" ht="16.5" thickBot="1">
      <c r="A6" s="260" t="s">
        <v>418</v>
      </c>
      <c r="B6" s="1155" t="s">
        <v>11</v>
      </c>
      <c r="C6" s="964">
        <f>PGL_Deliveries!C5/1000</f>
        <v>320</v>
      </c>
      <c r="D6" s="1155" t="s">
        <v>11</v>
      </c>
      <c r="E6" s="267"/>
      <c r="F6" s="600"/>
      <c r="G6" s="267"/>
      <c r="H6" s="600"/>
      <c r="I6" s="265"/>
      <c r="P6" s="557" t="s">
        <v>442</v>
      </c>
      <c r="Q6" s="1116">
        <f>+Q5-Q3+Q2-Q4</f>
        <v>120.41600000000003</v>
      </c>
      <c r="R6" s="1117" t="s">
        <v>11</v>
      </c>
      <c r="S6" s="529"/>
      <c r="T6" s="637" t="s">
        <v>11</v>
      </c>
      <c r="U6" s="1005" t="s">
        <v>37</v>
      </c>
      <c r="V6" s="1006"/>
      <c r="W6" s="1217"/>
      <c r="X6" s="121" t="s">
        <v>765</v>
      </c>
      <c r="Y6" s="1156"/>
      <c r="Z6" s="1128">
        <f>PGL_Requirements!X7/1000</f>
        <v>0</v>
      </c>
      <c r="AA6" s="1156"/>
      <c r="AB6" s="1157"/>
      <c r="AC6" s="121"/>
      <c r="AD6" s="118"/>
    </row>
    <row r="7" spans="1:32" ht="16.5" thickBot="1">
      <c r="A7" s="247" t="s">
        <v>765</v>
      </c>
      <c r="B7" s="1156"/>
      <c r="C7" s="1128">
        <f>PGL_Requirements!I7/1000</f>
        <v>0</v>
      </c>
      <c r="D7" s="121"/>
      <c r="E7" s="121"/>
      <c r="F7" s="1156"/>
      <c r="G7" s="1157"/>
      <c r="H7" s="121"/>
      <c r="I7" s="118"/>
      <c r="P7" s="324" t="s">
        <v>11</v>
      </c>
      <c r="Q7" s="1113" t="s">
        <v>11</v>
      </c>
      <c r="R7" s="994" t="s">
        <v>68</v>
      </c>
      <c r="S7" s="1114"/>
      <c r="T7" s="423" t="s">
        <v>453</v>
      </c>
      <c r="U7" s="322">
        <f>PGL_Supplies!Q7/1000</f>
        <v>0</v>
      </c>
      <c r="V7" s="379" t="s">
        <v>11</v>
      </c>
      <c r="W7" s="1209"/>
      <c r="X7" s="496"/>
      <c r="Y7" s="495" t="s">
        <v>11</v>
      </c>
      <c r="Z7" s="495" t="s">
        <v>11</v>
      </c>
      <c r="AA7" s="496"/>
      <c r="AB7" s="496"/>
      <c r="AC7" s="496"/>
      <c r="AD7" s="497"/>
    </row>
    <row r="8" spans="1:32" ht="16.5" thickBot="1">
      <c r="A8" s="494"/>
      <c r="B8" s="495" t="s">
        <v>11</v>
      </c>
      <c r="C8" s="495" t="s">
        <v>11</v>
      </c>
      <c r="D8" s="496"/>
      <c r="E8" s="496"/>
      <c r="F8" s="496"/>
      <c r="G8" s="496"/>
      <c r="H8" s="496"/>
      <c r="I8" s="497"/>
      <c r="P8" s="423" t="s">
        <v>630</v>
      </c>
      <c r="Q8" s="322">
        <f>PGL_Requirements!U7/1000</f>
        <v>40.200000000000003</v>
      </c>
      <c r="R8" s="592"/>
      <c r="S8" s="311"/>
      <c r="T8" s="423" t="s">
        <v>454</v>
      </c>
      <c r="U8" s="386">
        <f>PGL_Requirements!F7/1000</f>
        <v>4</v>
      </c>
      <c r="V8" s="379" t="s">
        <v>11</v>
      </c>
      <c r="W8" s="1209"/>
      <c r="X8" s="1096" t="s">
        <v>791</v>
      </c>
      <c r="Y8" s="291" t="s">
        <v>11</v>
      </c>
      <c r="Z8" s="612">
        <f>Q4</f>
        <v>24</v>
      </c>
      <c r="AA8" s="617"/>
      <c r="AB8" s="267"/>
      <c r="AC8" s="617"/>
      <c r="AD8" s="265" t="s">
        <v>11</v>
      </c>
    </row>
    <row r="9" spans="1:32">
      <c r="A9" s="423" t="s">
        <v>794</v>
      </c>
      <c r="B9" s="291" t="s">
        <v>11</v>
      </c>
      <c r="C9" s="612">
        <f>B31</f>
        <v>24</v>
      </c>
      <c r="D9" s="617"/>
      <c r="E9" s="267"/>
      <c r="F9" s="617"/>
      <c r="G9" s="267"/>
      <c r="H9" s="617"/>
      <c r="I9" s="265" t="s">
        <v>11</v>
      </c>
      <c r="P9" s="423" t="s">
        <v>711</v>
      </c>
      <c r="Q9" s="322">
        <f>PGL_Supplies!R7/1000</f>
        <v>0</v>
      </c>
      <c r="R9" s="311"/>
      <c r="S9" s="311"/>
      <c r="T9" s="423" t="s">
        <v>455</v>
      </c>
      <c r="U9" s="322">
        <f>PGL_Supplies!G7/1000</f>
        <v>0</v>
      </c>
      <c r="V9" s="322"/>
      <c r="W9" s="1209"/>
      <c r="X9" s="121" t="s">
        <v>740</v>
      </c>
      <c r="Y9" s="1108"/>
      <c r="Z9" s="1124">
        <f>+Q6</f>
        <v>120.41600000000003</v>
      </c>
      <c r="AA9" s="1108"/>
      <c r="AB9" s="1111"/>
      <c r="AC9" s="432"/>
      <c r="AD9" s="283" t="s">
        <v>11</v>
      </c>
    </row>
    <row r="10" spans="1:32" ht="15.75" thickBot="1">
      <c r="A10" s="247" t="s">
        <v>740</v>
      </c>
      <c r="B10" s="1108"/>
      <c r="C10" s="1124">
        <f>+B34</f>
        <v>120.11600000000001</v>
      </c>
      <c r="D10" s="1108"/>
      <c r="E10" s="432"/>
      <c r="F10" s="1108"/>
      <c r="G10" s="1111"/>
      <c r="H10" s="432"/>
      <c r="I10" s="283" t="s">
        <v>11</v>
      </c>
      <c r="P10" s="423" t="s">
        <v>440</v>
      </c>
      <c r="Q10" s="322">
        <f>PGL_Requirements!C7/1000</f>
        <v>0</v>
      </c>
      <c r="R10" s="1108"/>
      <c r="S10" s="1109"/>
      <c r="T10" s="423" t="s">
        <v>821</v>
      </c>
      <c r="U10" s="1013">
        <f>PGL_Supplies!AD7/1000</f>
        <v>4</v>
      </c>
      <c r="V10" s="525"/>
      <c r="W10" s="1210"/>
      <c r="X10" s="1278" t="s">
        <v>813</v>
      </c>
      <c r="Y10" s="280" t="s">
        <v>11</v>
      </c>
      <c r="Z10" s="612">
        <f>Q13</f>
        <v>0</v>
      </c>
      <c r="AA10" s="600"/>
      <c r="AB10" s="612" t="s">
        <v>11</v>
      </c>
      <c r="AC10" s="600"/>
      <c r="AD10" s="283" t="s">
        <v>11</v>
      </c>
    </row>
    <row r="11" spans="1:32" ht="16.5" thickBot="1">
      <c r="A11" s="491" t="s">
        <v>559</v>
      </c>
      <c r="B11" s="280" t="s">
        <v>11</v>
      </c>
      <c r="C11" s="612">
        <f>B41</f>
        <v>0</v>
      </c>
      <c r="D11" s="600"/>
      <c r="E11" s="612" t="s">
        <v>11</v>
      </c>
      <c r="F11" s="600"/>
      <c r="G11" s="612" t="s">
        <v>11</v>
      </c>
      <c r="H11" s="600"/>
      <c r="I11" s="283" t="s">
        <v>11</v>
      </c>
      <c r="P11" s="423" t="s">
        <v>441</v>
      </c>
      <c r="Q11" s="322">
        <f>PGL_Supplies!C7/1000</f>
        <v>0</v>
      </c>
      <c r="R11" s="1108"/>
      <c r="S11" s="1109"/>
      <c r="T11" s="797" t="s">
        <v>558</v>
      </c>
      <c r="U11" s="1015">
        <f>+U10+U9-U8+U7</f>
        <v>0</v>
      </c>
      <c r="V11" s="997" t="s">
        <v>11</v>
      </c>
      <c r="W11" s="530"/>
      <c r="X11" s="1278" t="s">
        <v>60</v>
      </c>
      <c r="Y11" s="280" t="s">
        <v>11</v>
      </c>
      <c r="Z11" s="612">
        <f>Q21</f>
        <v>-149.68</v>
      </c>
      <c r="AA11" s="600"/>
      <c r="AB11" s="267" t="s">
        <v>11</v>
      </c>
      <c r="AC11" s="600"/>
      <c r="AD11" s="265"/>
    </row>
    <row r="12" spans="1:32" ht="16.5" thickBot="1">
      <c r="A12" s="491" t="s">
        <v>560</v>
      </c>
      <c r="B12" s="280" t="s">
        <v>11</v>
      </c>
      <c r="C12" s="612">
        <f>B55</f>
        <v>-149.68</v>
      </c>
      <c r="D12" s="600"/>
      <c r="E12" s="267"/>
      <c r="F12" s="600"/>
      <c r="G12" s="267" t="s">
        <v>11</v>
      </c>
      <c r="H12" s="600"/>
      <c r="I12" s="265"/>
      <c r="P12" s="636" t="s">
        <v>693</v>
      </c>
      <c r="Q12" s="322">
        <f>PGL_Supplies!Z7/1000</f>
        <v>40.200000000000003</v>
      </c>
      <c r="R12" s="121"/>
      <c r="S12" s="1107"/>
      <c r="T12" s="1270" t="s">
        <v>11</v>
      </c>
      <c r="U12" s="1269" t="s">
        <v>837</v>
      </c>
      <c r="V12" s="357"/>
      <c r="W12" s="1214"/>
      <c r="X12" s="1278" t="s">
        <v>814</v>
      </c>
      <c r="Y12" s="280" t="s">
        <v>11</v>
      </c>
      <c r="Z12" s="612">
        <f>Q30</f>
        <v>0</v>
      </c>
      <c r="AA12" s="600"/>
      <c r="AB12" s="267" t="s">
        <v>11</v>
      </c>
      <c r="AC12" s="600"/>
      <c r="AD12" s="265"/>
    </row>
    <row r="13" spans="1:32" ht="16.5" thickBot="1">
      <c r="A13" s="491" t="s">
        <v>561</v>
      </c>
      <c r="B13" s="280" t="s">
        <v>11</v>
      </c>
      <c r="C13" s="612">
        <f>B47</f>
        <v>0</v>
      </c>
      <c r="D13" s="618"/>
      <c r="E13" s="267"/>
      <c r="F13" s="600"/>
      <c r="G13" s="267" t="s">
        <v>11</v>
      </c>
      <c r="H13" s="600"/>
      <c r="I13" s="265"/>
      <c r="P13" s="557" t="s">
        <v>442</v>
      </c>
      <c r="Q13" s="564">
        <f>Q12+Q11-Q10+Q9-Q8</f>
        <v>0</v>
      </c>
      <c r="R13" s="529"/>
      <c r="S13" s="529"/>
      <c r="T13" s="579" t="s">
        <v>483</v>
      </c>
      <c r="U13" s="1201" t="s">
        <v>11</v>
      </c>
      <c r="V13" s="572" t="s">
        <v>11</v>
      </c>
      <c r="W13" s="1218" t="s">
        <v>11</v>
      </c>
      <c r="X13" s="1278" t="s">
        <v>815</v>
      </c>
      <c r="Y13" s="284" t="s">
        <v>11</v>
      </c>
      <c r="Z13" s="612">
        <f>Q36</f>
        <v>201.84700000000001</v>
      </c>
      <c r="AA13" s="600"/>
      <c r="AB13" s="267" t="s">
        <v>11</v>
      </c>
      <c r="AC13" s="600"/>
      <c r="AD13" s="265"/>
    </row>
    <row r="14" spans="1:32" ht="16.5" thickBot="1">
      <c r="A14" s="491" t="s">
        <v>562</v>
      </c>
      <c r="B14" s="284" t="s">
        <v>11</v>
      </c>
      <c r="C14" s="612">
        <f>I65</f>
        <v>201.84700000000001</v>
      </c>
      <c r="D14" s="600"/>
      <c r="E14" s="267"/>
      <c r="F14" s="600"/>
      <c r="G14" s="267" t="s">
        <v>11</v>
      </c>
      <c r="H14" s="600"/>
      <c r="I14" s="265"/>
      <c r="P14" s="553" t="s">
        <v>11</v>
      </c>
      <c r="Q14" s="558" t="s">
        <v>11</v>
      </c>
      <c r="R14" s="994" t="s">
        <v>60</v>
      </c>
      <c r="S14" s="556"/>
      <c r="T14" s="359" t="s">
        <v>484</v>
      </c>
      <c r="U14" s="311"/>
      <c r="V14" s="538"/>
      <c r="W14" s="1219"/>
      <c r="X14" s="1278" t="s">
        <v>421</v>
      </c>
      <c r="Y14" s="280" t="s">
        <v>11</v>
      </c>
      <c r="Z14" s="965">
        <f>U5</f>
        <v>15</v>
      </c>
      <c r="AA14" s="600"/>
      <c r="AB14" s="267" t="s">
        <v>11</v>
      </c>
      <c r="AC14" s="600"/>
      <c r="AD14" s="265"/>
    </row>
    <row r="15" spans="1:32" ht="16.5" thickBot="1">
      <c r="A15" s="491" t="s">
        <v>421</v>
      </c>
      <c r="B15" s="280" t="s">
        <v>11</v>
      </c>
      <c r="C15" s="965">
        <f>PGL_Supplies!I7/1000</f>
        <v>15</v>
      </c>
      <c r="D15" s="600" t="s">
        <v>11</v>
      </c>
      <c r="E15" s="267"/>
      <c r="F15" s="600"/>
      <c r="G15" s="267" t="s">
        <v>11</v>
      </c>
      <c r="H15" s="600"/>
      <c r="I15" s="265"/>
      <c r="P15" s="423" t="s">
        <v>72</v>
      </c>
      <c r="Q15" s="322">
        <f>PGL_Requirements!P7/1000</f>
        <v>150</v>
      </c>
      <c r="R15" s="311"/>
      <c r="S15" s="547"/>
      <c r="T15" s="1272" t="s">
        <v>695</v>
      </c>
      <c r="U15" s="1008"/>
      <c r="V15" s="1156"/>
      <c r="W15" s="1234"/>
      <c r="X15" s="1278" t="s">
        <v>816</v>
      </c>
      <c r="Y15" s="280" t="s">
        <v>171</v>
      </c>
      <c r="Z15" s="612">
        <f>U11</f>
        <v>0</v>
      </c>
      <c r="AA15" s="600"/>
      <c r="AB15" s="267" t="s">
        <v>11</v>
      </c>
      <c r="AC15" s="600"/>
      <c r="AD15" s="265"/>
    </row>
    <row r="16" spans="1:32" ht="16.5" thickBot="1">
      <c r="A16" s="491" t="s">
        <v>563</v>
      </c>
      <c r="B16" s="280" t="s">
        <v>171</v>
      </c>
      <c r="C16" s="612">
        <f>+B64</f>
        <v>0</v>
      </c>
      <c r="D16" s="600"/>
      <c r="E16" s="267"/>
      <c r="F16" s="600"/>
      <c r="G16" s="267" t="s">
        <v>11</v>
      </c>
      <c r="H16" s="600"/>
      <c r="I16" s="265"/>
      <c r="P16" s="423" t="s">
        <v>447</v>
      </c>
      <c r="Q16" s="322">
        <f>PGL_Supplies!M7/1000</f>
        <v>0</v>
      </c>
      <c r="R16" s="311"/>
      <c r="S16" s="547"/>
      <c r="T16" s="1273" t="s">
        <v>11</v>
      </c>
      <c r="U16" s="1229" t="s">
        <v>476</v>
      </c>
      <c r="V16" s="1319"/>
      <c r="W16" s="1274"/>
      <c r="X16" s="1278" t="s">
        <v>564</v>
      </c>
      <c r="Y16" s="280" t="s">
        <v>171</v>
      </c>
      <c r="Z16" s="965">
        <f>PGL_Supplies!B7/1000</f>
        <v>5</v>
      </c>
      <c r="AA16" s="600"/>
      <c r="AB16" s="267" t="s">
        <v>11</v>
      </c>
      <c r="AC16" s="600"/>
      <c r="AD16" s="265"/>
    </row>
    <row r="17" spans="1:30" ht="15" customHeight="1" thickBot="1">
      <c r="A17" s="491" t="s">
        <v>564</v>
      </c>
      <c r="B17" s="280" t="s">
        <v>171</v>
      </c>
      <c r="C17" s="965">
        <f>PGL_Supplies!B7/1000</f>
        <v>5</v>
      </c>
      <c r="D17" s="618"/>
      <c r="E17" s="267"/>
      <c r="F17" s="600"/>
      <c r="G17" s="267" t="s">
        <v>11</v>
      </c>
      <c r="H17" s="600"/>
      <c r="I17" s="265"/>
      <c r="P17" s="423" t="s">
        <v>448</v>
      </c>
      <c r="Q17" s="322">
        <f>SUM(PGL_Requirements!B7/1000)</f>
        <v>0</v>
      </c>
      <c r="R17" s="311"/>
      <c r="S17" s="1209"/>
      <c r="T17" s="540" t="s">
        <v>477</v>
      </c>
      <c r="U17" s="560">
        <f>+PGL_Supplies!K7/1000</f>
        <v>0</v>
      </c>
      <c r="V17" s="1299" t="s">
        <v>11</v>
      </c>
      <c r="W17" s="1220" t="s">
        <v>11</v>
      </c>
      <c r="X17" s="1271" t="s">
        <v>565</v>
      </c>
      <c r="Y17" s="305" t="s">
        <v>11</v>
      </c>
      <c r="Z17" s="982">
        <f>-PGL_Requirements!G7/1000</f>
        <v>0</v>
      </c>
      <c r="AA17" s="600"/>
      <c r="AB17" s="267"/>
      <c r="AC17" s="600"/>
      <c r="AD17" s="265"/>
    </row>
    <row r="18" spans="1:30" ht="16.5" thickBot="1">
      <c r="A18" s="290" t="s">
        <v>565</v>
      </c>
      <c r="B18" s="613" t="s">
        <v>11</v>
      </c>
      <c r="C18" s="1128">
        <f>PGL_Requirements!G7/1000</f>
        <v>0</v>
      </c>
      <c r="D18" s="599"/>
      <c r="E18" s="267"/>
      <c r="F18" s="600"/>
      <c r="G18" s="267"/>
      <c r="H18" s="600"/>
      <c r="I18" s="265"/>
      <c r="P18" s="423" t="s">
        <v>449</v>
      </c>
      <c r="Q18" s="322">
        <f>PGL_Supplies!H7/1000</f>
        <v>1</v>
      </c>
      <c r="R18" s="311"/>
      <c r="S18" s="1209"/>
      <c r="T18" s="637" t="s">
        <v>11</v>
      </c>
      <c r="U18" s="1229" t="s">
        <v>801</v>
      </c>
      <c r="V18" s="1006"/>
      <c r="W18" s="1217"/>
      <c r="X18" t="s">
        <v>831</v>
      </c>
      <c r="Y18" s="1108"/>
      <c r="Z18" s="1304">
        <f>-U19</f>
        <v>0</v>
      </c>
      <c r="AA18" s="1108"/>
      <c r="AB18" s="223"/>
      <c r="AC18" s="1108"/>
      <c r="AD18" s="810"/>
    </row>
    <row r="19" spans="1:30" ht="16.5" thickBot="1">
      <c r="A19" s="614" t="s">
        <v>695</v>
      </c>
      <c r="B19" s="615" t="s">
        <v>11</v>
      </c>
      <c r="C19" s="509">
        <f>SUM(C9:C17)-C18</f>
        <v>216.28300000000002</v>
      </c>
      <c r="D19" s="619" t="s">
        <v>11</v>
      </c>
      <c r="E19" s="616" t="s">
        <v>11</v>
      </c>
      <c r="F19" s="619" t="s">
        <v>11</v>
      </c>
      <c r="G19" s="509" t="s">
        <v>11</v>
      </c>
      <c r="H19" s="619" t="s">
        <v>11</v>
      </c>
      <c r="I19" s="620"/>
      <c r="P19" s="368" t="s">
        <v>736</v>
      </c>
      <c r="Q19" s="322">
        <f>PGL_Requirements!R7/1000</f>
        <v>0.68</v>
      </c>
      <c r="R19" s="311"/>
      <c r="S19" s="1209"/>
      <c r="T19" s="1230" t="s">
        <v>802</v>
      </c>
      <c r="U19" s="1300">
        <f>PGL_Requirements!K7/1000</f>
        <v>0</v>
      </c>
      <c r="V19" s="1094"/>
      <c r="W19" s="1231"/>
      <c r="X19" t="s">
        <v>566</v>
      </c>
      <c r="Y19" s="1303"/>
      <c r="Z19" s="1305">
        <f>-U24</f>
        <v>0</v>
      </c>
      <c r="AA19" s="1303"/>
      <c r="AB19" s="159"/>
      <c r="AC19" s="1303"/>
      <c r="AD19" s="1302"/>
    </row>
    <row r="20" spans="1:30" ht="16.5" thickBot="1">
      <c r="A20" s="502" t="s">
        <v>38</v>
      </c>
      <c r="B20" s="503" t="s">
        <v>11</v>
      </c>
      <c r="C20" s="966"/>
      <c r="D20" s="505"/>
      <c r="E20" s="507"/>
      <c r="F20" s="505"/>
      <c r="G20" s="505" t="s">
        <v>642</v>
      </c>
      <c r="H20" s="505"/>
      <c r="I20" s="967"/>
      <c r="P20" s="423" t="s">
        <v>737</v>
      </c>
      <c r="Q20" s="322">
        <f>PGL_Requirements!Q7/1000</f>
        <v>2.25</v>
      </c>
      <c r="R20" s="347"/>
      <c r="S20" s="1210"/>
      <c r="T20" s="121"/>
      <c r="U20" s="121"/>
      <c r="V20" s="121"/>
      <c r="W20" s="1242"/>
      <c r="X20" s="1279" t="s">
        <v>695</v>
      </c>
      <c r="Y20" s="615" t="s">
        <v>11</v>
      </c>
      <c r="Z20" s="509">
        <f>SUM(Z8:Z19)</f>
        <v>216.58300000000003</v>
      </c>
      <c r="AA20" s="619" t="s">
        <v>11</v>
      </c>
      <c r="AB20" s="509" t="s">
        <v>11</v>
      </c>
      <c r="AC20" s="619" t="s">
        <v>11</v>
      </c>
      <c r="AD20" s="620"/>
    </row>
    <row r="21" spans="1:30" ht="16.5" thickBot="1">
      <c r="A21" s="491" t="s">
        <v>628</v>
      </c>
      <c r="B21" s="280" t="s">
        <v>11</v>
      </c>
      <c r="C21" s="968">
        <f>-PGL_Supplies!J7/1000</f>
        <v>0</v>
      </c>
      <c r="D21" s="264"/>
      <c r="E21" s="267"/>
      <c r="F21" s="264"/>
      <c r="G21" s="267"/>
      <c r="H21" s="264"/>
      <c r="I21" s="258"/>
      <c r="P21" s="516" t="s">
        <v>451</v>
      </c>
      <c r="Q21" s="1297">
        <f>-Q15+Q16+Q18-Q19-Q17+Q22+Q23</f>
        <v>-149.68</v>
      </c>
      <c r="R21" s="518"/>
      <c r="S21" s="530"/>
      <c r="T21" s="1232" t="s">
        <v>803</v>
      </c>
      <c r="U21" s="1268">
        <v>0</v>
      </c>
      <c r="V21" s="1109"/>
      <c r="W21" s="434"/>
      <c r="X21" s="495" t="s">
        <v>38</v>
      </c>
      <c r="Y21" s="503" t="s">
        <v>11</v>
      </c>
      <c r="Z21" s="966"/>
      <c r="AA21" s="505"/>
      <c r="AB21" s="505" t="s">
        <v>812</v>
      </c>
      <c r="AC21" s="505"/>
      <c r="AD21" s="967"/>
    </row>
    <row r="22" spans="1:30">
      <c r="A22" s="491" t="s">
        <v>424</v>
      </c>
      <c r="B22" s="280" t="s">
        <v>11</v>
      </c>
      <c r="C22" s="612">
        <f>C6+C7-C19</f>
        <v>103.71699999999998</v>
      </c>
      <c r="D22" s="264"/>
      <c r="E22" s="267"/>
      <c r="F22" s="264"/>
      <c r="G22" s="612" t="s">
        <v>11</v>
      </c>
      <c r="H22" s="264"/>
      <c r="I22" s="294"/>
      <c r="P22" s="330" t="s">
        <v>217</v>
      </c>
      <c r="Q22" s="322">
        <v>0</v>
      </c>
      <c r="R22" s="521"/>
      <c r="S22" s="1211"/>
      <c r="T22" s="1232" t="s">
        <v>804</v>
      </c>
      <c r="U22" s="1268">
        <v>0</v>
      </c>
      <c r="V22" s="1109"/>
      <c r="W22" s="434"/>
      <c r="X22" s="1278" t="s">
        <v>628</v>
      </c>
      <c r="Y22" s="280" t="s">
        <v>11</v>
      </c>
      <c r="Z22" s="968">
        <f>-PGL_Supplies!J7/1000</f>
        <v>0</v>
      </c>
      <c r="AA22" s="264"/>
      <c r="AB22" s="267"/>
      <c r="AC22" s="264"/>
      <c r="AD22" s="258"/>
    </row>
    <row r="23" spans="1:30" ht="18" customHeight="1" thickBot="1">
      <c r="A23" s="634" t="s">
        <v>425</v>
      </c>
      <c r="B23" s="280" t="s">
        <v>11</v>
      </c>
      <c r="C23" s="612"/>
      <c r="D23" s="264"/>
      <c r="E23" s="267"/>
      <c r="F23" s="295" t="s">
        <v>11</v>
      </c>
      <c r="G23" s="969"/>
      <c r="H23" s="295" t="s">
        <v>11</v>
      </c>
      <c r="I23" s="258"/>
      <c r="P23" s="423" t="s">
        <v>215</v>
      </c>
      <c r="Q23" s="1205">
        <v>0</v>
      </c>
      <c r="R23" s="548"/>
      <c r="S23" s="1212"/>
      <c r="T23" s="1233" t="s">
        <v>805</v>
      </c>
      <c r="U23" s="1288">
        <v>0</v>
      </c>
      <c r="V23" s="1008"/>
      <c r="W23" s="1234"/>
      <c r="X23" s="1278" t="s">
        <v>424</v>
      </c>
      <c r="Y23" s="280" t="s">
        <v>11</v>
      </c>
      <c r="Z23" s="612">
        <f>Z5+Z6-Z20</f>
        <v>103.41699999999997</v>
      </c>
      <c r="AA23" s="264"/>
      <c r="AB23" s="612" t="s">
        <v>11</v>
      </c>
      <c r="AC23" s="264"/>
      <c r="AD23" s="294"/>
    </row>
    <row r="24" spans="1:30" ht="16.5" thickBot="1">
      <c r="A24" s="491" t="s">
        <v>426</v>
      </c>
      <c r="B24" s="970" t="s">
        <v>11</v>
      </c>
      <c r="C24" s="971">
        <f>SUM(B54+B56+B57)</f>
        <v>2.25</v>
      </c>
      <c r="D24" s="257"/>
      <c r="E24" s="269"/>
      <c r="F24" s="972"/>
      <c r="G24" s="269"/>
      <c r="H24" s="973" t="s">
        <v>11</v>
      </c>
      <c r="I24" s="974" t="s">
        <v>11</v>
      </c>
      <c r="K24" t="s">
        <v>11</v>
      </c>
      <c r="P24" s="1206" t="s">
        <v>792</v>
      </c>
      <c r="Q24" s="1188">
        <f>SUM(Q4)</f>
        <v>24</v>
      </c>
      <c r="R24" s="1207"/>
      <c r="S24" s="1208"/>
      <c r="T24" s="549" t="s">
        <v>806</v>
      </c>
      <c r="U24" s="1300">
        <f>PGL_Requirements!H7/1000</f>
        <v>0</v>
      </c>
      <c r="V24" s="1094"/>
      <c r="W24" s="1075"/>
      <c r="X24" s="1280" t="s">
        <v>425</v>
      </c>
      <c r="Y24" s="280" t="s">
        <v>11</v>
      </c>
      <c r="Z24" s="612"/>
      <c r="AA24" s="295" t="s">
        <v>11</v>
      </c>
      <c r="AB24" s="969"/>
      <c r="AC24" s="295" t="s">
        <v>11</v>
      </c>
      <c r="AD24" s="294"/>
    </row>
    <row r="25" spans="1:30" ht="17.25" thickTop="1" thickBot="1">
      <c r="A25" s="635" t="s">
        <v>427</v>
      </c>
      <c r="B25" s="975" t="s">
        <v>11</v>
      </c>
      <c r="C25" s="976">
        <f>SUM(C22:C24)</f>
        <v>105.96699999999998</v>
      </c>
      <c r="D25" s="975" t="str">
        <f>B25</f>
        <v xml:space="preserve"> </v>
      </c>
      <c r="E25" s="976" t="s">
        <v>11</v>
      </c>
      <c r="F25" s="975" t="s">
        <v>11</v>
      </c>
      <c r="G25" s="976" t="s">
        <v>11</v>
      </c>
      <c r="H25" s="977" t="s">
        <v>11</v>
      </c>
      <c r="I25" s="978" t="s">
        <v>11</v>
      </c>
      <c r="P25" s="553" t="s">
        <v>11</v>
      </c>
      <c r="Q25" s="554" t="s">
        <v>11</v>
      </c>
      <c r="R25" s="1320" t="s">
        <v>69</v>
      </c>
      <c r="S25" s="1217"/>
      <c r="T25" s="1235" t="s">
        <v>807</v>
      </c>
      <c r="U25" s="1289"/>
      <c r="V25" s="1236"/>
      <c r="W25" s="1237"/>
      <c r="X25" s="1278" t="s">
        <v>426</v>
      </c>
      <c r="Y25" s="970" t="s">
        <v>11</v>
      </c>
      <c r="Z25" s="971">
        <f>SUM(Q20+Q22+Q23)</f>
        <v>2.25</v>
      </c>
      <c r="AA25" s="972"/>
      <c r="AB25" s="1317"/>
      <c r="AC25" s="973" t="s">
        <v>11</v>
      </c>
      <c r="AD25" s="258"/>
    </row>
    <row r="26" spans="1:30" ht="17.25" thickTop="1" thickBot="1">
      <c r="A26" s="330" t="s">
        <v>731</v>
      </c>
      <c r="B26" s="979"/>
      <c r="C26" s="968">
        <f>SUM(-PGL_Supplies!M7/1000)</f>
        <v>0</v>
      </c>
      <c r="D26" s="1098" t="s">
        <v>11</v>
      </c>
      <c r="E26" s="1097" t="s">
        <v>11</v>
      </c>
      <c r="F26" s="1099"/>
      <c r="G26" s="1100"/>
      <c r="H26" s="512"/>
      <c r="I26" s="984"/>
      <c r="P26" s="423" t="s">
        <v>445</v>
      </c>
      <c r="Q26" s="322">
        <f>PGL_Supplies!D7/1000</f>
        <v>0</v>
      </c>
      <c r="R26" s="350"/>
      <c r="S26" s="1209"/>
      <c r="T26" s="121"/>
      <c r="U26" s="1129"/>
      <c r="V26" s="121"/>
      <c r="W26" s="160"/>
      <c r="X26" s="1281" t="s">
        <v>427</v>
      </c>
      <c r="Y26" s="975" t="s">
        <v>11</v>
      </c>
      <c r="Z26" s="976">
        <f>SUM(Z23:Z25)</f>
        <v>105.66699999999997</v>
      </c>
      <c r="AA26" s="975" t="s">
        <v>11</v>
      </c>
      <c r="AB26" s="612"/>
      <c r="AC26" s="977" t="s">
        <v>11</v>
      </c>
      <c r="AD26" s="978" t="s">
        <v>11</v>
      </c>
    </row>
    <row r="27" spans="1:30" ht="15.75" customHeight="1" thickTop="1" thickBot="1">
      <c r="A27" s="491" t="s">
        <v>435</v>
      </c>
      <c r="B27" s="985"/>
      <c r="C27" s="982">
        <f>PGL_Requirements!O7/1000</f>
        <v>0</v>
      </c>
      <c r="D27" s="980" t="s">
        <v>11</v>
      </c>
      <c r="E27" s="963" t="s">
        <v>11</v>
      </c>
      <c r="F27" s="305"/>
      <c r="G27" s="963" t="s">
        <v>11</v>
      </c>
      <c r="H27" s="512"/>
      <c r="I27" s="981" t="s">
        <v>11</v>
      </c>
      <c r="L27" s="121"/>
      <c r="P27" s="423" t="s">
        <v>798</v>
      </c>
      <c r="Q27" s="1002">
        <f>PGL_Supplies!D7/1000</f>
        <v>0</v>
      </c>
      <c r="R27" s="1296"/>
      <c r="S27" s="1209"/>
      <c r="T27" s="1230" t="s">
        <v>808</v>
      </c>
      <c r="U27" s="1287"/>
      <c r="V27" s="1094"/>
      <c r="W27" s="1231"/>
      <c r="X27" s="1282" t="s">
        <v>731</v>
      </c>
      <c r="Y27" s="979"/>
      <c r="Z27" s="968">
        <f>SUM(-PGL_Supplies!M7/1000)</f>
        <v>0</v>
      </c>
      <c r="AA27" s="1099"/>
      <c r="AB27" s="1100"/>
      <c r="AC27" s="512"/>
      <c r="AD27" s="984"/>
    </row>
    <row r="28" spans="1:30" ht="15.75">
      <c r="A28" s="491" t="s">
        <v>436</v>
      </c>
      <c r="B28" s="987"/>
      <c r="C28" s="1247">
        <f>-PGL_Supplies!L7/1000</f>
        <v>-60.01</v>
      </c>
      <c r="D28" s="983" t="s">
        <v>11</v>
      </c>
      <c r="E28" s="982" t="s">
        <v>11</v>
      </c>
      <c r="F28" s="305"/>
      <c r="G28" s="982" t="s">
        <v>11</v>
      </c>
      <c r="H28" s="512"/>
      <c r="I28" s="988" t="s">
        <v>11</v>
      </c>
      <c r="L28" s="1096"/>
      <c r="P28" s="423" t="s">
        <v>108</v>
      </c>
      <c r="Q28" s="1002">
        <f>PGL_Supplies!AA7/1000</f>
        <v>0</v>
      </c>
      <c r="R28" s="311"/>
      <c r="S28" s="1209"/>
      <c r="T28" s="121"/>
      <c r="U28" s="1129"/>
      <c r="V28" s="121"/>
      <c r="W28" s="160"/>
      <c r="X28" s="1278" t="s">
        <v>435</v>
      </c>
      <c r="Y28" s="985"/>
      <c r="Z28" s="982">
        <f>PGL_Requirements!O7/1000</f>
        <v>0</v>
      </c>
      <c r="AA28" s="305"/>
      <c r="AB28" s="963" t="s">
        <v>11</v>
      </c>
      <c r="AC28" s="512"/>
      <c r="AD28" s="981" t="s">
        <v>11</v>
      </c>
    </row>
    <row r="29" spans="1:30" ht="15.75" thickBot="1">
      <c r="A29" s="423" t="s">
        <v>196</v>
      </c>
      <c r="B29" s="989"/>
      <c r="C29" s="982">
        <f>-PGL_Supplies!AC7/1000</f>
        <v>-45.658000000000001</v>
      </c>
      <c r="D29" s="983" t="s">
        <v>11</v>
      </c>
      <c r="E29" s="982">
        <f>-PGL_Supplies!AC7/1000</f>
        <v>-45.658000000000001</v>
      </c>
      <c r="F29" s="305"/>
      <c r="G29" s="982">
        <f>-PGL_Supplies!AC7/1000</f>
        <v>-45.658000000000001</v>
      </c>
      <c r="H29" s="512"/>
      <c r="I29" s="984">
        <f>-PGL_Supplies!AC7/1000</f>
        <v>-45.658000000000001</v>
      </c>
      <c r="L29" s="1096"/>
      <c r="P29" s="423" t="s">
        <v>799</v>
      </c>
      <c r="Q29" s="322">
        <f>PGL_Supplies!S7/1000</f>
        <v>0</v>
      </c>
      <c r="R29" s="350"/>
      <c r="S29" s="1209"/>
      <c r="T29" s="1238" t="s">
        <v>468</v>
      </c>
      <c r="U29" s="1288"/>
      <c r="V29" s="1008"/>
      <c r="W29" s="1239"/>
      <c r="X29" s="1278" t="s">
        <v>436</v>
      </c>
      <c r="Y29" s="987"/>
      <c r="Z29" s="1247">
        <f>-PGL_Supplies!L7/1000</f>
        <v>-60.01</v>
      </c>
      <c r="AA29" s="305"/>
      <c r="AB29" s="982" t="s">
        <v>11</v>
      </c>
      <c r="AC29" s="512"/>
      <c r="AD29" s="988" t="s">
        <v>11</v>
      </c>
    </row>
    <row r="30" spans="1:30" ht="16.5" thickBot="1">
      <c r="A30" s="324" t="s">
        <v>11</v>
      </c>
      <c r="B30" s="485" t="s">
        <v>11</v>
      </c>
      <c r="C30" s="1178" t="s">
        <v>740</v>
      </c>
      <c r="D30" s="484"/>
      <c r="E30" s="326"/>
      <c r="F30" s="327" t="s">
        <v>201</v>
      </c>
      <c r="G30" s="326"/>
      <c r="H30" s="990"/>
      <c r="I30" s="329"/>
      <c r="L30" s="592"/>
      <c r="P30" s="557" t="s">
        <v>442</v>
      </c>
      <c r="Q30" s="997">
        <f>-Q26+Q27-Q28+Q29</f>
        <v>0</v>
      </c>
      <c r="R30" s="998"/>
      <c r="S30" s="530"/>
      <c r="T30" s="1241" t="s">
        <v>809</v>
      </c>
      <c r="U30" s="1268"/>
      <c r="V30" s="1109"/>
      <c r="W30" s="1213"/>
      <c r="X30" s="1283" t="s">
        <v>196</v>
      </c>
      <c r="Y30" s="1244"/>
      <c r="Z30" s="1128">
        <f>-PGL_Supplies!AC7/1000</f>
        <v>-45.658000000000001</v>
      </c>
      <c r="AA30" s="1245"/>
      <c r="AB30" s="1128">
        <f>-PGL_Supplies!AC7/1000</f>
        <v>-45.658000000000001</v>
      </c>
      <c r="AC30" s="1246"/>
      <c r="AD30" s="1313">
        <f>-PGL_Supplies!AC7/1000</f>
        <v>-45.658000000000001</v>
      </c>
    </row>
    <row r="31" spans="1:30" ht="16.5" thickBot="1">
      <c r="A31" s="423" t="s">
        <v>791</v>
      </c>
      <c r="B31" s="322">
        <v>24</v>
      </c>
      <c r="C31" s="8"/>
      <c r="D31" s="611"/>
      <c r="E31" s="8"/>
      <c r="F31" s="330" t="s">
        <v>459</v>
      </c>
      <c r="G31" s="542"/>
      <c r="H31" s="521"/>
      <c r="I31" s="334"/>
      <c r="L31" s="1096"/>
      <c r="P31" s="356" t="s">
        <v>11</v>
      </c>
      <c r="Q31" s="1314" t="s">
        <v>420</v>
      </c>
      <c r="R31" s="357"/>
      <c r="S31" s="358"/>
      <c r="T31" s="159" t="s">
        <v>810</v>
      </c>
      <c r="U31" s="1290"/>
      <c r="V31" s="1107"/>
      <c r="W31" s="1240"/>
      <c r="X31" s="327" t="s">
        <v>201</v>
      </c>
      <c r="Y31" s="326"/>
      <c r="Z31" s="1253"/>
      <c r="AA31" s="1254"/>
      <c r="AB31" s="329"/>
      <c r="AC31" s="329"/>
      <c r="AD31" s="329"/>
    </row>
    <row r="32" spans="1:30" ht="16.5" thickBot="1">
      <c r="A32" s="423" t="s">
        <v>793</v>
      </c>
      <c r="B32" s="986">
        <f>PGL_Requirements!J7/1000</f>
        <v>0</v>
      </c>
      <c r="C32" s="313" t="s">
        <v>11</v>
      </c>
      <c r="D32" s="311"/>
      <c r="E32" s="331"/>
      <c r="F32" s="423" t="s">
        <v>460</v>
      </c>
      <c r="G32" s="542"/>
      <c r="H32" s="315"/>
      <c r="I32" s="334"/>
      <c r="L32" s="592"/>
      <c r="P32" s="368" t="s">
        <v>479</v>
      </c>
      <c r="Q32" s="386">
        <f>PGL_Requirements!E7/1000</f>
        <v>2.7</v>
      </c>
      <c r="R32" s="538"/>
      <c r="S32" s="386" t="s">
        <v>11</v>
      </c>
      <c r="T32" s="549" t="s">
        <v>811</v>
      </c>
      <c r="U32" s="1291"/>
      <c r="V32" s="428"/>
      <c r="W32" s="1075"/>
      <c r="X32" s="1282" t="s">
        <v>459</v>
      </c>
      <c r="Y32" s="1201"/>
      <c r="Z32" s="533"/>
      <c r="AA32" s="1298" t="s">
        <v>817</v>
      </c>
      <c r="AB32" s="121"/>
      <c r="AC32" s="1236"/>
      <c r="AD32" s="1256"/>
    </row>
    <row r="33" spans="1:30" ht="15.75" thickBot="1">
      <c r="A33" s="1125" t="s">
        <v>4</v>
      </c>
      <c r="B33" s="322">
        <f>PGL_Supplies!Y7/1000</f>
        <v>144.11600000000001</v>
      </c>
      <c r="C33" s="1112" t="s">
        <v>11</v>
      </c>
      <c r="D33" s="347"/>
      <c r="E33" s="552"/>
      <c r="F33" s="423" t="s">
        <v>461</v>
      </c>
      <c r="G33" s="542"/>
      <c r="H33" s="315"/>
      <c r="I33" s="334"/>
      <c r="L33" s="1096"/>
      <c r="P33" s="368" t="s">
        <v>480</v>
      </c>
      <c r="Q33" s="1002">
        <f>PGL_Supplies!E7/1000</f>
        <v>0</v>
      </c>
      <c r="R33" s="1002" t="s">
        <v>11</v>
      </c>
      <c r="S33" s="1003" t="s">
        <v>11</v>
      </c>
      <c r="T33" s="121"/>
      <c r="U33" s="121"/>
      <c r="V33" s="121"/>
      <c r="W33" s="160"/>
      <c r="X33" s="1284" t="s">
        <v>460</v>
      </c>
      <c r="Y33" s="347"/>
      <c r="Z33" s="1209"/>
      <c r="AA33" s="1258" t="s">
        <v>468</v>
      </c>
      <c r="AB33" s="1111"/>
      <c r="AC33" s="1109"/>
      <c r="AD33" s="1007"/>
    </row>
    <row r="34" spans="1:30" ht="16.5" thickBot="1">
      <c r="A34" s="557" t="s">
        <v>442</v>
      </c>
      <c r="B34" s="1116">
        <f>+B33-B32-B31</f>
        <v>120.11600000000001</v>
      </c>
      <c r="C34" s="1117" t="s">
        <v>11</v>
      </c>
      <c r="D34" s="529"/>
      <c r="E34" s="519"/>
      <c r="F34" s="423" t="s">
        <v>462</v>
      </c>
      <c r="G34" s="542"/>
      <c r="H34" s="315"/>
      <c r="I34" s="334"/>
      <c r="L34" s="1096"/>
      <c r="P34" s="423" t="s">
        <v>108</v>
      </c>
      <c r="Q34" s="1002">
        <f>PGL_Supplies!AB7/1000+NSG_Supplies!N7/1000</f>
        <v>197.547</v>
      </c>
      <c r="R34" s="1002" t="s">
        <v>11</v>
      </c>
      <c r="S34" s="1003" t="s">
        <v>11</v>
      </c>
      <c r="T34" s="121"/>
      <c r="U34" s="121"/>
      <c r="V34" s="121"/>
      <c r="W34" s="160"/>
      <c r="X34" s="1285" t="s">
        <v>461</v>
      </c>
      <c r="Y34" s="311"/>
      <c r="Z34" s="1255"/>
      <c r="AA34" s="1258" t="s">
        <v>469</v>
      </c>
      <c r="AB34" s="1111"/>
      <c r="AC34" s="1109"/>
      <c r="AD34" s="1007"/>
    </row>
    <row r="35" spans="1:30" ht="16.5" thickBot="1">
      <c r="A35" s="324" t="s">
        <v>11</v>
      </c>
      <c r="B35" s="1113" t="s">
        <v>11</v>
      </c>
      <c r="C35" s="994" t="s">
        <v>68</v>
      </c>
      <c r="D35" s="1114"/>
      <c r="E35" s="1115"/>
      <c r="F35" s="423" t="s">
        <v>463</v>
      </c>
      <c r="G35" s="542"/>
      <c r="H35" s="315"/>
      <c r="I35" s="991" t="s">
        <v>689</v>
      </c>
      <c r="L35" s="1096"/>
      <c r="P35" s="1199" t="s">
        <v>622</v>
      </c>
      <c r="Q35" s="1002">
        <f>PGL_Supplies!T7/1000</f>
        <v>7</v>
      </c>
      <c r="R35" s="1002" t="s">
        <v>11</v>
      </c>
      <c r="S35" s="1007"/>
      <c r="T35" s="121"/>
      <c r="U35" s="121"/>
      <c r="V35" s="121"/>
      <c r="W35" s="160"/>
      <c r="X35" s="1285" t="s">
        <v>462</v>
      </c>
      <c r="Y35" s="311"/>
      <c r="Z35" s="1209"/>
      <c r="AA35" s="1259" t="s">
        <v>470</v>
      </c>
      <c r="AB35" s="1111"/>
      <c r="AC35" s="1109"/>
      <c r="AD35" s="1007"/>
    </row>
    <row r="36" spans="1:30" ht="16.5" thickBot="1">
      <c r="A36" s="423" t="s">
        <v>630</v>
      </c>
      <c r="B36" s="322">
        <f>PGL_Requirements!U7/1000</f>
        <v>40.200000000000003</v>
      </c>
      <c r="C36" s="592"/>
      <c r="D36" s="311"/>
      <c r="E36" s="331"/>
      <c r="F36" s="368" t="s">
        <v>464</v>
      </c>
      <c r="G36" s="542"/>
      <c r="H36" s="315"/>
      <c r="I36" s="992"/>
      <c r="L36" s="1096"/>
      <c r="P36" s="1261" t="s">
        <v>690</v>
      </c>
      <c r="Q36" s="1287">
        <f>-Q32+Q33+Q34+Q35</f>
        <v>201.84700000000001</v>
      </c>
      <c r="R36" s="1094"/>
      <c r="S36" s="1077" t="s">
        <v>11</v>
      </c>
      <c r="T36" s="121"/>
      <c r="U36" s="121"/>
      <c r="V36" s="121"/>
      <c r="W36" s="160"/>
      <c r="X36" s="1285" t="s">
        <v>463</v>
      </c>
      <c r="Y36" s="311"/>
      <c r="Z36" s="1209"/>
      <c r="AA36" s="1259" t="s">
        <v>402</v>
      </c>
      <c r="AB36" s="1111"/>
      <c r="AC36" s="1109"/>
      <c r="AD36" s="1007"/>
    </row>
    <row r="37" spans="1:30">
      <c r="A37" s="423" t="s">
        <v>711</v>
      </c>
      <c r="B37" s="322">
        <f>PGL_Supplies!R7/1000</f>
        <v>0</v>
      </c>
      <c r="C37" s="311"/>
      <c r="D37" s="311"/>
      <c r="E37" s="331"/>
      <c r="F37" s="423" t="s">
        <v>465</v>
      </c>
      <c r="G37" s="542"/>
      <c r="H37" s="315"/>
      <c r="I37" s="334"/>
      <c r="L37" s="1096"/>
      <c r="P37" s="1194" t="s">
        <v>828</v>
      </c>
      <c r="Q37" s="1080"/>
      <c r="R37" s="1080"/>
      <c r="S37" s="1078" t="s">
        <v>11</v>
      </c>
      <c r="T37" s="121"/>
      <c r="U37" s="121"/>
      <c r="V37" s="121"/>
      <c r="W37" s="121"/>
      <c r="X37" s="1310" t="s">
        <v>464</v>
      </c>
      <c r="Y37" s="311"/>
      <c r="Z37" s="1209"/>
      <c r="AA37" s="1260" t="s">
        <v>471</v>
      </c>
      <c r="AB37" s="1111"/>
      <c r="AC37" s="1109"/>
      <c r="AD37" s="1007"/>
    </row>
    <row r="38" spans="1:30" ht="15.75" thickBot="1">
      <c r="A38" s="423" t="s">
        <v>440</v>
      </c>
      <c r="B38" s="322">
        <f>PGL_Requirements!C7/1000</f>
        <v>0</v>
      </c>
      <c r="C38" s="1108"/>
      <c r="D38" s="1109"/>
      <c r="E38" s="1007"/>
      <c r="F38" s="423" t="s">
        <v>466</v>
      </c>
      <c r="G38" s="542"/>
      <c r="H38" s="315"/>
      <c r="I38" s="334"/>
      <c r="L38" s="1096"/>
      <c r="P38" s="1195" t="s">
        <v>829</v>
      </c>
      <c r="Q38" s="322">
        <f>Q36-Q37-Q39</f>
        <v>201.84700000000001</v>
      </c>
      <c r="R38" s="1081" t="s">
        <v>11</v>
      </c>
      <c r="S38" s="1079" t="s">
        <v>11</v>
      </c>
      <c r="T38" s="121"/>
      <c r="U38" s="121"/>
      <c r="V38" s="121"/>
      <c r="W38" s="121"/>
      <c r="X38" s="1306" t="s">
        <v>465</v>
      </c>
      <c r="Y38" s="311"/>
      <c r="Z38" s="1209"/>
      <c r="AA38" s="592" t="s">
        <v>472</v>
      </c>
      <c r="AB38" s="121"/>
      <c r="AC38" s="1200"/>
      <c r="AD38" s="1257"/>
    </row>
    <row r="39" spans="1:30" ht="16.5" thickBot="1">
      <c r="A39" s="423" t="s">
        <v>441</v>
      </c>
      <c r="B39" s="322">
        <f>PGL_Supplies!C7/1000</f>
        <v>0</v>
      </c>
      <c r="C39" s="1108"/>
      <c r="D39" s="1109"/>
      <c r="E39" s="810"/>
      <c r="F39" s="993" t="s">
        <v>467</v>
      </c>
      <c r="G39" s="121"/>
      <c r="H39" s="547"/>
      <c r="I39" s="334"/>
      <c r="L39" s="1096"/>
      <c r="P39" s="1196" t="s">
        <v>830</v>
      </c>
      <c r="Q39" s="1311">
        <f>U24</f>
        <v>0</v>
      </c>
      <c r="R39" s="1108"/>
      <c r="S39" s="1174" t="s">
        <v>11</v>
      </c>
      <c r="T39" s="121"/>
      <c r="U39" s="121"/>
      <c r="V39" s="121"/>
      <c r="W39" s="121"/>
      <c r="X39" s="1307" t="s">
        <v>466</v>
      </c>
      <c r="Y39" s="399"/>
      <c r="Z39" s="534"/>
      <c r="AA39" s="549" t="s">
        <v>223</v>
      </c>
      <c r="AB39" s="428"/>
      <c r="AC39" s="428"/>
      <c r="AD39" s="430"/>
    </row>
    <row r="40" spans="1:30" ht="16.5" thickBot="1">
      <c r="A40" s="636" t="s">
        <v>693</v>
      </c>
      <c r="B40" s="322">
        <f>PGL_Supplies!Z7/1000</f>
        <v>40.200000000000003</v>
      </c>
      <c r="C40" s="121"/>
      <c r="D40" s="1107"/>
      <c r="E40" s="121"/>
      <c r="F40" s="545" t="s">
        <v>468</v>
      </c>
      <c r="G40" s="542"/>
      <c r="H40" s="348"/>
      <c r="I40" s="334"/>
      <c r="L40" s="592"/>
      <c r="P40" s="1202" t="s">
        <v>3</v>
      </c>
      <c r="Q40" s="1312">
        <f>Q37+Q38+Q39</f>
        <v>201.84700000000001</v>
      </c>
      <c r="R40" s="1203"/>
      <c r="S40" s="1204" t="s">
        <v>11</v>
      </c>
      <c r="T40" s="119"/>
      <c r="U40" s="119"/>
      <c r="V40" s="119"/>
      <c r="W40" s="119"/>
      <c r="X40" s="119"/>
      <c r="Y40" s="1017" t="s">
        <v>818</v>
      </c>
      <c r="Z40" s="1262"/>
      <c r="AA40" s="1266" t="s">
        <v>819</v>
      </c>
      <c r="AB40" s="119"/>
      <c r="AC40" s="119" t="s">
        <v>820</v>
      </c>
      <c r="AD40" s="1263"/>
    </row>
    <row r="41" spans="1:30" ht="17.25" thickTop="1" thickBot="1">
      <c r="A41" s="557" t="s">
        <v>442</v>
      </c>
      <c r="B41" s="564">
        <f>B40+B37-B36-B38+B39</f>
        <v>0</v>
      </c>
      <c r="C41" s="529"/>
      <c r="D41" s="529"/>
      <c r="E41" s="519"/>
      <c r="F41" s="423" t="s">
        <v>469</v>
      </c>
      <c r="G41" s="542"/>
      <c r="H41" s="350"/>
      <c r="I41" s="334"/>
      <c r="L41" s="592"/>
      <c r="P41" s="787"/>
      <c r="Q41" s="787"/>
      <c r="R41" s="787"/>
      <c r="S41" s="787"/>
      <c r="T41" s="787"/>
      <c r="U41" s="787"/>
      <c r="V41" s="787"/>
      <c r="W41" s="787"/>
      <c r="X41" s="787"/>
      <c r="Y41" s="1264"/>
      <c r="Z41" s="1264"/>
      <c r="AA41" s="1265"/>
      <c r="AB41" s="787"/>
      <c r="AC41" s="787"/>
      <c r="AD41" s="787"/>
    </row>
    <row r="42" spans="1:30" ht="16.5" thickBot="1">
      <c r="A42" s="553" t="s">
        <v>11</v>
      </c>
      <c r="B42" s="554" t="s">
        <v>11</v>
      </c>
      <c r="C42" s="994" t="s">
        <v>69</v>
      </c>
      <c r="D42" s="556"/>
      <c r="E42" s="995" t="s">
        <v>11</v>
      </c>
      <c r="F42" s="423" t="s">
        <v>470</v>
      </c>
      <c r="G42" s="542"/>
      <c r="H42" s="315"/>
      <c r="I42" s="334"/>
      <c r="P42" s="1197"/>
      <c r="Q42" s="121"/>
      <c r="R42" s="121"/>
      <c r="S42" s="1198"/>
      <c r="X42" s="121"/>
      <c r="Y42" s="1251"/>
      <c r="Z42" s="592"/>
      <c r="AA42" s="1252"/>
    </row>
    <row r="43" spans="1:30">
      <c r="A43" s="423" t="s">
        <v>517</v>
      </c>
      <c r="B43" s="322">
        <f>NSG_Supplies!O7/1000+PGL_Supplies!AA7/1000</f>
        <v>0</v>
      </c>
      <c r="C43" s="350"/>
      <c r="D43" s="311"/>
      <c r="E43" s="349"/>
      <c r="F43" s="423" t="s">
        <v>402</v>
      </c>
      <c r="G43" s="542"/>
      <c r="H43" s="350"/>
      <c r="I43" s="334"/>
      <c r="X43" s="121"/>
      <c r="Y43" s="1251"/>
      <c r="Z43" s="592"/>
      <c r="AA43" s="1252"/>
    </row>
    <row r="44" spans="1:30">
      <c r="A44" s="769" t="s">
        <v>518</v>
      </c>
      <c r="B44" s="322">
        <v>0</v>
      </c>
      <c r="C44" s="592"/>
      <c r="D44" s="311"/>
      <c r="E44" s="349"/>
      <c r="F44" s="368" t="s">
        <v>471</v>
      </c>
      <c r="G44" s="546"/>
      <c r="H44" s="537"/>
      <c r="I44" s="334"/>
      <c r="X44" s="121"/>
      <c r="Y44" s="8"/>
      <c r="Z44" s="8"/>
      <c r="AA44" s="1252"/>
    </row>
    <row r="45" spans="1:30" ht="15.75" thickBot="1">
      <c r="A45" s="423" t="s">
        <v>445</v>
      </c>
      <c r="B45" s="996">
        <f>PGL_Requirements!D7/1000</f>
        <v>0</v>
      </c>
      <c r="C45" s="350"/>
      <c r="D45" s="311"/>
      <c r="E45" s="349"/>
      <c r="F45" s="368" t="s">
        <v>472</v>
      </c>
      <c r="G45" s="546"/>
      <c r="H45" s="548"/>
      <c r="I45" s="334"/>
    </row>
    <row r="46" spans="1:30" ht="16.5" thickBot="1">
      <c r="A46" s="423" t="s">
        <v>446</v>
      </c>
      <c r="B46" s="322">
        <f>PGL_Supplies!D7/1000</f>
        <v>0</v>
      </c>
      <c r="C46" s="350"/>
      <c r="D46" s="311"/>
      <c r="E46" s="349"/>
      <c r="F46" s="549" t="s">
        <v>223</v>
      </c>
      <c r="G46" s="550"/>
      <c r="H46" s="551"/>
      <c r="I46" s="334"/>
    </row>
    <row r="47" spans="1:30" ht="16.5" thickBot="1">
      <c r="A47" s="557" t="s">
        <v>442</v>
      </c>
      <c r="B47" s="997">
        <f>B43+B44-B45+B46</f>
        <v>0</v>
      </c>
      <c r="C47" s="998"/>
      <c r="D47" s="529"/>
      <c r="E47" s="999"/>
      <c r="F47" s="526" t="s">
        <v>11</v>
      </c>
      <c r="G47" s="527" t="s">
        <v>473</v>
      </c>
      <c r="H47" s="527" t="s">
        <v>11</v>
      </c>
      <c r="I47" s="358"/>
    </row>
    <row r="48" spans="1:30" ht="16.5" thickBot="1">
      <c r="A48" s="553" t="s">
        <v>11</v>
      </c>
      <c r="B48" s="558" t="s">
        <v>11</v>
      </c>
      <c r="C48" s="994" t="s">
        <v>60</v>
      </c>
      <c r="D48" s="556"/>
      <c r="E48" s="556"/>
      <c r="F48" s="566" t="s">
        <v>425</v>
      </c>
      <c r="G48" s="539"/>
      <c r="H48" s="561" t="s">
        <v>11</v>
      </c>
      <c r="I48" s="364" t="s">
        <v>11</v>
      </c>
    </row>
    <row r="49" spans="1:9">
      <c r="A49" s="423" t="s">
        <v>72</v>
      </c>
      <c r="B49" s="322">
        <f>PGL_Requirements!P7/1000</f>
        <v>150</v>
      </c>
      <c r="C49" s="311"/>
      <c r="D49" s="311"/>
      <c r="E49" s="311"/>
      <c r="F49" s="359" t="s">
        <v>474</v>
      </c>
      <c r="G49" s="311"/>
      <c r="H49" s="1002">
        <f>PGL_Supplies!I7/1000</f>
        <v>15</v>
      </c>
      <c r="I49" s="364" t="s">
        <v>11</v>
      </c>
    </row>
    <row r="50" spans="1:9" ht="15.75" thickBot="1">
      <c r="A50" s="423" t="s">
        <v>447</v>
      </c>
      <c r="B50" s="322">
        <f>PGL_Supplies!M7/1000</f>
        <v>0</v>
      </c>
      <c r="C50" s="311"/>
      <c r="D50" s="311"/>
      <c r="E50" s="311"/>
      <c r="F50" s="535" t="s">
        <v>475</v>
      </c>
      <c r="G50" s="353"/>
      <c r="H50" s="524">
        <v>0</v>
      </c>
      <c r="I50" s="405"/>
    </row>
    <row r="51" spans="1:9" ht="15.75" thickBot="1">
      <c r="A51" s="423" t="s">
        <v>448</v>
      </c>
      <c r="B51" s="322">
        <f>SUM(PGL_Requirements!B7/1000)</f>
        <v>0</v>
      </c>
      <c r="C51" s="311"/>
      <c r="D51" s="311"/>
      <c r="E51" s="311"/>
      <c r="F51" s="563" t="s">
        <v>451</v>
      </c>
      <c r="G51" s="529"/>
      <c r="H51" s="564">
        <f>H49+H50</f>
        <v>15</v>
      </c>
      <c r="I51" s="1000" t="s">
        <v>11</v>
      </c>
    </row>
    <row r="52" spans="1:9" ht="16.5" thickBot="1">
      <c r="A52" s="423" t="s">
        <v>449</v>
      </c>
      <c r="B52" s="322">
        <f>PGL_Supplies!H7/1000</f>
        <v>1</v>
      </c>
      <c r="C52" s="311"/>
      <c r="D52" s="311"/>
      <c r="E52" s="311"/>
      <c r="F52" s="356" t="s">
        <v>476</v>
      </c>
      <c r="G52" s="357"/>
      <c r="H52" s="357"/>
      <c r="I52" s="358"/>
    </row>
    <row r="53" spans="1:9">
      <c r="A53" s="368" t="s">
        <v>736</v>
      </c>
      <c r="B53" s="322">
        <f>PGL_Requirements!R7/1000</f>
        <v>0.68</v>
      </c>
      <c r="C53" s="311"/>
      <c r="D53" s="311"/>
      <c r="E53" s="311"/>
      <c r="F53" s="540" t="s">
        <v>477</v>
      </c>
      <c r="G53" s="541"/>
      <c r="H53" s="568">
        <f>+PGL_Supplies!K7/1000</f>
        <v>0</v>
      </c>
    </row>
    <row r="54" spans="1:9" ht="16.5" thickBot="1">
      <c r="A54" s="423" t="s">
        <v>737</v>
      </c>
      <c r="B54" s="322">
        <f>PGL_Requirements!Q7/1000</f>
        <v>2.25</v>
      </c>
      <c r="C54" s="347"/>
      <c r="D54" s="347"/>
      <c r="E54" s="347"/>
      <c r="F54" s="356" t="s">
        <v>420</v>
      </c>
      <c r="G54" s="357"/>
      <c r="H54" s="357"/>
      <c r="I54" s="358"/>
    </row>
    <row r="55" spans="1:9" ht="16.5" thickBot="1">
      <c r="A55" s="516" t="s">
        <v>451</v>
      </c>
      <c r="B55" s="517">
        <f>-B49+B50+B52-B53-B51+B56+B57</f>
        <v>-149.68</v>
      </c>
      <c r="C55" s="518"/>
      <c r="D55" s="518"/>
      <c r="E55" s="519"/>
      <c r="F55" s="545" t="s">
        <v>479</v>
      </c>
      <c r="G55" s="543"/>
      <c r="H55" s="538"/>
      <c r="I55" s="1001">
        <f>PGL_Requirements!E7/1000</f>
        <v>2.7</v>
      </c>
    </row>
    <row r="56" spans="1:9">
      <c r="A56" s="330" t="s">
        <v>217</v>
      </c>
      <c r="B56" s="322">
        <v>0</v>
      </c>
      <c r="C56" s="521"/>
      <c r="D56" s="521"/>
      <c r="E56" s="522"/>
      <c r="F56" s="368" t="s">
        <v>480</v>
      </c>
      <c r="G56" s="542"/>
      <c r="H56" s="1002">
        <f>PGL_Supplies!E7/1000</f>
        <v>0</v>
      </c>
      <c r="I56" s="1003" t="s">
        <v>11</v>
      </c>
    </row>
    <row r="57" spans="1:9">
      <c r="A57" s="423" t="s">
        <v>215</v>
      </c>
      <c r="B57" s="1186">
        <v>0</v>
      </c>
      <c r="C57" s="538"/>
      <c r="D57" s="538"/>
      <c r="E57" s="1187"/>
      <c r="F57" s="423" t="s">
        <v>108</v>
      </c>
      <c r="G57" s="571"/>
      <c r="H57" s="1002">
        <f>PGL_Supplies!AB7/1000+NSG_Supplies!N7/1000</f>
        <v>197.547</v>
      </c>
      <c r="I57" s="1003" t="s">
        <v>11</v>
      </c>
    </row>
    <row r="58" spans="1:9" ht="15.75" thickBot="1">
      <c r="A58" s="423" t="s">
        <v>792</v>
      </c>
      <c r="B58" s="1188">
        <f>SUM(B31)</f>
        <v>24</v>
      </c>
      <c r="C58" s="592"/>
      <c r="D58" s="1189"/>
      <c r="E58" s="392"/>
      <c r="F58" s="121" t="s">
        <v>622</v>
      </c>
      <c r="G58" s="121"/>
      <c r="H58" s="1002">
        <f>PGL_Supplies!T7/1000</f>
        <v>7</v>
      </c>
      <c r="I58" s="1007"/>
    </row>
    <row r="59" spans="1:9" ht="16.5" thickBot="1">
      <c r="A59" s="637" t="s">
        <v>11</v>
      </c>
      <c r="B59" s="1004"/>
      <c r="C59" s="1005" t="s">
        <v>37</v>
      </c>
      <c r="D59" s="1006"/>
      <c r="E59" s="1110"/>
      <c r="F59" s="121" t="s">
        <v>621</v>
      </c>
      <c r="G59" s="121"/>
      <c r="H59" s="1008"/>
      <c r="I59" s="1009">
        <f>PGL_Requirements!H7/1000</f>
        <v>0</v>
      </c>
    </row>
    <row r="60" spans="1:9" ht="16.5" thickBot="1">
      <c r="A60" s="423" t="s">
        <v>453</v>
      </c>
      <c r="B60" s="322">
        <f>PGL_Supplies!Q7/1000</f>
        <v>0</v>
      </c>
      <c r="C60" s="379" t="s">
        <v>11</v>
      </c>
      <c r="D60" s="311"/>
      <c r="E60" s="380"/>
      <c r="F60" s="549" t="s">
        <v>690</v>
      </c>
      <c r="G60" s="428"/>
      <c r="H60" s="428"/>
      <c r="I60" s="1077">
        <f>H56+H57+H58-I55</f>
        <v>201.84700000000001</v>
      </c>
    </row>
    <row r="61" spans="1:9">
      <c r="A61" s="423" t="s">
        <v>454</v>
      </c>
      <c r="B61" s="386">
        <f>PGL_Requirements!F7/1000</f>
        <v>4</v>
      </c>
      <c r="C61" s="379" t="s">
        <v>11</v>
      </c>
      <c r="D61" s="311"/>
      <c r="E61" s="380"/>
      <c r="F61" s="1010" t="s">
        <v>781</v>
      </c>
      <c r="G61" s="1011"/>
      <c r="H61" s="1080"/>
      <c r="I61" s="1078">
        <v>0</v>
      </c>
    </row>
    <row r="62" spans="1:9">
      <c r="A62" s="423" t="s">
        <v>455</v>
      </c>
      <c r="B62" s="322">
        <f>PGL_Supplies!G7/1000</f>
        <v>0</v>
      </c>
      <c r="C62" s="322"/>
      <c r="D62" s="311"/>
      <c r="E62" s="315"/>
      <c r="F62" s="1012" t="s">
        <v>782</v>
      </c>
      <c r="G62" s="592"/>
      <c r="H62" s="1081" t="s">
        <v>11</v>
      </c>
      <c r="I62" s="1079">
        <f>I60-I61-I63</f>
        <v>201.84700000000001</v>
      </c>
    </row>
    <row r="63" spans="1:9" ht="15.75" thickBot="1">
      <c r="A63" s="423" t="s">
        <v>108</v>
      </c>
      <c r="B63" s="1013">
        <f>PGL_Supplies!AD7/1000</f>
        <v>4</v>
      </c>
      <c r="C63" s="525"/>
      <c r="D63" s="347"/>
      <c r="E63" s="523"/>
      <c r="F63" s="1014" t="s">
        <v>783</v>
      </c>
      <c r="G63" s="223"/>
      <c r="H63" s="1108"/>
      <c r="I63" s="1174">
        <f>I64</f>
        <v>0</v>
      </c>
    </row>
    <row r="64" spans="1:9" ht="16.5" thickBot="1">
      <c r="A64" s="797" t="s">
        <v>558</v>
      </c>
      <c r="B64" s="1015">
        <f>+B63+B62-B61+B60</f>
        <v>0</v>
      </c>
      <c r="C64" s="997" t="s">
        <v>11</v>
      </c>
      <c r="D64" s="529"/>
      <c r="E64" s="519"/>
      <c r="F64" s="1177" t="s">
        <v>784</v>
      </c>
      <c r="G64" s="432"/>
      <c r="H64" s="1109"/>
      <c r="I64" s="1174">
        <f>(PGL_Requirements!H7)/1000</f>
        <v>0</v>
      </c>
    </row>
    <row r="65" spans="1:23" ht="15.75">
      <c r="A65" s="540" t="s">
        <v>727</v>
      </c>
      <c r="B65" s="1021"/>
      <c r="C65" s="1031" t="s">
        <v>11</v>
      </c>
      <c r="D65" s="1031" t="s">
        <v>11</v>
      </c>
      <c r="E65" s="1032" t="s">
        <v>11</v>
      </c>
      <c r="F65" s="1176" t="s">
        <v>3</v>
      </c>
      <c r="H65" s="1109"/>
      <c r="I65" s="1184">
        <f>+I61+I62+I63-I66-I64</f>
        <v>201.84700000000001</v>
      </c>
      <c r="P65" s="540"/>
      <c r="Q65" s="1021"/>
      <c r="R65" s="1031"/>
      <c r="S65" s="1031"/>
    </row>
    <row r="66" spans="1:23" ht="15.75">
      <c r="A66" s="368" t="s">
        <v>728</v>
      </c>
      <c r="B66" s="1024"/>
      <c r="C66" s="1030" t="s">
        <v>11</v>
      </c>
      <c r="D66" s="1030" t="s">
        <v>11</v>
      </c>
      <c r="E66" s="1175" t="s">
        <v>11</v>
      </c>
      <c r="F66" s="1185" t="s">
        <v>790</v>
      </c>
      <c r="G66" s="1111"/>
      <c r="H66" s="238"/>
      <c r="I66" s="1174">
        <f>PGL_Requirements!K7/1000</f>
        <v>0</v>
      </c>
      <c r="P66" s="368"/>
      <c r="Q66" s="1024"/>
      <c r="R66" s="1030"/>
      <c r="S66" s="1030"/>
    </row>
    <row r="67" spans="1:23" ht="16.5" thickBot="1">
      <c r="A67" s="1180" t="s">
        <v>775</v>
      </c>
      <c r="B67" s="1022"/>
      <c r="C67" s="1033" t="s">
        <v>11</v>
      </c>
      <c r="D67" s="1033" t="s">
        <v>11</v>
      </c>
      <c r="E67" s="1034" t="s">
        <v>11</v>
      </c>
      <c r="F67" s="356" t="s">
        <v>743</v>
      </c>
      <c r="G67" s="357"/>
      <c r="H67" s="357"/>
      <c r="I67" s="358"/>
      <c r="P67" s="1180"/>
      <c r="Q67" s="1022"/>
      <c r="R67" s="1033"/>
      <c r="S67" s="1033"/>
    </row>
    <row r="68" spans="1:23" ht="16.5" thickBot="1">
      <c r="A68" s="1019" t="s">
        <v>694</v>
      </c>
      <c r="B68" s="1026" t="s">
        <v>11</v>
      </c>
      <c r="C68" s="1092" t="s">
        <v>11</v>
      </c>
      <c r="D68" s="1092" t="s">
        <v>11</v>
      </c>
      <c r="E68" s="1093" t="s">
        <v>11</v>
      </c>
      <c r="F68" s="579" t="s">
        <v>483</v>
      </c>
      <c r="G68" s="539" t="s">
        <v>11</v>
      </c>
      <c r="H68" s="572" t="s">
        <v>11</v>
      </c>
      <c r="I68" s="584" t="s">
        <v>11</v>
      </c>
      <c r="P68" s="1019"/>
      <c r="Q68" s="1026"/>
      <c r="R68" s="1092"/>
      <c r="S68" s="1092"/>
    </row>
    <row r="69" spans="1:23" ht="16.5" thickBot="1">
      <c r="A69" s="1101" t="s">
        <v>745</v>
      </c>
      <c r="B69" s="1094"/>
      <c r="C69" s="121"/>
      <c r="D69" s="1094"/>
      <c r="E69" s="121"/>
      <c r="F69" s="359" t="s">
        <v>484</v>
      </c>
      <c r="G69" s="311"/>
      <c r="H69" s="538"/>
      <c r="I69" s="1018"/>
      <c r="P69" s="1101"/>
      <c r="Q69" s="1094"/>
      <c r="R69" s="121"/>
      <c r="S69" s="1094"/>
    </row>
    <row r="70" spans="1:23" ht="16.5" thickBot="1">
      <c r="A70" s="516" t="s">
        <v>729</v>
      </c>
      <c r="B70" s="1025" t="s">
        <v>11</v>
      </c>
      <c r="C70" s="1027" t="s">
        <v>11</v>
      </c>
      <c r="D70" s="1027" t="s">
        <v>11</v>
      </c>
      <c r="E70" s="1191" t="s">
        <v>11</v>
      </c>
      <c r="F70" s="1192"/>
      <c r="I70" s="1190"/>
      <c r="P70" s="516"/>
      <c r="Q70" s="1025"/>
      <c r="R70" s="1027"/>
      <c r="S70" s="1027"/>
      <c r="T70" s="1192"/>
      <c r="W70" s="1190"/>
    </row>
    <row r="71" spans="1:23" ht="16.5" thickBot="1">
      <c r="A71" s="1179" t="s">
        <v>774</v>
      </c>
      <c r="B71" s="1023" t="s">
        <v>11</v>
      </c>
      <c r="C71" s="1028" t="s">
        <v>11</v>
      </c>
      <c r="D71" s="1028" t="s">
        <v>11</v>
      </c>
      <c r="E71" s="1029" t="s">
        <v>11</v>
      </c>
      <c r="F71" s="1020" t="s">
        <v>485</v>
      </c>
      <c r="G71" s="119"/>
      <c r="H71" s="1017" t="s">
        <v>486</v>
      </c>
      <c r="I71" s="402" t="s">
        <v>11</v>
      </c>
      <c r="P71" s="1179"/>
      <c r="Q71" s="1023"/>
      <c r="R71" s="1028"/>
      <c r="S71" s="1028"/>
      <c r="T71" s="1020" t="s">
        <v>485</v>
      </c>
      <c r="U71" s="119"/>
      <c r="V71" s="1017" t="s">
        <v>486</v>
      </c>
      <c r="W71" s="402" t="s">
        <v>11</v>
      </c>
    </row>
    <row r="72" spans="1:23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75" right="0" top="0.5" bottom="0.25" header="0.25" footer="0.25"/>
  <pageSetup paperSize="5" scale="80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95" t="s">
        <v>11</v>
      </c>
      <c r="B1" s="638"/>
      <c r="C1" s="638" t="s">
        <v>11</v>
      </c>
      <c r="D1" s="639"/>
      <c r="E1" s="587" t="s">
        <v>172</v>
      </c>
      <c r="F1" s="587" t="str">
        <f>CHOOSE(WEEKDAY(G1),"SUN","MON","TUE","WED","THU","FRI","SAT")</f>
        <v>SAT</v>
      </c>
      <c r="G1" s="1316">
        <f>Weather_Input!A5</f>
        <v>37037</v>
      </c>
      <c r="H1" s="587" t="s">
        <v>257</v>
      </c>
      <c r="I1" s="591"/>
    </row>
    <row r="2" spans="1:9" ht="20.25">
      <c r="A2" s="640" t="s">
        <v>11</v>
      </c>
      <c r="B2" s="791" t="s">
        <v>554</v>
      </c>
      <c r="C2" s="950">
        <v>53.8</v>
      </c>
      <c r="D2" s="793" t="s">
        <v>555</v>
      </c>
      <c r="E2" s="792"/>
      <c r="F2" s="793" t="s">
        <v>556</v>
      </c>
      <c r="G2" s="792"/>
      <c r="H2" s="794" t="s">
        <v>495</v>
      </c>
      <c r="I2" s="643"/>
    </row>
    <row r="3" spans="1:9" ht="20.25">
      <c r="A3" s="1085" t="s">
        <v>496</v>
      </c>
      <c r="B3" s="644" t="s">
        <v>23</v>
      </c>
      <c r="C3" s="645"/>
      <c r="D3" s="646" t="s">
        <v>23</v>
      </c>
      <c r="E3" s="645" t="s">
        <v>24</v>
      </c>
      <c r="F3" s="646" t="s">
        <v>23</v>
      </c>
      <c r="G3" s="646" t="s">
        <v>24</v>
      </c>
      <c r="H3" s="644" t="s">
        <v>23</v>
      </c>
      <c r="I3" s="647" t="s">
        <v>24</v>
      </c>
    </row>
    <row r="4" spans="1:9" ht="21" thickBot="1">
      <c r="A4" s="648"/>
      <c r="B4" s="649">
        <f>Weather_Input!B5</f>
        <v>56</v>
      </c>
      <c r="C4" s="756">
        <f>Weather_Input!C5</f>
        <v>47</v>
      </c>
      <c r="D4" s="650"/>
      <c r="E4" s="651"/>
      <c r="F4" s="650"/>
      <c r="G4" s="651"/>
      <c r="H4" s="652"/>
      <c r="I4" s="653"/>
    </row>
    <row r="5" spans="1:9" ht="24" thickBot="1">
      <c r="A5" s="654" t="s">
        <v>138</v>
      </c>
      <c r="B5" s="655"/>
      <c r="C5" s="656">
        <f>NSG_Deliveries!C5/1000</f>
        <v>60</v>
      </c>
      <c r="D5" s="655"/>
      <c r="E5" s="657"/>
      <c r="F5" s="655"/>
      <c r="G5" s="657" t="s">
        <v>11</v>
      </c>
      <c r="H5" s="655"/>
      <c r="I5" s="658"/>
    </row>
    <row r="6" spans="1:9" ht="12" customHeight="1" thickBot="1">
      <c r="A6" s="659" t="s">
        <v>11</v>
      </c>
      <c r="B6" s="660"/>
      <c r="C6" s="661"/>
      <c r="D6" s="662"/>
      <c r="E6" s="661"/>
      <c r="F6" s="662"/>
      <c r="G6" s="662"/>
      <c r="H6" s="660"/>
      <c r="I6" s="663"/>
    </row>
    <row r="7" spans="1:9" ht="24" thickBot="1">
      <c r="A7" s="664" t="s">
        <v>86</v>
      </c>
      <c r="B7" s="655"/>
      <c r="C7" s="761">
        <f>C5-C9-C11-C12</f>
        <v>36.700000000000003</v>
      </c>
      <c r="D7" s="665"/>
      <c r="E7" s="657"/>
      <c r="F7" s="665"/>
      <c r="G7" s="665" t="s">
        <v>11</v>
      </c>
      <c r="H7" s="655"/>
      <c r="I7" s="658"/>
    </row>
    <row r="8" spans="1:9" ht="12" customHeight="1" thickBot="1">
      <c r="A8" s="659"/>
      <c r="B8" s="666"/>
      <c r="C8" s="661"/>
      <c r="D8" s="662"/>
      <c r="E8" s="661"/>
      <c r="F8" s="662"/>
      <c r="G8" s="662"/>
      <c r="H8" s="660"/>
      <c r="I8" s="663"/>
    </row>
    <row r="9" spans="1:9" s="114" customFormat="1" ht="21" customHeight="1" thickBot="1">
      <c r="A9" s="826" t="s">
        <v>638</v>
      </c>
      <c r="B9" s="673"/>
      <c r="C9" s="1106">
        <f>B46</f>
        <v>23.3</v>
      </c>
      <c r="D9" s="671"/>
      <c r="E9" s="672"/>
      <c r="F9" s="671"/>
      <c r="G9" s="671"/>
      <c r="H9" s="673"/>
      <c r="I9" s="674"/>
    </row>
    <row r="10" spans="1:9" ht="12" customHeight="1" thickBot="1">
      <c r="A10" s="822"/>
      <c r="B10" s="666"/>
      <c r="C10" s="661"/>
      <c r="D10" s="823"/>
      <c r="E10" s="667"/>
      <c r="F10" s="823"/>
      <c r="G10" s="823"/>
      <c r="H10" s="666"/>
      <c r="I10" s="824"/>
    </row>
    <row r="11" spans="1:9" ht="23.25">
      <c r="A11" s="668" t="s">
        <v>497</v>
      </c>
      <c r="B11" s="669"/>
      <c r="C11" s="670">
        <f>B38</f>
        <v>0</v>
      </c>
      <c r="D11" s="671"/>
      <c r="E11" s="672"/>
      <c r="F11" s="671"/>
      <c r="G11" s="671" t="s">
        <v>11</v>
      </c>
      <c r="H11" s="673"/>
      <c r="I11" s="674"/>
    </row>
    <row r="12" spans="1:9" ht="23.25">
      <c r="A12" s="675" t="s">
        <v>498</v>
      </c>
      <c r="B12" s="676"/>
      <c r="C12" s="677">
        <v>0</v>
      </c>
      <c r="D12" s="678"/>
      <c r="E12" s="679"/>
      <c r="F12" s="678"/>
      <c r="G12" s="678"/>
      <c r="H12" s="676"/>
      <c r="I12" s="680"/>
    </row>
    <row r="13" spans="1:9" ht="21" thickBot="1">
      <c r="A13" s="683" t="s">
        <v>98</v>
      </c>
      <c r="B13" s="681"/>
      <c r="C13" s="682"/>
      <c r="D13" s="678"/>
      <c r="E13" s="679"/>
      <c r="F13" s="678"/>
      <c r="G13" s="678"/>
      <c r="H13" s="676"/>
      <c r="I13" s="680"/>
    </row>
    <row r="14" spans="1:9" ht="21" thickBot="1">
      <c r="A14" s="683" t="s">
        <v>109</v>
      </c>
      <c r="B14" s="684"/>
      <c r="C14" s="685"/>
      <c r="D14" s="684"/>
      <c r="E14" s="685"/>
      <c r="F14" s="684"/>
      <c r="G14" s="684"/>
      <c r="H14" s="686"/>
      <c r="I14" s="687"/>
    </row>
    <row r="15" spans="1:9" ht="24" thickBot="1">
      <c r="A15" s="688" t="s">
        <v>499</v>
      </c>
      <c r="B15" s="689"/>
      <c r="C15" s="761">
        <v>0</v>
      </c>
      <c r="D15" s="691"/>
      <c r="E15" s="690"/>
      <c r="F15" s="691"/>
      <c r="G15" s="691" t="s">
        <v>11</v>
      </c>
      <c r="H15" s="689"/>
      <c r="I15" s="692"/>
    </row>
    <row r="16" spans="1:9" ht="21" thickBot="1">
      <c r="A16" s="693" t="s">
        <v>11</v>
      </c>
      <c r="B16" s="660"/>
      <c r="C16" s="661"/>
      <c r="D16" s="662"/>
      <c r="E16" s="661"/>
      <c r="F16" s="662"/>
      <c r="G16" s="662"/>
      <c r="H16" s="660"/>
      <c r="I16" s="663"/>
    </row>
    <row r="17" spans="1:9" ht="24" thickBot="1">
      <c r="A17" s="694" t="s">
        <v>500</v>
      </c>
      <c r="B17" s="695"/>
      <c r="C17" s="696" t="s">
        <v>11</v>
      </c>
      <c r="D17" s="697"/>
      <c r="E17" s="698"/>
      <c r="F17" s="697"/>
      <c r="G17" s="697"/>
      <c r="H17" s="695"/>
      <c r="I17" s="699"/>
    </row>
    <row r="18" spans="1:9" ht="21" thickBot="1">
      <c r="A18" s="700" t="s">
        <v>501</v>
      </c>
      <c r="B18" s="660"/>
      <c r="C18" s="661" t="s">
        <v>11</v>
      </c>
      <c r="D18" s="662"/>
      <c r="E18" s="661"/>
      <c r="F18" s="662"/>
      <c r="G18" s="505" t="s">
        <v>642</v>
      </c>
      <c r="H18" s="660"/>
      <c r="I18" s="827"/>
    </row>
    <row r="19" spans="1:9" ht="24" thickBot="1">
      <c r="A19" s="701" t="s">
        <v>427</v>
      </c>
      <c r="B19" s="702"/>
      <c r="C19" s="703">
        <f>C7+C12</f>
        <v>36.700000000000003</v>
      </c>
      <c r="D19" s="704"/>
      <c r="E19" s="705"/>
      <c r="F19" s="704"/>
      <c r="G19" s="704" t="s">
        <v>11</v>
      </c>
      <c r="H19" s="702"/>
      <c r="I19" s="706"/>
    </row>
    <row r="20" spans="1:9" ht="20.25">
      <c r="A20" s="707" t="s">
        <v>429</v>
      </c>
      <c r="B20" s="708"/>
      <c r="C20" s="709">
        <f>NSG_Requirements!C7/1000</f>
        <v>0</v>
      </c>
      <c r="D20" s="710"/>
      <c r="E20" s="709">
        <f>NSG_Requirements!C7/1000</f>
        <v>0</v>
      </c>
      <c r="F20" s="710"/>
      <c r="G20" s="709">
        <f>NSG_Requirements!C7/1000</f>
        <v>0</v>
      </c>
      <c r="H20" s="708"/>
      <c r="I20" s="772">
        <f>NSG_Requirements!C7/1000</f>
        <v>0</v>
      </c>
    </row>
    <row r="21" spans="1:9" ht="20.25">
      <c r="A21" s="711" t="s">
        <v>432</v>
      </c>
      <c r="B21" s="712"/>
      <c r="C21" s="709">
        <f>NSG_Requirements!R7/1000</f>
        <v>0</v>
      </c>
      <c r="D21" s="713"/>
      <c r="E21" s="709">
        <f>NSG_Requirements!R7/1000</f>
        <v>0</v>
      </c>
      <c r="F21" s="713"/>
      <c r="G21" s="709">
        <f>NSG_Requirements!R7/1000</f>
        <v>0</v>
      </c>
      <c r="H21" s="712"/>
      <c r="I21" s="773">
        <f>NSG_Requirements!R7/1000</f>
        <v>0</v>
      </c>
    </row>
    <row r="22" spans="1:9" ht="20.25">
      <c r="A22" s="711" t="s">
        <v>502</v>
      </c>
      <c r="B22" s="715"/>
      <c r="C22" s="709">
        <f>NSG_Supplies!K7/1000</f>
        <v>0</v>
      </c>
      <c r="D22" s="716"/>
      <c r="E22" s="709">
        <f>NSG_Supplies!K7/1000</f>
        <v>0</v>
      </c>
      <c r="F22" s="716"/>
      <c r="G22" s="709">
        <f>NSG_Supplies!K7/1000</f>
        <v>0</v>
      </c>
      <c r="H22" s="715"/>
      <c r="I22" s="774">
        <f>NSG_Supplies!K7/1000</f>
        <v>0</v>
      </c>
    </row>
    <row r="23" spans="1:9" ht="20.25">
      <c r="A23" s="707" t="s">
        <v>433</v>
      </c>
      <c r="B23" s="715"/>
      <c r="C23" s="790">
        <f>-(PGL_Requirements!$Y$7+PGL_Requirements!$Z$7+PGL_Requirements!$AA$7+PGL_Requirements!$AB$7)/1000+(NSG_Requirements!$Y$7+NSG_Requirements!$Z$7+NSG_Requirements!$AA$7)/1000</f>
        <v>0</v>
      </c>
      <c r="D23" s="641"/>
      <c r="E23" s="790">
        <f>-(PGL_Requirements!$Y$7+PGL_Requirements!$Z$7+PGL_Requirements!$AA$7+PGL_Requirements!$AB$7)/1000+(NSG_Requirements!$Y$7+NSG_Requirements!$Z$7+NSG_Requirements!$AA$7)/1000</f>
        <v>0</v>
      </c>
      <c r="F23" s="641"/>
      <c r="G23" s="790">
        <f>-(PGL_Requirements!$Y$7+PGL_Requirements!$Z$7+PGL_Requirements!$AA$7+PGL_Requirements!$AB$7)/1000+(NSG_Requirements!$Y$7+NSG_Requirements!$Z$7+NSG_Requirements!$AA$7)/1000</f>
        <v>0</v>
      </c>
      <c r="H23" s="712"/>
      <c r="I23" s="789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7" t="s">
        <v>435</v>
      </c>
      <c r="B24" s="715"/>
      <c r="C24" s="709">
        <f>NSG_Requirements!H7/1000</f>
        <v>0</v>
      </c>
      <c r="D24" s="716"/>
      <c r="E24" s="709" t="s">
        <v>11</v>
      </c>
      <c r="F24" s="716"/>
      <c r="G24" s="709" t="s">
        <v>11</v>
      </c>
      <c r="H24" s="715"/>
      <c r="I24" s="709" t="s">
        <v>11</v>
      </c>
    </row>
    <row r="25" spans="1:9" ht="20.25">
      <c r="A25" s="707" t="s">
        <v>436</v>
      </c>
      <c r="B25" s="712"/>
      <c r="C25" s="709">
        <f>-NSG_Supplies!F7/1000</f>
        <v>-6.76</v>
      </c>
      <c r="D25" s="713"/>
      <c r="E25" s="709" t="s">
        <v>11</v>
      </c>
      <c r="F25" s="713"/>
      <c r="G25" s="709" t="s">
        <v>11</v>
      </c>
      <c r="H25" s="712"/>
      <c r="I25" s="709" t="s">
        <v>11</v>
      </c>
    </row>
    <row r="26" spans="1:9" ht="20.25">
      <c r="A26" s="707" t="s">
        <v>196</v>
      </c>
      <c r="B26" s="715"/>
      <c r="C26" s="709">
        <f>-NSG_Supplies!R7/1000</f>
        <v>-29.943000000000001</v>
      </c>
      <c r="D26" s="716"/>
      <c r="E26" s="709">
        <f>-NSG_Supplies!R7/1000</f>
        <v>-29.943000000000001</v>
      </c>
      <c r="F26" s="716"/>
      <c r="G26" s="709">
        <f>-NSG_Supplies!R7/1000</f>
        <v>-29.943000000000001</v>
      </c>
      <c r="H26" s="715"/>
      <c r="I26" s="774">
        <f>-NSG_Supplies!R7/1000</f>
        <v>-29.943000000000001</v>
      </c>
    </row>
    <row r="27" spans="1:9" ht="20.25">
      <c r="A27" s="707" t="s">
        <v>434</v>
      </c>
      <c r="B27" s="715"/>
      <c r="C27" s="709">
        <v>0</v>
      </c>
      <c r="D27" s="716"/>
      <c r="E27" s="709">
        <v>0</v>
      </c>
      <c r="F27" s="716"/>
      <c r="G27" s="709">
        <v>0</v>
      </c>
      <c r="H27" s="715"/>
      <c r="I27" s="774">
        <v>0</v>
      </c>
    </row>
    <row r="28" spans="1:9" ht="21" thickBot="1">
      <c r="A28" s="762" t="s">
        <v>531</v>
      </c>
      <c r="B28" s="718"/>
      <c r="C28" s="709">
        <f>-NSG_Supplies!H7/1000+NSG_Requirements!L7/1000</f>
        <v>0</v>
      </c>
      <c r="D28" s="713"/>
      <c r="E28" s="709">
        <f>-NSG_Supplies!H7/1000+NSG_Requirements!L7/1000</f>
        <v>0</v>
      </c>
      <c r="F28" s="713"/>
      <c r="G28" s="709">
        <f>-NSG_Supplies!H7/1000+NSG_Requirements!L7/1000</f>
        <v>0</v>
      </c>
      <c r="H28" s="718"/>
      <c r="I28" s="783">
        <f>-NSG_Supplies!H7/1000+NSG_Requirements!L7/1000</f>
        <v>0</v>
      </c>
    </row>
    <row r="29" spans="1:9" ht="24" thickBot="1">
      <c r="A29" s="720"/>
      <c r="B29" s="721"/>
      <c r="C29" s="722" t="s">
        <v>497</v>
      </c>
      <c r="D29" s="721"/>
      <c r="E29" s="723"/>
      <c r="F29" s="721"/>
      <c r="G29" s="724" t="s">
        <v>11</v>
      </c>
      <c r="H29" s="721"/>
      <c r="I29" s="725"/>
    </row>
    <row r="30" spans="1:9" ht="20.25">
      <c r="A30" s="781" t="s">
        <v>439</v>
      </c>
      <c r="B30" s="758">
        <f>NSG_Requirements!O7/1000</f>
        <v>0</v>
      </c>
      <c r="C30" s="727" t="s">
        <v>11</v>
      </c>
      <c r="D30" s="728"/>
      <c r="E30" s="729"/>
      <c r="F30" s="730" t="s">
        <v>282</v>
      </c>
      <c r="G30" s="731"/>
      <c r="H30" s="731"/>
      <c r="I30" s="732"/>
    </row>
    <row r="31" spans="1:9" ht="20.25">
      <c r="A31" s="782" t="s">
        <v>532</v>
      </c>
      <c r="B31" s="757">
        <f>NSG_Supplies!L7/1000+PGL_Requirements!V7/1000</f>
        <v>0</v>
      </c>
      <c r="C31" s="716"/>
      <c r="D31" s="734"/>
      <c r="E31" s="717"/>
      <c r="F31" s="641"/>
      <c r="G31" s="713"/>
      <c r="H31" s="713"/>
      <c r="I31" s="732"/>
    </row>
    <row r="32" spans="1:9" ht="20.25">
      <c r="A32" s="782" t="s">
        <v>533</v>
      </c>
      <c r="B32" s="757">
        <f>NSG_Supplies!M7/1000</f>
        <v>0</v>
      </c>
      <c r="C32" s="713"/>
      <c r="D32" s="735"/>
      <c r="E32" s="714"/>
      <c r="F32" s="641"/>
      <c r="G32" s="713"/>
      <c r="H32" s="713"/>
      <c r="I32" s="732"/>
    </row>
    <row r="33" spans="1:9" ht="20.25">
      <c r="A33" s="781" t="s">
        <v>503</v>
      </c>
      <c r="B33" s="759">
        <f>(NSG_Requirements!S7+NSG_Requirements!T7+NSG_Requirements!U7)/1000</f>
        <v>0</v>
      </c>
      <c r="C33" s="716"/>
      <c r="D33" s="734"/>
      <c r="E33" s="717"/>
      <c r="F33" s="641"/>
      <c r="G33" s="713"/>
      <c r="H33" s="713"/>
      <c r="I33" s="732"/>
    </row>
    <row r="34" spans="1:9" ht="20.25">
      <c r="A34" s="781" t="s">
        <v>89</v>
      </c>
      <c r="B34" s="757">
        <f>NSG_Requirements!D7/1000</f>
        <v>0</v>
      </c>
      <c r="C34" s="716"/>
      <c r="D34" s="734"/>
      <c r="E34" s="717"/>
      <c r="F34" s="641"/>
      <c r="G34" s="713"/>
      <c r="H34" s="713"/>
      <c r="I34" s="732"/>
    </row>
    <row r="35" spans="1:9" ht="20.25">
      <c r="A35" s="782" t="s">
        <v>515</v>
      </c>
      <c r="B35" s="759">
        <f>NSG_Requirements!B7/1000</f>
        <v>0</v>
      </c>
      <c r="C35" s="716"/>
      <c r="D35" s="734"/>
      <c r="E35" s="717"/>
      <c r="F35" s="641"/>
      <c r="G35" s="713"/>
      <c r="H35" s="713"/>
      <c r="I35" s="732"/>
    </row>
    <row r="36" spans="1:9" ht="20.25">
      <c r="A36" s="782" t="s">
        <v>516</v>
      </c>
      <c r="B36" s="759">
        <f>NSG_Supplies!B7/1000</f>
        <v>0</v>
      </c>
      <c r="C36" s="716"/>
      <c r="D36" s="734"/>
      <c r="E36" s="717"/>
      <c r="F36" s="641"/>
      <c r="G36" s="713"/>
      <c r="H36" s="713"/>
      <c r="I36" s="732"/>
    </row>
    <row r="37" spans="1:9" ht="21" thickBot="1">
      <c r="A37" s="781" t="s">
        <v>108</v>
      </c>
      <c r="B37" s="757">
        <f>NSG_Supplies!P7/1000</f>
        <v>0</v>
      </c>
      <c r="C37" s="737"/>
      <c r="D37" s="738"/>
      <c r="E37" s="719"/>
      <c r="F37" s="641"/>
      <c r="G37" s="713"/>
      <c r="H37" s="713"/>
      <c r="I37" s="732"/>
    </row>
    <row r="38" spans="1:9" ht="21" thickBot="1">
      <c r="A38" s="739" t="s">
        <v>504</v>
      </c>
      <c r="B38" s="760">
        <f>-B30+B31+B32-B33-B34-B35+B36+B37</f>
        <v>0</v>
      </c>
      <c r="C38" s="641"/>
      <c r="D38" s="740"/>
      <c r="E38" s="741"/>
      <c r="F38" s="641"/>
      <c r="G38" s="713"/>
      <c r="H38" s="713"/>
      <c r="I38" s="732"/>
    </row>
    <row r="39" spans="1:9" ht="24" thickBot="1">
      <c r="A39" s="720"/>
      <c r="B39" s="721"/>
      <c r="C39" s="828" t="s">
        <v>643</v>
      </c>
      <c r="D39" s="721"/>
      <c r="E39" s="723"/>
      <c r="F39" s="641"/>
      <c r="G39" s="713"/>
      <c r="H39" s="713"/>
      <c r="I39" s="732"/>
    </row>
    <row r="40" spans="1:9" ht="20.25">
      <c r="A40" s="707" t="s">
        <v>505</v>
      </c>
      <c r="B40" s="818">
        <v>0</v>
      </c>
      <c r="C40" s="641"/>
      <c r="D40" s="742"/>
      <c r="E40" s="743"/>
      <c r="F40" s="641"/>
      <c r="G40" s="713"/>
      <c r="H40" s="713"/>
      <c r="I40" s="732"/>
    </row>
    <row r="41" spans="1:9" ht="20.25">
      <c r="A41" s="707" t="s">
        <v>506</v>
      </c>
      <c r="B41" s="819">
        <f>NSG_Requirements!J7/1000</f>
        <v>0</v>
      </c>
      <c r="C41" s="716"/>
      <c r="D41" s="734"/>
      <c r="E41" s="717"/>
      <c r="F41" s="641"/>
      <c r="G41" s="713"/>
      <c r="H41" s="713"/>
      <c r="I41" s="732"/>
    </row>
    <row r="42" spans="1:9" ht="20.25">
      <c r="A42" s="707" t="s">
        <v>507</v>
      </c>
      <c r="B42" s="820">
        <f>NSG_Supplies!E7/1000</f>
        <v>3.3</v>
      </c>
      <c r="C42" s="641"/>
      <c r="D42" s="744"/>
      <c r="E42" s="745"/>
      <c r="F42" s="641"/>
      <c r="G42" s="713"/>
      <c r="H42" s="713"/>
      <c r="I42" s="732"/>
    </row>
    <row r="43" spans="1:9" ht="20.25">
      <c r="A43" s="707" t="s">
        <v>508</v>
      </c>
      <c r="B43" s="819">
        <v>0</v>
      </c>
      <c r="C43" s="716"/>
      <c r="D43" s="734"/>
      <c r="E43" s="717"/>
      <c r="F43" s="641"/>
      <c r="G43" s="713"/>
      <c r="H43" s="713"/>
      <c r="I43" s="732"/>
    </row>
    <row r="44" spans="1:9" ht="20.25">
      <c r="A44" s="707" t="s">
        <v>509</v>
      </c>
      <c r="B44" s="819">
        <v>0</v>
      </c>
      <c r="C44" s="716"/>
      <c r="D44" s="734"/>
      <c r="E44" s="717"/>
      <c r="F44" s="641"/>
      <c r="G44" s="713"/>
      <c r="H44" s="713"/>
      <c r="I44" s="732"/>
    </row>
    <row r="45" spans="1:9" ht="21" thickBot="1">
      <c r="A45" s="636" t="s">
        <v>639</v>
      </c>
      <c r="B45" s="820">
        <f>NSG_Supplies!Q7/1000</f>
        <v>20</v>
      </c>
      <c r="C45" s="641"/>
      <c r="D45" s="744"/>
      <c r="E45" s="745"/>
      <c r="F45" s="641"/>
      <c r="G45" s="713"/>
      <c r="H45" s="713"/>
      <c r="I45" s="732"/>
    </row>
    <row r="46" spans="1:9" ht="21" thickBot="1">
      <c r="A46" s="739" t="s">
        <v>504</v>
      </c>
      <c r="B46" s="821">
        <f>B45+B42-B41</f>
        <v>23.3</v>
      </c>
      <c r="C46" s="747"/>
      <c r="D46" s="746"/>
      <c r="E46" s="748"/>
      <c r="F46" s="641"/>
      <c r="G46" s="713"/>
      <c r="H46" s="713"/>
      <c r="I46" s="732"/>
    </row>
    <row r="47" spans="1:9" ht="24" thickBot="1">
      <c r="A47" s="720"/>
      <c r="B47" s="721"/>
      <c r="C47" s="722" t="s">
        <v>69</v>
      </c>
      <c r="D47" s="721"/>
      <c r="E47" s="723"/>
      <c r="F47" s="641"/>
      <c r="G47" s="713"/>
      <c r="H47" s="713"/>
      <c r="I47" s="732"/>
    </row>
    <row r="48" spans="1:9" ht="20.25">
      <c r="A48" s="707" t="s">
        <v>510</v>
      </c>
      <c r="B48" s="726">
        <f>(NSG_Requirements!V7+NSG_Requirements!W7+NSG_Requirements!X7)/1000</f>
        <v>0</v>
      </c>
      <c r="C48" s="749"/>
      <c r="D48" s="734"/>
      <c r="E48" s="717"/>
      <c r="F48" s="641"/>
      <c r="G48" s="713"/>
      <c r="H48" s="713"/>
      <c r="I48" s="732"/>
    </row>
    <row r="49" spans="1:9" ht="20.25">
      <c r="A49" s="707" t="s">
        <v>511</v>
      </c>
      <c r="B49" s="733">
        <f>NSG_Requirements!M7/1000</f>
        <v>0</v>
      </c>
      <c r="C49" s="753"/>
      <c r="D49" s="753"/>
      <c r="E49" s="642"/>
      <c r="F49" s="641"/>
      <c r="G49" s="713"/>
      <c r="H49" s="713"/>
      <c r="I49" s="732"/>
    </row>
    <row r="50" spans="1:9" ht="20.25">
      <c r="A50" s="707" t="s">
        <v>89</v>
      </c>
      <c r="B50" s="733">
        <f>NSG_Requirements!E7/1000</f>
        <v>0</v>
      </c>
      <c r="C50" s="750"/>
      <c r="D50" s="744"/>
      <c r="E50" s="745"/>
      <c r="F50" s="641"/>
      <c r="G50" s="713"/>
      <c r="H50" s="713"/>
      <c r="I50" s="732"/>
    </row>
    <row r="51" spans="1:9" ht="21" thickBot="1">
      <c r="A51" s="707" t="s">
        <v>108</v>
      </c>
      <c r="B51" s="736">
        <f>NSG_Supplies!O7/1000</f>
        <v>0</v>
      </c>
      <c r="C51" s="749"/>
      <c r="D51" s="734"/>
      <c r="E51" s="717"/>
      <c r="F51" s="641"/>
      <c r="G51" s="713"/>
      <c r="H51" s="713"/>
      <c r="I51" s="732"/>
    </row>
    <row r="52" spans="1:9" ht="24" thickBot="1">
      <c r="A52" s="720"/>
      <c r="B52" s="721"/>
      <c r="C52" s="722" t="s">
        <v>512</v>
      </c>
      <c r="D52" s="721"/>
      <c r="E52" s="723"/>
      <c r="F52" s="641"/>
      <c r="G52" s="713"/>
      <c r="H52" s="713"/>
      <c r="I52" s="732"/>
    </row>
    <row r="53" spans="1:9" ht="20.25">
      <c r="A53" s="751" t="s">
        <v>513</v>
      </c>
      <c r="B53" s="752"/>
      <c r="C53" s="641"/>
      <c r="D53" s="742"/>
      <c r="E53" s="743"/>
      <c r="F53" s="641"/>
      <c r="G53" s="713"/>
      <c r="H53" s="713"/>
      <c r="I53" s="732"/>
    </row>
    <row r="54" spans="1:9" ht="21" thickBot="1">
      <c r="A54" s="754" t="s">
        <v>514</v>
      </c>
      <c r="B54" s="763"/>
      <c r="C54" s="764"/>
      <c r="D54" s="765"/>
      <c r="E54" s="766"/>
      <c r="F54" s="755"/>
      <c r="G54" s="767"/>
      <c r="H54" s="1087"/>
      <c r="I54" s="1086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7" t="s">
        <v>11</v>
      </c>
      <c r="B1" s="252"/>
      <c r="C1" s="252"/>
      <c r="D1" s="252"/>
      <c r="E1" s="253" t="s">
        <v>172</v>
      </c>
      <c r="F1" s="460">
        <f>Weather_Input!A5</f>
        <v>37037</v>
      </c>
      <c r="G1" s="254" t="s">
        <v>11</v>
      </c>
      <c r="H1" s="252"/>
      <c r="I1" s="255"/>
    </row>
    <row r="2" spans="1:9" ht="17.100000000000001" customHeight="1">
      <c r="A2" s="256" t="s">
        <v>11</v>
      </c>
      <c r="B2" s="257"/>
      <c r="C2" s="257"/>
      <c r="D2" s="257" t="s">
        <v>11</v>
      </c>
      <c r="E2" s="257"/>
      <c r="F2" s="257"/>
      <c r="G2" s="257"/>
      <c r="H2" s="257" t="s">
        <v>11</v>
      </c>
      <c r="I2" s="258"/>
    </row>
    <row r="3" spans="1:9" ht="17.100000000000001" customHeight="1" thickBot="1">
      <c r="A3" s="256"/>
      <c r="B3" s="455" t="s">
        <v>535</v>
      </c>
      <c r="C3" s="451">
        <v>44</v>
      </c>
      <c r="D3" s="257"/>
      <c r="E3" s="257"/>
      <c r="F3" s="451" t="s">
        <v>395</v>
      </c>
      <c r="G3" s="451"/>
      <c r="H3" s="259" t="s">
        <v>173</v>
      </c>
      <c r="I3" s="258"/>
    </row>
    <row r="4" spans="1:9" ht="17.100000000000001" customHeight="1">
      <c r="A4" s="260" t="s">
        <v>174</v>
      </c>
      <c r="B4" s="260" t="s">
        <v>174</v>
      </c>
      <c r="C4" s="261" t="s">
        <v>175</v>
      </c>
      <c r="D4" s="261" t="s">
        <v>23</v>
      </c>
      <c r="E4" s="261" t="s">
        <v>175</v>
      </c>
      <c r="F4" s="261" t="s">
        <v>23</v>
      </c>
      <c r="G4" s="261" t="s">
        <v>175</v>
      </c>
      <c r="H4" s="261" t="s">
        <v>23</v>
      </c>
      <c r="I4" s="262" t="s">
        <v>175</v>
      </c>
    </row>
    <row r="5" spans="1:9" ht="17.100000000000001" customHeight="1">
      <c r="A5" s="263" t="s">
        <v>176</v>
      </c>
      <c r="B5" s="264">
        <f>Weather_Input!B5</f>
        <v>56</v>
      </c>
      <c r="C5" s="264">
        <f>Weather_Input!C5</f>
        <v>47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177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178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179</v>
      </c>
      <c r="B8" s="271">
        <f>PGL_Deliveries!C5/1000</f>
        <v>320</v>
      </c>
      <c r="C8" s="272">
        <f>NSG_Deliveries!C5/1000</f>
        <v>60</v>
      </c>
      <c r="D8" s="271" t="s">
        <v>11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55</v>
      </c>
      <c r="C9" s="276" t="s">
        <v>83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68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11</v>
      </c>
    </row>
    <row r="11" spans="1:9" ht="17.100000000000001" customHeight="1">
      <c r="A11" s="281" t="s">
        <v>180</v>
      </c>
      <c r="B11" s="280">
        <f>+B54</f>
        <v>163.95699999999999</v>
      </c>
      <c r="C11" s="282" t="s">
        <v>11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181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74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182</v>
      </c>
      <c r="B14" s="284">
        <f>+B72</f>
        <v>-5.8839999999999861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183</v>
      </c>
      <c r="B15" s="280">
        <f>+B46</f>
        <v>1</v>
      </c>
      <c r="C15" s="266" t="s">
        <v>11</v>
      </c>
      <c r="D15" s="264" t="s">
        <v>11</v>
      </c>
      <c r="E15" s="266"/>
      <c r="F15" s="459"/>
      <c r="G15" s="266"/>
      <c r="H15" s="266"/>
      <c r="I15" s="265"/>
    </row>
    <row r="16" spans="1:9" ht="17.100000000000001" customHeight="1">
      <c r="A16" s="256" t="s">
        <v>184</v>
      </c>
      <c r="B16" s="280">
        <f>PGL_Requirements!G7/1000</f>
        <v>0</v>
      </c>
      <c r="C16" s="266"/>
      <c r="D16" s="264"/>
      <c r="E16" s="266"/>
      <c r="F16" s="304" t="s">
        <v>11</v>
      </c>
      <c r="G16" s="266"/>
      <c r="H16" s="266"/>
      <c r="I16" s="265"/>
    </row>
    <row r="17" spans="1:9" ht="17.100000000000001" customHeight="1" thickBot="1">
      <c r="A17" s="281" t="s">
        <v>185</v>
      </c>
      <c r="B17" s="280">
        <f>PGL_Supplies!B7/1000</f>
        <v>5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398</v>
      </c>
      <c r="B18" s="456">
        <f>-B10-B11-B12-B13-B14-B15+B16-B17</f>
        <v>-179.07300000000001</v>
      </c>
      <c r="C18" s="287">
        <f>-I63</f>
        <v>0</v>
      </c>
      <c r="D18" s="288" t="s">
        <v>11</v>
      </c>
      <c r="E18" s="287">
        <f>-I63</f>
        <v>0</v>
      </c>
      <c r="F18" s="288" t="s">
        <v>11</v>
      </c>
      <c r="G18" s="287">
        <f>-I63</f>
        <v>0</v>
      </c>
      <c r="H18" s="288" t="s">
        <v>11</v>
      </c>
      <c r="I18" s="289"/>
    </row>
    <row r="19" spans="1:9" ht="17.100000000000001" customHeight="1">
      <c r="A19" s="290" t="s">
        <v>61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186</v>
      </c>
      <c r="B20" s="280">
        <f>B8+B18+B19</f>
        <v>140.92699999999999</v>
      </c>
      <c r="C20" s="293">
        <f>C8+C18+C19</f>
        <v>60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187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188</v>
      </c>
      <c r="B22" s="280">
        <f>+B44</f>
        <v>2.25</v>
      </c>
      <c r="C22" s="266"/>
      <c r="D22" s="264"/>
      <c r="E22" s="266"/>
      <c r="F22" s="295" t="s">
        <v>11</v>
      </c>
      <c r="G22" s="304"/>
      <c r="H22" s="296" t="s">
        <v>11</v>
      </c>
      <c r="I22" s="258"/>
    </row>
    <row r="23" spans="1:9" ht="17.100000000000001" customHeight="1">
      <c r="A23" s="297" t="s">
        <v>189</v>
      </c>
      <c r="B23" s="298">
        <f>B20+B21+B22</f>
        <v>143.17699999999999</v>
      </c>
      <c r="C23" s="299">
        <f>C20</f>
        <v>60</v>
      </c>
      <c r="D23" s="264"/>
      <c r="E23" s="266"/>
      <c r="F23" s="300"/>
      <c r="G23" s="266"/>
      <c r="H23" s="301" t="s">
        <v>11</v>
      </c>
      <c r="I23" s="302" t="s">
        <v>11</v>
      </c>
    </row>
    <row r="24" spans="1:9" ht="17.100000000000001" customHeight="1" thickBot="1">
      <c r="A24" s="303" t="s">
        <v>190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11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191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192</v>
      </c>
      <c r="B27" s="308">
        <f>PGL_Requirements!R7/1000</f>
        <v>0.68</v>
      </c>
      <c r="C27" s="308">
        <f>NSG_Requirements!P7/1000</f>
        <v>0</v>
      </c>
      <c r="D27" s="308">
        <f>PGL_Requirements!R7/1000</f>
        <v>0.68</v>
      </c>
      <c r="E27" s="308">
        <f>NSG_Requirements!P7/1000</f>
        <v>0</v>
      </c>
      <c r="F27" s="308">
        <f>PGL_Requirements!R7/1000</f>
        <v>0.68</v>
      </c>
      <c r="G27" s="308">
        <f>NSG_Requirements!P7/1000</f>
        <v>0</v>
      </c>
      <c r="H27" s="309">
        <f>+B27</f>
        <v>0.68</v>
      </c>
      <c r="I27" s="310">
        <f>+C27</f>
        <v>0</v>
      </c>
    </row>
    <row r="28" spans="1:9" ht="17.100000000000001" customHeight="1">
      <c r="A28" s="320" t="s">
        <v>193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194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404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195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196</v>
      </c>
      <c r="B32" s="313">
        <f>-PGL_Supplies!AC7/1000</f>
        <v>-45.658000000000001</v>
      </c>
      <c r="C32" s="313">
        <f>-NSG_Supplies!R7/1000</f>
        <v>-29.943000000000001</v>
      </c>
      <c r="D32" s="313">
        <f>B32</f>
        <v>-45.658000000000001</v>
      </c>
      <c r="E32" s="313">
        <f>C32</f>
        <v>-29.943000000000001</v>
      </c>
      <c r="F32" s="313">
        <f>B32</f>
        <v>-45.658000000000001</v>
      </c>
      <c r="G32" s="313">
        <f>C32</f>
        <v>-29.943000000000001</v>
      </c>
      <c r="H32" s="318">
        <f>B32</f>
        <v>-45.658000000000001</v>
      </c>
      <c r="I32" s="319">
        <f>C32</f>
        <v>-29.943000000000001</v>
      </c>
    </row>
    <row r="33" spans="1:9" ht="17.100000000000001" customHeight="1">
      <c r="A33" s="317" t="s">
        <v>392</v>
      </c>
      <c r="B33" s="313">
        <f>-PGL_Supplies!X7/1000</f>
        <v>-0.3</v>
      </c>
      <c r="C33" s="313">
        <f>-NSG_Supplies!S7/1000</f>
        <v>-18.998000000000001</v>
      </c>
      <c r="D33" s="313">
        <f>B33</f>
        <v>-0.3</v>
      </c>
      <c r="E33" s="313">
        <f>C33</f>
        <v>-18.998000000000001</v>
      </c>
      <c r="F33" s="313">
        <f>B33</f>
        <v>-0.3</v>
      </c>
      <c r="G33" s="313">
        <f>C33</f>
        <v>-18.998000000000001</v>
      </c>
      <c r="H33" s="318">
        <f>B33</f>
        <v>-0.3</v>
      </c>
      <c r="I33" s="319">
        <f>C33</f>
        <v>-18.998000000000001</v>
      </c>
    </row>
    <row r="34" spans="1:9" ht="17.100000000000001" customHeight="1">
      <c r="A34" s="307" t="s">
        <v>197</v>
      </c>
      <c r="B34" s="308">
        <f>PGL_Requirements!S7/1000</f>
        <v>0</v>
      </c>
      <c r="C34" s="308" t="s">
        <v>11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198</v>
      </c>
      <c r="B35" s="308">
        <f>PGL_Requirements!O7/1000</f>
        <v>0</v>
      </c>
      <c r="C35" s="308">
        <f>NSG_Requirements!H7/1000</f>
        <v>0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199</v>
      </c>
      <c r="B36" s="313">
        <f>-PGL_Supplies!L7/1000</f>
        <v>-60.01</v>
      </c>
      <c r="C36" s="313">
        <f>-NSG_Supplies!F7/1000</f>
        <v>-6.76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405</v>
      </c>
      <c r="B37" s="308">
        <f>PGL_Requirements!M7/1000</f>
        <v>0</v>
      </c>
      <c r="C37" s="321" t="s">
        <v>11</v>
      </c>
      <c r="D37" s="308">
        <f>PGL_Requirements!M7/1000</f>
        <v>0</v>
      </c>
      <c r="E37" s="311"/>
      <c r="F37" s="308">
        <f>PGL_Requirements!M7/1000</f>
        <v>0</v>
      </c>
      <c r="G37" s="308" t="s">
        <v>11</v>
      </c>
      <c r="H37" s="315"/>
      <c r="I37" s="331"/>
    </row>
    <row r="38" spans="1:9" ht="17.100000000000001" customHeight="1" thickBot="1">
      <c r="A38" s="323" t="s">
        <v>200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11</v>
      </c>
      <c r="B39" s="485" t="s">
        <v>412</v>
      </c>
      <c r="C39" s="483"/>
      <c r="D39" s="484"/>
      <c r="E39" s="326"/>
      <c r="F39" s="327" t="s">
        <v>201</v>
      </c>
      <c r="G39" s="326"/>
      <c r="H39" s="328"/>
      <c r="I39" s="329"/>
    </row>
    <row r="40" spans="1:9" ht="17.100000000000001" customHeight="1">
      <c r="A40" s="330" t="s">
        <v>202</v>
      </c>
      <c r="B40" s="313">
        <f>PGL_Requirements!P7/1000</f>
        <v>150</v>
      </c>
      <c r="C40" s="313" t="s">
        <v>11</v>
      </c>
      <c r="D40" s="394"/>
      <c r="E40" s="331"/>
      <c r="F40" s="332" t="s">
        <v>203</v>
      </c>
      <c r="G40" s="311"/>
      <c r="H40" s="333"/>
      <c r="I40" s="334"/>
    </row>
    <row r="41" spans="1:9" ht="17.100000000000001" customHeight="1">
      <c r="A41" s="330" t="s">
        <v>204</v>
      </c>
      <c r="B41" s="322">
        <f>PGL_Supplies!M7/1000</f>
        <v>0</v>
      </c>
      <c r="C41" s="313" t="s">
        <v>11</v>
      </c>
      <c r="D41" s="311"/>
      <c r="E41" s="331"/>
      <c r="F41" s="335" t="s">
        <v>205</v>
      </c>
      <c r="G41" s="311"/>
      <c r="H41" s="315"/>
      <c r="I41" s="334"/>
    </row>
    <row r="42" spans="1:9" ht="17.100000000000001" customHeight="1">
      <c r="A42" s="330" t="s">
        <v>206</v>
      </c>
      <c r="B42" s="313">
        <f>PGL_Requirements!B7/1000</f>
        <v>0</v>
      </c>
      <c r="C42" s="313" t="s">
        <v>11</v>
      </c>
      <c r="D42" s="311"/>
      <c r="E42" s="331"/>
      <c r="F42" s="335" t="s">
        <v>207</v>
      </c>
      <c r="G42" s="311"/>
      <c r="H42" s="315"/>
      <c r="I42" s="334"/>
    </row>
    <row r="43" spans="1:9" ht="17.100000000000001" customHeight="1">
      <c r="A43" s="330" t="s">
        <v>208</v>
      </c>
      <c r="B43" s="313">
        <f>PGL_Supplies!H7/1000</f>
        <v>1</v>
      </c>
      <c r="C43" s="311"/>
      <c r="D43" s="311"/>
      <c r="E43" s="331"/>
      <c r="F43" s="336" t="s">
        <v>209</v>
      </c>
      <c r="G43" s="311"/>
      <c r="H43" s="315"/>
      <c r="I43" s="334"/>
    </row>
    <row r="44" spans="1:9" ht="17.100000000000001" customHeight="1">
      <c r="A44" s="330" t="s">
        <v>188</v>
      </c>
      <c r="B44" s="337">
        <f>+B48+B47+B45</f>
        <v>2.25</v>
      </c>
      <c r="C44" s="338"/>
      <c r="D44" s="311"/>
      <c r="E44" s="331"/>
      <c r="F44" s="335" t="s">
        <v>210</v>
      </c>
      <c r="G44" s="311"/>
      <c r="H44" s="315"/>
      <c r="I44" s="334"/>
    </row>
    <row r="45" spans="1:9" ht="17.100000000000001" customHeight="1">
      <c r="A45" s="330" t="s">
        <v>211</v>
      </c>
      <c r="B45" s="313">
        <f>PGL_Requirements!Q7/1000</f>
        <v>2.25</v>
      </c>
      <c r="C45" s="311"/>
      <c r="D45" s="311"/>
      <c r="E45" s="331"/>
      <c r="F45" s="340" t="s">
        <v>212</v>
      </c>
      <c r="G45" s="311"/>
      <c r="H45" s="315"/>
      <c r="I45" s="334"/>
    </row>
    <row r="46" spans="1:9" ht="17.100000000000001" customHeight="1">
      <c r="A46" s="320" t="s">
        <v>213</v>
      </c>
      <c r="B46" s="313">
        <f>+B47+B43+B41</f>
        <v>1</v>
      </c>
      <c r="C46" s="311"/>
      <c r="D46" s="311"/>
      <c r="E46" s="331"/>
      <c r="F46" s="335" t="s">
        <v>214</v>
      </c>
      <c r="G46" s="311"/>
      <c r="H46" s="315"/>
      <c r="I46" s="334"/>
    </row>
    <row r="47" spans="1:9" ht="17.100000000000001" customHeight="1">
      <c r="A47" s="330" t="s">
        <v>215</v>
      </c>
      <c r="B47" s="339">
        <v>0</v>
      </c>
      <c r="C47" s="311"/>
      <c r="D47" s="311"/>
      <c r="E47" s="331"/>
      <c r="F47" s="335" t="s">
        <v>216</v>
      </c>
      <c r="G47" s="311"/>
      <c r="H47" s="315"/>
      <c r="I47" s="334"/>
    </row>
    <row r="48" spans="1:9" ht="17.100000000000001" customHeight="1" thickBot="1">
      <c r="A48" s="423" t="s">
        <v>217</v>
      </c>
      <c r="B48" s="341">
        <v>0</v>
      </c>
      <c r="C48" s="342"/>
      <c r="D48" s="342"/>
      <c r="E48" s="343"/>
      <c r="F48" s="336" t="s">
        <v>218</v>
      </c>
      <c r="G48" s="311"/>
      <c r="H48" s="315"/>
      <c r="I48" s="334"/>
    </row>
    <row r="49" spans="1:9" ht="17.100000000000001" customHeight="1" thickTop="1" thickBot="1">
      <c r="A49" s="344" t="s">
        <v>11</v>
      </c>
      <c r="B49" s="325" t="s">
        <v>369</v>
      </c>
      <c r="C49" s="345"/>
      <c r="D49" s="345"/>
      <c r="E49" s="345" t="s">
        <v>11</v>
      </c>
      <c r="F49" s="346" t="s">
        <v>219</v>
      </c>
      <c r="G49" s="347"/>
      <c r="H49" s="348"/>
      <c r="I49" s="334"/>
    </row>
    <row r="50" spans="1:9" ht="17.100000000000001" customHeight="1">
      <c r="A50" s="330" t="s">
        <v>409</v>
      </c>
      <c r="B50" s="322">
        <f>PGL_Supplies!V7/1000+PGL_Supplies!D7/1000</f>
        <v>163.95699999999999</v>
      </c>
      <c r="C50" s="311"/>
      <c r="D50" s="311"/>
      <c r="E50" s="311"/>
      <c r="F50" s="317" t="s">
        <v>401</v>
      </c>
      <c r="G50" s="349"/>
      <c r="H50" s="350"/>
      <c r="I50" s="334"/>
    </row>
    <row r="51" spans="1:9" ht="17.100000000000001" customHeight="1">
      <c r="A51" s="330" t="s">
        <v>220</v>
      </c>
      <c r="B51" s="322">
        <f>PGL_Supplies!AA7/1000</f>
        <v>0</v>
      </c>
      <c r="C51" s="338"/>
      <c r="D51" s="311"/>
      <c r="E51" s="311"/>
      <c r="F51" s="351" t="s">
        <v>221</v>
      </c>
      <c r="G51" s="349"/>
      <c r="H51" s="315"/>
      <c r="I51" s="334"/>
    </row>
    <row r="52" spans="1:9" ht="17.100000000000001" customHeight="1" thickBot="1">
      <c r="A52" s="330" t="s">
        <v>370</v>
      </c>
      <c r="B52" s="322">
        <f>NSG_Supplies!O7/1000+PGL_Supplies!Q7/1000</f>
        <v>0</v>
      </c>
      <c r="C52" s="311"/>
      <c r="D52" s="311"/>
      <c r="E52" s="311"/>
      <c r="F52" s="352" t="s">
        <v>222</v>
      </c>
      <c r="G52" s="353"/>
      <c r="H52" s="354"/>
      <c r="I52" s="334"/>
    </row>
    <row r="53" spans="1:9" ht="17.100000000000001" customHeight="1">
      <c r="A53" s="368" t="s">
        <v>232</v>
      </c>
      <c r="B53" s="322">
        <f>PGL_Requirements!J7/1000+NSG_Requirements!E7/1000</f>
        <v>0</v>
      </c>
      <c r="C53" s="311"/>
      <c r="D53" s="311"/>
      <c r="E53" s="311"/>
      <c r="F53" s="346" t="s">
        <v>223</v>
      </c>
      <c r="G53" s="355"/>
      <c r="H53" s="338"/>
      <c r="I53" s="334"/>
    </row>
    <row r="54" spans="1:9" ht="17.100000000000001" customHeight="1" thickBot="1">
      <c r="A54" s="320" t="s">
        <v>224</v>
      </c>
      <c r="B54" s="374">
        <f>SUM(B50+B51+B52-B53)</f>
        <v>163.95699999999999</v>
      </c>
      <c r="C54" s="322"/>
      <c r="D54" s="311"/>
      <c r="E54" s="311"/>
      <c r="F54" s="356" t="s">
        <v>225</v>
      </c>
      <c r="G54" s="357"/>
      <c r="H54" s="357"/>
      <c r="I54" s="358"/>
    </row>
    <row r="55" spans="1:9" ht="17.100000000000001" customHeight="1" thickBot="1">
      <c r="A55" s="344" t="s">
        <v>11</v>
      </c>
      <c r="B55" s="327" t="s">
        <v>68</v>
      </c>
      <c r="C55" s="345"/>
      <c r="D55" s="345"/>
      <c r="E55" s="345"/>
      <c r="F55" s="359" t="s">
        <v>226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392</v>
      </c>
      <c r="B56" s="322">
        <f>PGL_Supplies!U7/1000</f>
        <v>0</v>
      </c>
      <c r="C56" s="311"/>
      <c r="D56" s="311"/>
      <c r="E56" s="311"/>
      <c r="F56" s="359" t="s">
        <v>227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494</v>
      </c>
      <c r="B57" s="322">
        <f>PGL_Supplies!Z7/1000+PGL_Supplies!C7/1000-PGL_Requirements!C7/1000</f>
        <v>40.200000000000003</v>
      </c>
      <c r="C57" s="311"/>
      <c r="D57" s="311"/>
      <c r="E57" s="311"/>
      <c r="F57" s="359" t="s">
        <v>228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229</v>
      </c>
      <c r="B58" s="322">
        <f>PGL_Requirements!U7/1000</f>
        <v>40.200000000000003</v>
      </c>
      <c r="C58" s="311"/>
      <c r="D58" s="311"/>
      <c r="E58" s="311"/>
      <c r="F58" s="359" t="s">
        <v>230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231</v>
      </c>
      <c r="B59" s="322">
        <f>PGL_Supplies!R7/1000</f>
        <v>0</v>
      </c>
      <c r="C59" s="311"/>
      <c r="D59" s="311"/>
      <c r="E59" s="311"/>
      <c r="F59" s="365" t="s">
        <v>232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232</v>
      </c>
      <c r="B60" s="322">
        <f>PGL_Requirements!I7/1000</f>
        <v>0</v>
      </c>
      <c r="C60" s="311"/>
      <c r="D60" s="311"/>
      <c r="E60" s="311"/>
      <c r="F60" s="369" t="s">
        <v>233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414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234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224</v>
      </c>
      <c r="B62" s="374">
        <f>B56+B57-B58+B59-B60+B61</f>
        <v>0</v>
      </c>
      <c r="C62" s="375"/>
      <c r="D62" s="375"/>
      <c r="E62" s="375"/>
      <c r="F62" s="376" t="s">
        <v>235</v>
      </c>
      <c r="G62" s="311"/>
      <c r="H62" s="363"/>
      <c r="I62" s="377">
        <v>0</v>
      </c>
    </row>
    <row r="63" spans="1:9" ht="17.100000000000001" customHeight="1" thickBot="1">
      <c r="A63" s="344" t="s">
        <v>11</v>
      </c>
      <c r="B63" s="325"/>
      <c r="C63" s="325" t="s">
        <v>411</v>
      </c>
      <c r="D63" s="345"/>
      <c r="E63" s="481" t="s">
        <v>11</v>
      </c>
      <c r="F63" s="346" t="s">
        <v>236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392</v>
      </c>
      <c r="B64" s="322">
        <f>PGL_Supplies!Y7/1000</f>
        <v>144.11600000000001</v>
      </c>
      <c r="C64" s="311"/>
      <c r="D64" s="311"/>
      <c r="E64" s="378"/>
      <c r="F64" s="356" t="s">
        <v>237</v>
      </c>
      <c r="G64" s="357"/>
      <c r="H64" s="357"/>
      <c r="I64" s="358"/>
    </row>
    <row r="65" spans="1:10" ht="17.100000000000001" customHeight="1">
      <c r="A65" s="330" t="s">
        <v>493</v>
      </c>
      <c r="B65" s="322">
        <f>PGL_Supplies!AD7/1000+PGL_Supplies!G7/1000-PGL_Requirements!F7/1000</f>
        <v>0</v>
      </c>
      <c r="C65" s="379" t="s">
        <v>11</v>
      </c>
      <c r="D65" s="311"/>
      <c r="E65" s="380"/>
      <c r="F65" s="381" t="s">
        <v>238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239</v>
      </c>
      <c r="B66" s="322">
        <f>PGL_Supplies!AE7/1000</f>
        <v>0</v>
      </c>
      <c r="C66" s="379" t="s">
        <v>11</v>
      </c>
      <c r="D66" s="311"/>
      <c r="E66" s="380"/>
      <c r="F66" s="382" t="s">
        <v>240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241</v>
      </c>
      <c r="B67" s="386">
        <f>PGL_Requirements!T7/1000</f>
        <v>0</v>
      </c>
      <c r="C67" s="387" t="s">
        <v>11</v>
      </c>
      <c r="D67" s="311"/>
      <c r="E67" s="380"/>
      <c r="F67" s="382" t="s">
        <v>242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243</v>
      </c>
      <c r="B68" s="322">
        <f>PGL_Supplies!P7/1000</f>
        <v>0</v>
      </c>
      <c r="C68" s="379" t="s">
        <v>11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232</v>
      </c>
      <c r="B69" s="386">
        <f>PGL_Requirements!N7/1000</f>
        <v>0</v>
      </c>
      <c r="C69" s="387" t="s">
        <v>11</v>
      </c>
      <c r="D69" s="311"/>
      <c r="E69" s="489"/>
      <c r="F69" s="393" t="s">
        <v>244</v>
      </c>
      <c r="G69" s="383" t="s">
        <v>11</v>
      </c>
      <c r="H69" s="394" t="s">
        <v>397</v>
      </c>
      <c r="I69" s="380"/>
    </row>
    <row r="70" spans="1:10" ht="17.100000000000001" customHeight="1">
      <c r="A70" s="330" t="s">
        <v>245</v>
      </c>
      <c r="B70" s="386">
        <f>PGL_Requirements!P7/1000</f>
        <v>150</v>
      </c>
      <c r="C70" s="387" t="s">
        <v>11</v>
      </c>
      <c r="D70" s="311"/>
      <c r="E70" s="380"/>
      <c r="F70" s="393" t="s">
        <v>246</v>
      </c>
      <c r="G70" s="383" t="s">
        <v>11</v>
      </c>
      <c r="H70" s="422" t="s">
        <v>247</v>
      </c>
      <c r="I70" s="421"/>
    </row>
    <row r="71" spans="1:10" ht="17.100000000000001" customHeight="1">
      <c r="A71" s="330" t="s">
        <v>248</v>
      </c>
      <c r="B71" s="386">
        <f>PGL_Requirements!F7/1000</f>
        <v>4</v>
      </c>
      <c r="C71" s="379" t="s">
        <v>11</v>
      </c>
      <c r="D71" s="311"/>
      <c r="E71" s="380"/>
      <c r="F71" s="382" t="s">
        <v>249</v>
      </c>
      <c r="G71" s="383" t="s">
        <v>11</v>
      </c>
      <c r="H71" s="396"/>
      <c r="I71" s="380" t="s">
        <v>11</v>
      </c>
    </row>
    <row r="72" spans="1:10" ht="17.100000000000001" customHeight="1" thickBot="1">
      <c r="A72" s="397" t="s">
        <v>224</v>
      </c>
      <c r="B72" s="398">
        <f>+B65+B64+B66+B68-B67-B69-B70</f>
        <v>-5.8839999999999861</v>
      </c>
      <c r="C72" s="398" t="s">
        <v>11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250</v>
      </c>
      <c r="B73" s="357"/>
      <c r="C73" s="358"/>
      <c r="D73" s="338"/>
      <c r="E73" s="338"/>
      <c r="F73" s="420" t="s">
        <v>251</v>
      </c>
      <c r="G73" s="403" t="str">
        <f>CHOOSE(WEEKDAY(H73),"SUN","MON","TUE","WED","THU","FRI","SAT")</f>
        <v>SAT</v>
      </c>
      <c r="H73" s="404">
        <f>Weather_Input!A5</f>
        <v>37037</v>
      </c>
      <c r="I73" s="405"/>
    </row>
    <row r="74" spans="1:10" ht="17.100000000000001" customHeight="1">
      <c r="A74" s="381" t="s">
        <v>252</v>
      </c>
      <c r="B74" s="311" t="s">
        <v>11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253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254</v>
      </c>
      <c r="B76" s="342"/>
      <c r="C76" s="343"/>
      <c r="D76" s="409" t="s">
        <v>255</v>
      </c>
      <c r="E76" s="410"/>
      <c r="F76" s="411" t="s">
        <v>256</v>
      </c>
      <c r="G76" s="412"/>
      <c r="H76" s="413" t="s">
        <v>257</v>
      </c>
      <c r="I76" s="414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5" t="s">
        <v>419</v>
      </c>
      <c r="B90" s="586"/>
      <c r="C90" s="586"/>
      <c r="D90" s="586"/>
      <c r="E90" s="587" t="s">
        <v>172</v>
      </c>
      <c r="F90" s="588">
        <f>Weather_Input!L5</f>
        <v>1</v>
      </c>
      <c r="G90" s="589" t="s">
        <v>11</v>
      </c>
      <c r="H90" s="590"/>
      <c r="I90" s="591"/>
    </row>
    <row r="91" spans="1:9" ht="15.75">
      <c r="A91" s="256"/>
      <c r="B91" s="607" t="s">
        <v>416</v>
      </c>
      <c r="C91" s="267" t="s">
        <v>11</v>
      </c>
      <c r="D91" s="599" t="s">
        <v>487</v>
      </c>
      <c r="E91" s="606"/>
      <c r="F91" s="604" t="s">
        <v>488</v>
      </c>
      <c r="G91" s="605"/>
      <c r="H91" s="603" t="s">
        <v>173</v>
      </c>
      <c r="I91" s="258"/>
    </row>
    <row r="92" spans="1:9" ht="15">
      <c r="A92" s="491" t="s">
        <v>417</v>
      </c>
      <c r="B92" s="598" t="s">
        <v>408</v>
      </c>
      <c r="C92" s="259" t="s">
        <v>175</v>
      </c>
      <c r="D92" s="598" t="s">
        <v>23</v>
      </c>
      <c r="E92" s="259" t="s">
        <v>175</v>
      </c>
      <c r="F92" s="601" t="s">
        <v>23</v>
      </c>
      <c r="G92" s="259" t="s">
        <v>175</v>
      </c>
      <c r="H92" s="598" t="s">
        <v>23</v>
      </c>
      <c r="I92" s="492" t="s">
        <v>175</v>
      </c>
    </row>
    <row r="93" spans="1:9" ht="15.75">
      <c r="A93" s="256" t="s">
        <v>11</v>
      </c>
      <c r="B93" s="266"/>
      <c r="C93" s="264"/>
      <c r="D93" s="600"/>
      <c r="E93" s="600"/>
      <c r="F93" s="602"/>
      <c r="G93" s="267"/>
      <c r="H93" s="267"/>
      <c r="I93" s="265"/>
    </row>
    <row r="94" spans="1:9" ht="16.5" thickBot="1">
      <c r="A94" s="256" t="s">
        <v>418</v>
      </c>
      <c r="B94" s="499" t="s">
        <v>11</v>
      </c>
      <c r="C94" s="498" t="s">
        <v>11</v>
      </c>
      <c r="D94" s="493" t="s">
        <v>11</v>
      </c>
      <c r="E94" s="500"/>
      <c r="F94" s="501"/>
      <c r="G94" s="269"/>
      <c r="H94" s="501"/>
      <c r="I94" s="258"/>
    </row>
    <row r="95" spans="1:9" ht="16.5" thickBot="1">
      <c r="A95" s="494"/>
      <c r="B95" s="495" t="s">
        <v>11</v>
      </c>
      <c r="C95" s="495" t="s">
        <v>11</v>
      </c>
      <c r="D95" s="496"/>
      <c r="E95" s="496"/>
      <c r="F95" s="496"/>
      <c r="G95" s="496"/>
      <c r="H95" s="496"/>
      <c r="I95" s="497"/>
    </row>
    <row r="96" spans="1:9" ht="15">
      <c r="A96" s="491" t="s">
        <v>181</v>
      </c>
      <c r="B96" s="291" t="s">
        <v>11</v>
      </c>
      <c r="C96" s="621" t="e">
        <f>I150</f>
        <v>#REF!</v>
      </c>
      <c r="D96" s="617"/>
      <c r="E96" s="267"/>
      <c r="F96" s="617"/>
      <c r="G96" s="267"/>
      <c r="H96" s="617"/>
      <c r="I96" s="265" t="s">
        <v>11</v>
      </c>
    </row>
    <row r="97" spans="1:9" ht="15">
      <c r="A97" s="491" t="s">
        <v>68</v>
      </c>
      <c r="B97" s="280" t="s">
        <v>11</v>
      </c>
      <c r="C97" s="621">
        <f>B133</f>
        <v>0</v>
      </c>
      <c r="D97" s="600"/>
      <c r="E97" s="612">
        <f>+C97</f>
        <v>0</v>
      </c>
      <c r="F97" s="600"/>
      <c r="G97" s="612">
        <f>+C97</f>
        <v>0</v>
      </c>
      <c r="H97" s="600"/>
      <c r="I97" s="283">
        <f>+C97</f>
        <v>0</v>
      </c>
    </row>
    <row r="98" spans="1:9" ht="15">
      <c r="A98" s="491" t="s">
        <v>60</v>
      </c>
      <c r="B98" s="280" t="s">
        <v>11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69</v>
      </c>
      <c r="B99" s="280" t="s">
        <v>11</v>
      </c>
      <c r="C99" s="621">
        <f>B141</f>
        <v>163.95699999999999</v>
      </c>
      <c r="D99" s="618"/>
      <c r="E99" s="267"/>
      <c r="F99" s="600"/>
      <c r="G99" s="267"/>
      <c r="H99" s="600"/>
      <c r="I99" s="265"/>
    </row>
    <row r="100" spans="1:9" ht="15">
      <c r="A100" s="491" t="s">
        <v>420</v>
      </c>
      <c r="B100" s="284" t="s">
        <v>11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421</v>
      </c>
      <c r="B101" s="280" t="s">
        <v>11</v>
      </c>
      <c r="C101" s="621" t="e">
        <f>I146</f>
        <v>#REF!</v>
      </c>
      <c r="D101" s="600" t="s">
        <v>11</v>
      </c>
      <c r="E101" s="267"/>
      <c r="F101" s="600"/>
      <c r="G101" s="267"/>
      <c r="H101" s="600"/>
      <c r="I101" s="265"/>
    </row>
    <row r="102" spans="1:9" ht="15">
      <c r="A102" s="491" t="s">
        <v>37</v>
      </c>
      <c r="B102" s="280" t="s">
        <v>171</v>
      </c>
      <c r="C102" s="621">
        <f>B162</f>
        <v>144.11600000000001</v>
      </c>
      <c r="D102" s="600"/>
      <c r="E102" s="267"/>
      <c r="F102" s="600"/>
      <c r="G102" s="267"/>
      <c r="H102" s="600"/>
      <c r="I102" s="265"/>
    </row>
    <row r="103" spans="1:9" ht="15">
      <c r="A103" s="491" t="s">
        <v>98</v>
      </c>
      <c r="B103" s="280" t="s">
        <v>11</v>
      </c>
      <c r="C103" s="621">
        <f>PGL_Requirements!G7/1000</f>
        <v>0</v>
      </c>
      <c r="D103" s="618"/>
      <c r="E103" s="267"/>
      <c r="F103" s="600"/>
      <c r="G103" s="267"/>
      <c r="H103" s="600"/>
      <c r="I103" s="265"/>
    </row>
    <row r="104" spans="1:9" ht="15.75" thickBot="1">
      <c r="A104" s="290" t="s">
        <v>109</v>
      </c>
      <c r="B104" s="613" t="s">
        <v>11</v>
      </c>
      <c r="C104" s="621">
        <f>PGL_Supplies!B7/1000</f>
        <v>5</v>
      </c>
      <c r="D104" s="599"/>
      <c r="E104" s="267"/>
      <c r="F104" s="600"/>
      <c r="G104" s="267"/>
      <c r="H104" s="600"/>
      <c r="I104" s="265"/>
    </row>
    <row r="105" spans="1:9" ht="16.5" thickBot="1">
      <c r="A105" s="614" t="s">
        <v>422</v>
      </c>
      <c r="B105" s="615" t="s">
        <v>11</v>
      </c>
      <c r="C105" s="509" t="s">
        <v>11</v>
      </c>
      <c r="D105" s="619" t="s">
        <v>11</v>
      </c>
      <c r="E105" s="616" t="s">
        <v>11</v>
      </c>
      <c r="F105" s="619" t="s">
        <v>11</v>
      </c>
      <c r="G105" s="616" t="s">
        <v>11</v>
      </c>
      <c r="H105" s="619" t="s">
        <v>11</v>
      </c>
      <c r="I105" s="620"/>
    </row>
    <row r="106" spans="1:9" ht="16.5" thickBot="1">
      <c r="A106" s="502" t="s">
        <v>38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423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424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425</v>
      </c>
      <c r="B109" s="280">
        <f>+B129</f>
        <v>0</v>
      </c>
      <c r="C109" s="266"/>
      <c r="D109" s="264"/>
      <c r="E109" s="266"/>
      <c r="F109" s="295" t="s">
        <v>11</v>
      </c>
      <c r="G109" s="304"/>
      <c r="H109" s="296" t="s">
        <v>11</v>
      </c>
      <c r="I109" s="258"/>
    </row>
    <row r="110" spans="1:9" ht="15.75">
      <c r="A110" s="510" t="s">
        <v>426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11</v>
      </c>
      <c r="I110" s="302" t="s">
        <v>11</v>
      </c>
    </row>
    <row r="111" spans="1:9" ht="16.5" thickBot="1">
      <c r="A111" s="511" t="s">
        <v>427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428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75">
      <c r="A113" s="423" t="s">
        <v>429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75">
      <c r="A114" s="330" t="s">
        <v>430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431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432</v>
      </c>
      <c r="B116" s="417">
        <f>-PGL_Supplies!Z7/1000</f>
        <v>-40.200000000000003</v>
      </c>
      <c r="C116" s="417">
        <f>-NSG_Supplies!W7/1000</f>
        <v>0</v>
      </c>
      <c r="D116" s="313">
        <f>-PGL_Supplies!Z7/1000</f>
        <v>-40.200000000000003</v>
      </c>
      <c r="E116" s="313">
        <f>-NSG_Supplies!W7/1000</f>
        <v>0</v>
      </c>
      <c r="F116" s="313">
        <f>-PGL_Supplies!Z7/1000</f>
        <v>-40.200000000000003</v>
      </c>
      <c r="G116" s="313">
        <f>-NSG_Supplies!W7/1000</f>
        <v>0</v>
      </c>
      <c r="H116" s="318">
        <f>-PGL_Supplies!Z7/1000</f>
        <v>-40.200000000000003</v>
      </c>
      <c r="I116" s="319">
        <f>-NSG_Supplies!W7/1000</f>
        <v>0</v>
      </c>
    </row>
    <row r="117" spans="1:9" ht="15">
      <c r="A117" s="423" t="s">
        <v>433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75">
      <c r="A118" s="423" t="s">
        <v>435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436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196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75">
      <c r="A121" s="423" t="s">
        <v>434</v>
      </c>
      <c r="B121" s="308">
        <f>PGL_Requirements!AD7/1000</f>
        <v>0</v>
      </c>
      <c r="C121" s="308" t="s">
        <v>11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75">
      <c r="A122" s="423" t="s">
        <v>437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438</v>
      </c>
      <c r="B123" s="313">
        <f>-PGL_Supplies!X7/1000</f>
        <v>-0.3</v>
      </c>
      <c r="C123" s="313">
        <f>-NSG_Supplies!S7/1000</f>
        <v>-18.998000000000001</v>
      </c>
      <c r="D123" s="311"/>
      <c r="E123" s="311"/>
      <c r="F123" s="311"/>
      <c r="G123" s="311"/>
      <c r="H123" s="315"/>
      <c r="I123" s="316"/>
    </row>
    <row r="124" spans="1:9" ht="16.5" thickBot="1">
      <c r="A124" s="324" t="s">
        <v>11</v>
      </c>
      <c r="B124" s="485" t="s">
        <v>11</v>
      </c>
      <c r="C124" s="514" t="s">
        <v>68</v>
      </c>
      <c r="D124" s="484"/>
      <c r="E124" s="326"/>
      <c r="F124" s="327" t="s">
        <v>201</v>
      </c>
      <c r="G124" s="326"/>
      <c r="H124" s="328"/>
      <c r="I124" s="329"/>
    </row>
    <row r="125" spans="1:9" ht="15">
      <c r="A125" s="423" t="s">
        <v>439</v>
      </c>
      <c r="B125" s="313">
        <f>PGL_Requirements!U7/1000</f>
        <v>40.200000000000003</v>
      </c>
      <c r="F125" s="540" t="s">
        <v>11</v>
      </c>
      <c r="G125" s="541"/>
      <c r="H125" s="608"/>
      <c r="I125" s="334"/>
    </row>
    <row r="126" spans="1:9" ht="15">
      <c r="A126" s="423" t="s">
        <v>396</v>
      </c>
      <c r="B126" s="322">
        <f>PGL_Supplies!R7/1000</f>
        <v>0</v>
      </c>
      <c r="C126" s="313" t="s">
        <v>11</v>
      </c>
      <c r="D126" s="311"/>
      <c r="E126" s="331"/>
      <c r="F126" s="423" t="s">
        <v>459</v>
      </c>
      <c r="G126" s="542"/>
      <c r="H126" s="547"/>
      <c r="I126" s="334"/>
    </row>
    <row r="127" spans="1:9" ht="15">
      <c r="A127" s="423" t="s">
        <v>489</v>
      </c>
      <c r="B127" s="313">
        <f>PGL_Requirements!O7/1000</f>
        <v>0</v>
      </c>
      <c r="C127" s="313" t="s">
        <v>11</v>
      </c>
      <c r="D127" s="311"/>
      <c r="E127" s="331"/>
      <c r="F127" s="423" t="s">
        <v>460</v>
      </c>
      <c r="G127" s="542"/>
      <c r="H127" s="315"/>
      <c r="I127" s="334"/>
    </row>
    <row r="128" spans="1:9" ht="15">
      <c r="A128" s="423" t="s">
        <v>429</v>
      </c>
      <c r="B128" s="313">
        <f>PGL_Requirements!I7/1000</f>
        <v>0</v>
      </c>
      <c r="C128" s="313" t="s">
        <v>11</v>
      </c>
      <c r="D128" s="311"/>
      <c r="E128" s="331"/>
      <c r="F128" s="423" t="s">
        <v>461</v>
      </c>
      <c r="G128" s="542"/>
      <c r="H128" s="315"/>
      <c r="I128" s="334"/>
    </row>
    <row r="129" spans="1:9" ht="15">
      <c r="A129" s="423" t="s">
        <v>440</v>
      </c>
      <c r="B129" s="313">
        <f>PGL_Requirements!C7/1000</f>
        <v>0</v>
      </c>
      <c r="C129" s="311"/>
      <c r="D129" s="311"/>
      <c r="E129" s="331"/>
      <c r="F129" s="423" t="s">
        <v>462</v>
      </c>
      <c r="G129" s="542"/>
      <c r="H129" s="315"/>
      <c r="I129" s="334"/>
    </row>
    <row r="130" spans="1:9" ht="15">
      <c r="A130" s="423" t="s">
        <v>441</v>
      </c>
      <c r="B130" s="313">
        <f>PGL_Requirements!AA7/1000</f>
        <v>0</v>
      </c>
      <c r="C130" s="592"/>
      <c r="D130" s="311"/>
      <c r="E130" s="331"/>
      <c r="F130" s="423" t="s">
        <v>463</v>
      </c>
      <c r="G130" s="542"/>
      <c r="H130" s="315"/>
      <c r="I130" s="334"/>
    </row>
    <row r="131" spans="1:9" ht="15">
      <c r="A131" s="415" t="s">
        <v>108</v>
      </c>
      <c r="B131" s="322">
        <f>PGL_Supplies!Z7/1000</f>
        <v>40.200000000000003</v>
      </c>
      <c r="C131" s="311"/>
      <c r="D131" s="311"/>
      <c r="E131" s="331"/>
      <c r="F131" s="368" t="s">
        <v>464</v>
      </c>
      <c r="G131" s="542"/>
      <c r="H131" s="315"/>
      <c r="I131" s="334"/>
    </row>
    <row r="132" spans="1:9" ht="15.75" thickBot="1">
      <c r="A132" s="423" t="s">
        <v>392</v>
      </c>
      <c r="B132" s="322">
        <f>PGL_Supplies!U7/1000</f>
        <v>0</v>
      </c>
      <c r="C132" s="347"/>
      <c r="D132" s="347"/>
      <c r="E132" s="552"/>
      <c r="F132" s="423" t="s">
        <v>465</v>
      </c>
      <c r="G132" s="542"/>
      <c r="H132" s="315"/>
      <c r="I132" s="334"/>
    </row>
    <row r="133" spans="1:9" ht="16.5" thickBot="1">
      <c r="A133" s="557" t="s">
        <v>442</v>
      </c>
      <c r="B133" s="564">
        <f>B126+B127+B130+B131+B132-B125-B128-B129</f>
        <v>0</v>
      </c>
      <c r="C133" s="529"/>
      <c r="D133" s="529"/>
      <c r="E133" s="519"/>
      <c r="F133" s="423" t="s">
        <v>466</v>
      </c>
      <c r="G133" s="542"/>
      <c r="H133" s="315"/>
      <c r="I133" s="334"/>
    </row>
    <row r="134" spans="1:9" ht="15.75" thickBot="1">
      <c r="A134" s="553" t="s">
        <v>11</v>
      </c>
      <c r="B134" s="554" t="s">
        <v>11</v>
      </c>
      <c r="C134" s="555" t="s">
        <v>69</v>
      </c>
      <c r="D134" s="556"/>
      <c r="E134" s="556" t="s">
        <v>11</v>
      </c>
      <c r="F134" s="544" t="s">
        <v>467</v>
      </c>
      <c r="G134" s="543"/>
      <c r="H134" s="315"/>
      <c r="I134" s="334"/>
    </row>
    <row r="135" spans="1:9" ht="15">
      <c r="A135" s="423" t="s">
        <v>429</v>
      </c>
      <c r="B135" s="134">
        <f>PGL_Requirements!J7</f>
        <v>0</v>
      </c>
      <c r="C135" s="8"/>
      <c r="D135" s="8"/>
      <c r="E135" s="8"/>
      <c r="F135" s="545" t="s">
        <v>468</v>
      </c>
      <c r="G135" s="543"/>
      <c r="H135" s="348"/>
      <c r="I135" s="334"/>
    </row>
    <row r="136" spans="1:9" ht="15">
      <c r="A136" s="423" t="s">
        <v>443</v>
      </c>
      <c r="B136" s="322">
        <f>NSG_Supplies!O7/1011</f>
        <v>0</v>
      </c>
      <c r="C136" s="311"/>
      <c r="D136" s="311"/>
      <c r="E136" s="311"/>
      <c r="F136" s="423" t="s">
        <v>469</v>
      </c>
      <c r="G136" s="542"/>
      <c r="H136" s="350"/>
      <c r="I136" s="334"/>
    </row>
    <row r="137" spans="1:9" ht="15">
      <c r="A137" s="423" t="s">
        <v>444</v>
      </c>
      <c r="B137" s="322">
        <f>PGL_Supplies!AA7/1000</f>
        <v>0</v>
      </c>
      <c r="C137" s="592"/>
      <c r="D137" s="311"/>
      <c r="E137" s="311"/>
      <c r="F137" s="423" t="s">
        <v>470</v>
      </c>
      <c r="G137" s="542"/>
      <c r="H137" s="315"/>
      <c r="I137" s="334"/>
    </row>
    <row r="138" spans="1:9" ht="15">
      <c r="A138" s="423" t="s">
        <v>445</v>
      </c>
      <c r="B138" s="134">
        <f>PGL_Requirements!D7</f>
        <v>0</v>
      </c>
      <c r="C138" s="311"/>
      <c r="D138" s="311"/>
      <c r="E138" s="311"/>
      <c r="F138" s="423" t="s">
        <v>402</v>
      </c>
      <c r="G138" s="542"/>
      <c r="H138" s="350"/>
      <c r="I138" s="334"/>
    </row>
    <row r="139" spans="1:9" ht="15">
      <c r="A139" s="423" t="s">
        <v>446</v>
      </c>
      <c r="B139" s="322">
        <f>PGL_Supplies!D7/1000</f>
        <v>0</v>
      </c>
      <c r="C139" s="311"/>
      <c r="D139" s="311"/>
      <c r="E139" s="311"/>
      <c r="F139" s="368" t="s">
        <v>471</v>
      </c>
      <c r="G139" s="546"/>
      <c r="H139" s="537"/>
      <c r="I139" s="334"/>
    </row>
    <row r="140" spans="1:9" ht="15.75" thickBot="1">
      <c r="A140" s="423" t="s">
        <v>392</v>
      </c>
      <c r="B140" s="322">
        <f>PGL_Supplies!V7/1000</f>
        <v>163.95699999999999</v>
      </c>
      <c r="C140" s="347"/>
      <c r="D140" s="347"/>
      <c r="E140" s="347"/>
      <c r="F140" s="368" t="s">
        <v>472</v>
      </c>
      <c r="G140" s="546"/>
      <c r="H140" s="548"/>
      <c r="I140" s="334"/>
    </row>
    <row r="141" spans="1:9" ht="16.5" thickBot="1">
      <c r="A141" s="557" t="s">
        <v>442</v>
      </c>
      <c r="B141" s="559">
        <f>-B135+B136+B137-B138+B139+B140</f>
        <v>163.95699999999999</v>
      </c>
      <c r="C141" s="560"/>
      <c r="D141" s="529"/>
      <c r="E141" s="530"/>
      <c r="F141" s="549" t="s">
        <v>223</v>
      </c>
      <c r="G141" s="550"/>
      <c r="H141" s="551"/>
      <c r="I141" s="334"/>
    </row>
    <row r="142" spans="1:9" ht="16.5" thickBot="1">
      <c r="A142" s="553" t="s">
        <v>11</v>
      </c>
      <c r="B142" s="558" t="s">
        <v>11</v>
      </c>
      <c r="C142" s="555" t="s">
        <v>60</v>
      </c>
      <c r="D142" s="556"/>
      <c r="E142" s="556"/>
      <c r="F142" s="526" t="s">
        <v>11</v>
      </c>
      <c r="G142" s="527" t="s">
        <v>473</v>
      </c>
      <c r="H142" s="527" t="s">
        <v>11</v>
      </c>
      <c r="I142" s="358"/>
    </row>
    <row r="143" spans="1:9" ht="15">
      <c r="A143" s="423" t="s">
        <v>72</v>
      </c>
      <c r="B143" s="322">
        <f>PGL_Requirements!P7/1000</f>
        <v>150</v>
      </c>
      <c r="C143" s="311"/>
      <c r="D143" s="311"/>
      <c r="E143" s="311"/>
      <c r="F143" s="566" t="s">
        <v>425</v>
      </c>
      <c r="G143" s="539"/>
      <c r="H143" s="561" t="s">
        <v>11</v>
      </c>
      <c r="I143" s="364">
        <f>NSG_Supplies!AC7/1000</f>
        <v>0</v>
      </c>
    </row>
    <row r="144" spans="1:9" ht="15">
      <c r="A144" s="423" t="s">
        <v>447</v>
      </c>
      <c r="B144" s="322">
        <f>PGL_Supplies!M7/1000</f>
        <v>0</v>
      </c>
      <c r="C144" s="311"/>
      <c r="D144" s="311"/>
      <c r="E144" s="311"/>
      <c r="F144" s="359" t="s">
        <v>474</v>
      </c>
      <c r="G144" s="311"/>
      <c r="H144" s="386" t="s">
        <v>11</v>
      </c>
      <c r="I144" s="364">
        <f>NSG_Supplies!O7/1000</f>
        <v>0</v>
      </c>
    </row>
    <row r="145" spans="1:9" ht="15.75" thickBot="1">
      <c r="A145" s="423" t="s">
        <v>448</v>
      </c>
      <c r="B145" s="322">
        <f>PGL_Requirements!B7/1000</f>
        <v>0</v>
      </c>
      <c r="C145" s="311"/>
      <c r="D145" s="311"/>
      <c r="E145" s="311"/>
      <c r="F145" s="535" t="s">
        <v>475</v>
      </c>
      <c r="G145" s="353"/>
      <c r="H145" s="524" t="s">
        <v>11</v>
      </c>
      <c r="I145" s="405"/>
    </row>
    <row r="146" spans="1:9" ht="15.75" thickBot="1">
      <c r="A146" s="423" t="s">
        <v>449</v>
      </c>
      <c r="B146" s="322">
        <f>PGL_Supplies!H7/1000</f>
        <v>1</v>
      </c>
      <c r="C146" s="311"/>
      <c r="D146" s="311"/>
      <c r="E146" s="311"/>
      <c r="F146" s="563" t="s">
        <v>451</v>
      </c>
      <c r="G146" s="529"/>
      <c r="H146" s="564" t="s">
        <v>11</v>
      </c>
      <c r="I146" s="565" t="e">
        <f>PGL_Requirements!#REF!/1000</f>
        <v>#REF!</v>
      </c>
    </row>
    <row r="147" spans="1:9" ht="16.5" thickBot="1">
      <c r="A147" s="368" t="s">
        <v>426</v>
      </c>
      <c r="B147" s="322" t="s">
        <v>11</v>
      </c>
      <c r="C147" s="311"/>
      <c r="D147" s="311"/>
      <c r="E147" s="311"/>
      <c r="F147" s="356" t="s">
        <v>476</v>
      </c>
      <c r="G147" s="357"/>
      <c r="H147" s="357"/>
      <c r="I147" s="358"/>
    </row>
    <row r="148" spans="1:9" ht="15.75" thickBot="1">
      <c r="A148" s="423" t="s">
        <v>450</v>
      </c>
      <c r="B148" s="322">
        <f>PGL_Requirements!Q7/1000</f>
        <v>2.25</v>
      </c>
      <c r="C148" s="347"/>
      <c r="D148" s="347"/>
      <c r="E148" s="347"/>
      <c r="F148" s="540" t="s">
        <v>477</v>
      </c>
      <c r="G148" s="541"/>
      <c r="H148" s="567" t="s">
        <v>11</v>
      </c>
      <c r="I148" s="568">
        <f>+NSG_Supplies!Z7/1000</f>
        <v>0</v>
      </c>
    </row>
    <row r="149" spans="1:9" ht="16.5" thickBot="1">
      <c r="A149" s="516" t="s">
        <v>451</v>
      </c>
      <c r="B149" s="517">
        <f>B144+B146</f>
        <v>1</v>
      </c>
      <c r="C149" s="518"/>
      <c r="D149" s="518"/>
      <c r="E149" s="519"/>
      <c r="F149" s="423" t="s">
        <v>11</v>
      </c>
      <c r="G149" s="542"/>
      <c r="H149" s="569" t="s">
        <v>11</v>
      </c>
      <c r="I149" s="570">
        <f>NSG_Supplies!AA7/1000</f>
        <v>0</v>
      </c>
    </row>
    <row r="150" spans="1:9" ht="15.75" thickBot="1">
      <c r="A150" s="423" t="s">
        <v>217</v>
      </c>
      <c r="B150" s="520">
        <f>PGL_Deliveries!AE5</f>
        <v>0</v>
      </c>
      <c r="C150" s="521"/>
      <c r="D150" s="521"/>
      <c r="E150" s="522"/>
      <c r="F150" s="563" t="s">
        <v>451</v>
      </c>
      <c r="G150" s="529"/>
      <c r="H150" s="564" t="s">
        <v>11</v>
      </c>
      <c r="I150" s="565" t="e">
        <f>PGL_Requirements!#REF!/1000</f>
        <v>#REF!</v>
      </c>
    </row>
    <row r="151" spans="1:9" ht="16.5" thickBot="1">
      <c r="A151" s="423" t="s">
        <v>215</v>
      </c>
      <c r="B151" s="520">
        <f>PGL_Deliveries!AG5</f>
        <v>0</v>
      </c>
      <c r="C151" s="375"/>
      <c r="D151" s="375"/>
      <c r="E151" s="375"/>
      <c r="F151" s="356" t="s">
        <v>420</v>
      </c>
      <c r="G151" s="357"/>
      <c r="H151" s="357"/>
      <c r="I151" s="358"/>
    </row>
    <row r="152" spans="1:9" ht="15.75" thickBot="1">
      <c r="A152" s="344" t="s">
        <v>11</v>
      </c>
      <c r="B152" s="325"/>
      <c r="C152" s="515" t="s">
        <v>37</v>
      </c>
      <c r="D152" s="345"/>
      <c r="E152" s="481" t="s">
        <v>11</v>
      </c>
      <c r="F152" s="540" t="s">
        <v>478</v>
      </c>
      <c r="G152" s="541"/>
      <c r="H152" s="572"/>
      <c r="I152" s="386">
        <f>PGL_Requirements!T7/1000</f>
        <v>0</v>
      </c>
    </row>
    <row r="153" spans="1:9" ht="15">
      <c r="A153" s="423" t="s">
        <v>452</v>
      </c>
      <c r="B153" s="386">
        <f>PGL_Requirements!N7/1000</f>
        <v>0</v>
      </c>
      <c r="C153" s="311"/>
      <c r="D153" s="311"/>
      <c r="E153" s="378"/>
      <c r="F153" s="536" t="s">
        <v>479</v>
      </c>
      <c r="G153" s="543"/>
      <c r="H153" s="538"/>
      <c r="I153" s="386">
        <f>PGL_Requirements!T7/1000</f>
        <v>0</v>
      </c>
    </row>
    <row r="154" spans="1:9" ht="15">
      <c r="A154" s="423" t="s">
        <v>453</v>
      </c>
      <c r="B154" s="322">
        <f>PGL_Supplies!AE7/1000</f>
        <v>0</v>
      </c>
      <c r="C154" s="379" t="s">
        <v>11</v>
      </c>
      <c r="D154" s="311"/>
      <c r="E154" s="380"/>
      <c r="F154" s="535" t="s">
        <v>480</v>
      </c>
      <c r="G154" s="542"/>
      <c r="H154" s="538"/>
      <c r="I154" s="322">
        <f>PGL_Supplies!AL7/1000</f>
        <v>0</v>
      </c>
    </row>
    <row r="155" spans="1:9" ht="15">
      <c r="A155" s="423" t="s">
        <v>454</v>
      </c>
      <c r="B155" s="386">
        <f>PGL_Requirements!F7/1000</f>
        <v>4</v>
      </c>
      <c r="C155" s="379" t="s">
        <v>11</v>
      </c>
      <c r="D155" s="311"/>
      <c r="E155" s="380"/>
      <c r="F155" s="423" t="s">
        <v>108</v>
      </c>
      <c r="G155" s="571"/>
      <c r="H155" s="538"/>
      <c r="I155" s="322">
        <f>PGL_Supplies!AL8/1000</f>
        <v>0</v>
      </c>
    </row>
    <row r="156" spans="1:9" ht="15.75" thickBot="1">
      <c r="A156" s="423" t="s">
        <v>455</v>
      </c>
      <c r="B156" s="322">
        <f>PGL_Supplies!G7/1000</f>
        <v>0</v>
      </c>
      <c r="C156" s="387" t="s">
        <v>11</v>
      </c>
      <c r="D156" s="311"/>
      <c r="E156" s="380"/>
      <c r="F156" s="368" t="s">
        <v>392</v>
      </c>
      <c r="G156" s="571"/>
      <c r="H156" s="548"/>
      <c r="I156" s="322">
        <f>PGL_Supplies!AL9/1000</f>
        <v>0</v>
      </c>
    </row>
    <row r="157" spans="1:9" ht="15.75">
      <c r="A157" s="423" t="s">
        <v>456</v>
      </c>
      <c r="B157" s="386">
        <f>PGL_Requirements!T7/1000</f>
        <v>0</v>
      </c>
      <c r="C157" s="379" t="s">
        <v>11</v>
      </c>
      <c r="D157" s="311"/>
      <c r="E157" s="380"/>
      <c r="F157" s="573" t="s">
        <v>481</v>
      </c>
      <c r="G157" s="574"/>
      <c r="H157" s="572"/>
      <c r="I157" s="575">
        <v>0</v>
      </c>
    </row>
    <row r="158" spans="1:9" ht="15.75" thickBot="1">
      <c r="A158" s="423" t="s">
        <v>457</v>
      </c>
      <c r="B158" s="322">
        <f>PGL_Supplies!P7/1000</f>
        <v>0</v>
      </c>
      <c r="C158" s="387" t="s">
        <v>11</v>
      </c>
      <c r="D158" s="311"/>
      <c r="E158" s="489"/>
      <c r="F158" s="576" t="s">
        <v>482</v>
      </c>
      <c r="G158" s="390"/>
      <c r="H158" s="577"/>
      <c r="I158" s="578">
        <v>0</v>
      </c>
    </row>
    <row r="159" spans="1:9" ht="16.5" thickBot="1">
      <c r="A159" s="423" t="s">
        <v>108</v>
      </c>
      <c r="B159" s="322">
        <f>PGL_Supplies!AD7/1000</f>
        <v>4</v>
      </c>
      <c r="C159" s="387" t="s">
        <v>11</v>
      </c>
      <c r="D159" s="311"/>
      <c r="E159" s="380"/>
      <c r="F159" s="526" t="s">
        <v>250</v>
      </c>
      <c r="G159" s="527"/>
      <c r="H159" s="528"/>
      <c r="I159" s="358"/>
    </row>
    <row r="160" spans="1:9" ht="15.75" thickBot="1">
      <c r="A160" s="423" t="s">
        <v>392</v>
      </c>
      <c r="B160" s="609">
        <f>PGL_Supplies!Y7/1000</f>
        <v>144.11600000000001</v>
      </c>
      <c r="C160" s="525" t="s">
        <v>11</v>
      </c>
      <c r="D160" s="347"/>
      <c r="E160" s="523"/>
      <c r="F160" s="579" t="s">
        <v>483</v>
      </c>
      <c r="G160" s="539" t="s">
        <v>11</v>
      </c>
      <c r="H160" s="521"/>
      <c r="I160" s="584"/>
    </row>
    <row r="161" spans="1:9" ht="16.5" thickBot="1">
      <c r="A161" s="593" t="s">
        <v>458</v>
      </c>
      <c r="B161" s="611"/>
      <c r="C161" s="531" t="s">
        <v>11</v>
      </c>
      <c r="D161" s="532"/>
      <c r="E161" s="533"/>
      <c r="F161" s="562" t="s">
        <v>484</v>
      </c>
      <c r="G161" s="347"/>
      <c r="H161" s="582"/>
      <c r="I161" s="583" t="s">
        <v>11</v>
      </c>
    </row>
    <row r="162" spans="1:9" ht="16.5" thickBot="1">
      <c r="A162" s="397" t="s">
        <v>451</v>
      </c>
      <c r="B162" s="610">
        <f>B154+B156+B158+B159+B160-B153-B155-B157-B161</f>
        <v>144.11600000000001</v>
      </c>
      <c r="C162" s="398"/>
      <c r="D162" s="399"/>
      <c r="E162" s="534"/>
      <c r="F162" s="580" t="s">
        <v>254</v>
      </c>
      <c r="G162" s="529"/>
      <c r="H162" s="518"/>
      <c r="I162" s="581"/>
    </row>
    <row r="163" spans="1:9" ht="12.75" thickBot="1">
      <c r="A163" s="594"/>
      <c r="B163" s="595" t="s">
        <v>485</v>
      </c>
      <c r="C163" s="595"/>
      <c r="D163" s="595" t="s">
        <v>486</v>
      </c>
      <c r="E163" s="595"/>
      <c r="F163" s="595"/>
      <c r="G163" s="595"/>
      <c r="H163" s="596" t="s">
        <v>257</v>
      </c>
      <c r="I163" s="597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75">
      <c r="D11" s="196" t="s">
        <v>263</v>
      </c>
    </row>
    <row r="12" spans="1:10" ht="15.75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37038.173529629632</v>
      </c>
      <c r="F22" s="163" t="s">
        <v>270</v>
      </c>
      <c r="G22" s="190">
        <f ca="1">NOW()</f>
        <v>37038.173529629632</v>
      </c>
    </row>
    <row r="24" spans="2:9">
      <c r="B24" s="163" t="s">
        <v>271</v>
      </c>
      <c r="D24" s="227" t="s">
        <v>406</v>
      </c>
      <c r="E24" t="s">
        <v>11</v>
      </c>
      <c r="F24" s="163" t="s">
        <v>272</v>
      </c>
      <c r="G24" s="164" t="s">
        <v>273</v>
      </c>
    </row>
    <row r="25" spans="2:9" ht="15.75" thickBot="1"/>
    <row r="26" spans="2:9" ht="15.75" thickBot="1">
      <c r="B26" s="208" t="s">
        <v>11</v>
      </c>
      <c r="C26" s="163" t="s">
        <v>274</v>
      </c>
    </row>
    <row r="27" spans="2:9" ht="15.75" thickBot="1">
      <c r="B27" s="208" t="s">
        <v>11</v>
      </c>
      <c r="C27" s="163" t="s">
        <v>275</v>
      </c>
    </row>
    <row r="28" spans="2:9" ht="15.75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7">
        <v>35915</v>
      </c>
    </row>
    <row r="34" spans="2:8" ht="15.75">
      <c r="B34" s="163" t="s">
        <v>277</v>
      </c>
      <c r="E34" s="189">
        <v>0</v>
      </c>
      <c r="F34" t="s">
        <v>278</v>
      </c>
    </row>
    <row r="36" spans="2:8" ht="15.75">
      <c r="B36" s="163" t="s">
        <v>279</v>
      </c>
      <c r="E36" s="189">
        <v>0</v>
      </c>
      <c r="F36" t="s">
        <v>278</v>
      </c>
    </row>
    <row r="38" spans="2:8" ht="15.75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75">
      <c r="E39" s="165">
        <f>+E38+1</f>
        <v>35917</v>
      </c>
      <c r="F39" s="189">
        <v>0</v>
      </c>
      <c r="G39" t="s">
        <v>278</v>
      </c>
    </row>
    <row r="40" spans="2:8" ht="15.75">
      <c r="E40" s="165">
        <f>+E39+1</f>
        <v>35918</v>
      </c>
      <c r="F40" s="189">
        <v>0</v>
      </c>
      <c r="G40" t="s">
        <v>278</v>
      </c>
    </row>
    <row r="41" spans="2:8" ht="15.75">
      <c r="E41" s="165">
        <f>+E40+1</f>
        <v>35919</v>
      </c>
      <c r="F41" s="189">
        <v>0</v>
      </c>
      <c r="G41" t="s">
        <v>278</v>
      </c>
    </row>
    <row r="42" spans="2:8" ht="15.75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0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37037</v>
      </c>
      <c r="C5" s="15"/>
      <c r="D5" s="22" t="s">
        <v>288</v>
      </c>
      <c r="E5" s="23">
        <f>Weather_Input!B5</f>
        <v>56</v>
      </c>
      <c r="F5" s="24" t="s">
        <v>289</v>
      </c>
      <c r="G5" s="25">
        <f>Weather_Input!H5</f>
        <v>17</v>
      </c>
      <c r="H5" s="26" t="s">
        <v>290</v>
      </c>
      <c r="I5" s="27">
        <f ca="1">G5-(VLOOKUP(B5,DD_Normal_Data,CELL("Col",B6),FALSE))</f>
        <v>12</v>
      </c>
    </row>
    <row r="6" spans="1:109" ht="15">
      <c r="A6" s="18"/>
      <c r="B6" s="21"/>
      <c r="C6" s="15"/>
      <c r="D6" s="22" t="s">
        <v>175</v>
      </c>
      <c r="E6" s="23">
        <f>Weather_Input!C5</f>
        <v>47</v>
      </c>
      <c r="F6" s="24" t="s">
        <v>291</v>
      </c>
      <c r="G6" s="25">
        <f>Weather_Input!F5</f>
        <v>153</v>
      </c>
      <c r="H6" s="26" t="s">
        <v>292</v>
      </c>
      <c r="I6" s="27">
        <f ca="1">G6-(VLOOKUP(B5,DD_Normal_Data,CELL("Col",C7),FALSE))</f>
        <v>-51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51.5</v>
      </c>
      <c r="F7" s="24" t="s">
        <v>294</v>
      </c>
      <c r="G7" s="25">
        <f>Weather_Input!G5</f>
        <v>6560</v>
      </c>
      <c r="H7" s="26" t="s">
        <v>294</v>
      </c>
      <c r="I7" s="122">
        <f ca="1">G7-(VLOOKUP(B5,DD_Normal_Data,CELL("Col",D4),FALSE))</f>
        <v>205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CLOUDY MOST OF THE TIME WITH NOTHING MORE THAN A COUPLE OF SHOWERS.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37038</v>
      </c>
      <c r="C10" s="15"/>
      <c r="D10" s="152" t="s">
        <v>288</v>
      </c>
      <c r="E10" s="23">
        <f>Weather_Input!B6</f>
        <v>65</v>
      </c>
      <c r="F10" s="24" t="s">
        <v>289</v>
      </c>
      <c r="G10" s="25">
        <f>IF(E12&lt;65,65-(Weather_Input!B6+Weather_Input!C6)/2,0)</f>
        <v>8.5</v>
      </c>
      <c r="H10" s="26" t="s">
        <v>290</v>
      </c>
      <c r="I10" s="27">
        <f ca="1">G10-(VLOOKUP(B10,DD_Normal_Data,CELL("Col",B11),FALSE))</f>
        <v>3.5</v>
      </c>
    </row>
    <row r="11" spans="1:109" ht="15">
      <c r="A11" s="18"/>
      <c r="B11" s="21"/>
      <c r="C11" s="15"/>
      <c r="D11" s="22" t="s">
        <v>175</v>
      </c>
      <c r="E11" s="23">
        <f>Weather_Input!C6</f>
        <v>48</v>
      </c>
      <c r="F11" s="24" t="s">
        <v>291</v>
      </c>
      <c r="G11" s="25">
        <f>IF(DAY(B10)=1,G10,G6+G10)</f>
        <v>161.5</v>
      </c>
      <c r="H11" s="30" t="s">
        <v>292</v>
      </c>
      <c r="I11" s="27">
        <f ca="1">G11-(VLOOKUP(B10,DD_Normal_Data,CELL("Col",C12),FALSE))</f>
        <v>-47.5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56.5</v>
      </c>
      <c r="F12" s="24" t="s">
        <v>294</v>
      </c>
      <c r="G12" s="25">
        <f>IF(AND(DAY(B10)=1,MONTH(B10)=8),G10,G7+G10)</f>
        <v>6568.5</v>
      </c>
      <c r="H12" s="26" t="s">
        <v>294</v>
      </c>
      <c r="I12" s="27">
        <f ca="1">G12-(VLOOKUP(B10,DD_Normal_Data,CELL("Col",D9),FALSE))</f>
        <v>208.5</v>
      </c>
    </row>
    <row r="13" spans="1:109" ht="15">
      <c r="A13" s="18"/>
      <c r="B13" s="21"/>
      <c r="C13" s="15"/>
      <c r="D13" s="32" t="str">
        <f>IF(Weather_Input!I6=""," ",Weather_Input!I6)</f>
        <v xml:space="preserve">  IT MAY SHOWER WITH PERIODS OF CLOUDS AND SUNSHINE.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37039</v>
      </c>
      <c r="C15" s="15"/>
      <c r="D15" s="22" t="s">
        <v>288</v>
      </c>
      <c r="E15" s="23">
        <f>Weather_Input!B7</f>
        <v>69</v>
      </c>
      <c r="F15" s="24" t="s">
        <v>289</v>
      </c>
      <c r="G15" s="25">
        <f>IF(E17&lt;65,65-(Weather_Input!B7+Weather_Input!C7)/2,0)</f>
        <v>4.5</v>
      </c>
      <c r="H15" s="26" t="s">
        <v>290</v>
      </c>
      <c r="I15" s="27">
        <f ca="1">G15-(VLOOKUP(B15,DD_Normal_Data,CELL("Col",B16),FALSE))</f>
        <v>0.5</v>
      </c>
    </row>
    <row r="16" spans="1:109" ht="15">
      <c r="A16" s="18"/>
      <c r="B16" s="20"/>
      <c r="C16" s="15"/>
      <c r="D16" s="22" t="s">
        <v>175</v>
      </c>
      <c r="E16" s="23">
        <f>Weather_Input!C7</f>
        <v>52</v>
      </c>
      <c r="F16" s="24" t="s">
        <v>291</v>
      </c>
      <c r="G16" s="25">
        <f>IF(DAY(B15)=1,G15,G11+G15)</f>
        <v>166</v>
      </c>
      <c r="H16" s="30" t="s">
        <v>292</v>
      </c>
      <c r="I16" s="27">
        <f ca="1">G16-(VLOOKUP(B15,DD_Normal_Data,CELL("Col",C17),FALSE))</f>
        <v>-47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60.5</v>
      </c>
      <c r="F17" s="24" t="s">
        <v>294</v>
      </c>
      <c r="G17" s="25">
        <f>IF(AND(DAY(B15)=1,MONTH(B15)=8),G15,G12+G15)</f>
        <v>6573</v>
      </c>
      <c r="H17" s="26" t="s">
        <v>294</v>
      </c>
      <c r="I17" s="27">
        <f ca="1">G17-(VLOOKUP(B15,DD_Normal_Data,CELL("Col",D14),FALSE))</f>
        <v>209</v>
      </c>
    </row>
    <row r="18" spans="1:109" ht="15">
      <c r="A18" s="18"/>
      <c r="B18" s="20"/>
      <c r="C18" s="15"/>
      <c r="D18" s="32" t="str">
        <f>IF(Weather_Input!I7=""," ",Weather_Input!I7)</f>
        <v xml:space="preserve">  SUNSHINE AND SOME CLOUDS.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37040</v>
      </c>
      <c r="C20" s="15"/>
      <c r="D20" s="22" t="s">
        <v>288</v>
      </c>
      <c r="E20" s="23">
        <f>Weather_Input!B8</f>
        <v>69</v>
      </c>
      <c r="F20" s="24" t="s">
        <v>289</v>
      </c>
      <c r="G20" s="25">
        <f>IF(E22&lt;65,65-(Weather_Input!B8+Weather_Input!C8)/2,0)</f>
        <v>4</v>
      </c>
      <c r="H20" s="26" t="s">
        <v>290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175</v>
      </c>
      <c r="E21" s="23">
        <f>Weather_Input!C8</f>
        <v>53</v>
      </c>
      <c r="F21" s="24" t="s">
        <v>291</v>
      </c>
      <c r="G21" s="25">
        <f>IF(DAY(B20)=1,G20,G16+G20)</f>
        <v>170</v>
      </c>
      <c r="H21" s="30" t="s">
        <v>292</v>
      </c>
      <c r="I21" s="27">
        <f ca="1">G21-(VLOOKUP(B20,DD_Normal_Data,CELL("Col",C22),FALSE))</f>
        <v>-47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61</v>
      </c>
      <c r="F22" s="24" t="s">
        <v>294</v>
      </c>
      <c r="G22" s="25">
        <f>IF(AND(DAY(B20)=1,MONTH(B20)=8),G20,G17+G20)</f>
        <v>6577</v>
      </c>
      <c r="H22" s="26" t="s">
        <v>294</v>
      </c>
      <c r="I22" s="27">
        <f ca="1">G22-(VLOOKUP(B20,DD_Normal_Data,CELL("Col",D19),FALSE))</f>
        <v>209</v>
      </c>
    </row>
    <row r="23" spans="1:109" ht="15">
      <c r="A23" s="18"/>
      <c r="B23" s="21"/>
      <c r="C23" s="15"/>
      <c r="D23" s="32" t="str">
        <f>IF(Weather_Input!I8=""," ",Weather_Input!I8)</f>
        <v xml:space="preserve">  A GOOD DEAL OF SUN.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37041</v>
      </c>
      <c r="C25" s="15"/>
      <c r="D25" s="22" t="s">
        <v>288</v>
      </c>
      <c r="E25" s="23">
        <f>Weather_Input!B9</f>
        <v>70</v>
      </c>
      <c r="F25" s="24" t="s">
        <v>289</v>
      </c>
      <c r="G25" s="25">
        <f>IF(E27&lt;65,65-(Weather_Input!B9+Weather_Input!C9)/2,0)</f>
        <v>2.5</v>
      </c>
      <c r="H25" s="26" t="s">
        <v>290</v>
      </c>
      <c r="I25" s="27">
        <f ca="1">G25-(VLOOKUP(B25,DD_Normal_Data,CELL("Col",B26),FALSE))</f>
        <v>-1.5</v>
      </c>
    </row>
    <row r="26" spans="1:109" ht="15">
      <c r="A26" s="18"/>
      <c r="B26" s="21"/>
      <c r="C26" s="15"/>
      <c r="D26" s="22" t="s">
        <v>175</v>
      </c>
      <c r="E26" s="23">
        <f>Weather_Input!C9</f>
        <v>55</v>
      </c>
      <c r="F26" s="24" t="s">
        <v>291</v>
      </c>
      <c r="G26" s="25">
        <f>IF(DAY(B25)=1,G25,G21+G25)</f>
        <v>172.5</v>
      </c>
      <c r="H26" s="30" t="s">
        <v>292</v>
      </c>
      <c r="I26" s="27">
        <f ca="1">G26-(VLOOKUP(B25,DD_Normal_Data,CELL("Col",C27),FALSE))</f>
        <v>-48.5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62.5</v>
      </c>
      <c r="F27" s="24" t="s">
        <v>294</v>
      </c>
      <c r="G27" s="25">
        <f>IF(AND(DAY(B25)=1,MONTH(B25)=8),G25,G22+G25)</f>
        <v>6579.5</v>
      </c>
      <c r="H27" s="26" t="s">
        <v>294</v>
      </c>
      <c r="I27" s="27">
        <f ca="1">G27-(VLOOKUP(B25,DD_Normal_Data,CELL("Col",D24),FALSE))</f>
        <v>207.5</v>
      </c>
    </row>
    <row r="28" spans="1:109" ht="15">
      <c r="A28" s="18"/>
      <c r="B28" s="20"/>
      <c r="C28" s="15"/>
      <c r="D28" s="32" t="str">
        <f>IF(Weather_Input!I9=""," ",Weather_Input!I9)</f>
        <v xml:space="preserve">  A GOOD DEAL OF SUN.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37042</v>
      </c>
      <c r="C30" s="15"/>
      <c r="D30" s="22" t="s">
        <v>288</v>
      </c>
      <c r="E30" s="23">
        <f>Weather_Input!B10</f>
        <v>70</v>
      </c>
      <c r="F30" s="24" t="s">
        <v>289</v>
      </c>
      <c r="G30" s="25">
        <f>IF(E32&lt;65,65-(Weather_Input!B10+Weather_Input!C10)/2,0)</f>
        <v>2.5</v>
      </c>
      <c r="H30" s="26" t="s">
        <v>290</v>
      </c>
      <c r="I30" s="27">
        <f ca="1">G30-(VLOOKUP(B30,DD_Normal_Data,CELL("Col",B31),FALSE))</f>
        <v>-1.5</v>
      </c>
    </row>
    <row r="31" spans="1:109" ht="15">
      <c r="A31" s="15"/>
      <c r="B31" s="15"/>
      <c r="C31" s="15"/>
      <c r="D31" s="22" t="s">
        <v>175</v>
      </c>
      <c r="E31" s="23">
        <f>Weather_Input!C10</f>
        <v>55</v>
      </c>
      <c r="F31" s="24" t="s">
        <v>291</v>
      </c>
      <c r="G31" s="25">
        <f>IF(DAY(B30)=1,G30,G26+G30)</f>
        <v>175</v>
      </c>
      <c r="H31" s="30" t="s">
        <v>292</v>
      </c>
      <c r="I31" s="27">
        <f ca="1">G31-(VLOOKUP(B30,DD_Normal_Data,CELL("Col",C32),FALSE))</f>
        <v>-50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62.5</v>
      </c>
      <c r="F32" s="24" t="s">
        <v>294</v>
      </c>
      <c r="G32" s="25">
        <f>IF(AND(DAY(B30)=1,MONTH(B30)=8),G30,G27+G30)</f>
        <v>6582</v>
      </c>
      <c r="H32" s="26" t="s">
        <v>294</v>
      </c>
      <c r="I32" s="27">
        <f ca="1">G32-(VLOOKUP(B30,DD_Normal_Data,CELL("Col",D29),FALSE))</f>
        <v>206</v>
      </c>
    </row>
    <row r="33" spans="1:9" ht="15">
      <c r="A33" s="15"/>
      <c r="B33" s="34"/>
      <c r="C33" s="15"/>
      <c r="D33" s="32" t="str">
        <f>IF(Weather_Input!I10=""," ",Weather_Input!I10)</f>
        <v xml:space="preserve">  A GOOD DEAL OF SUN.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37037</v>
      </c>
      <c r="C36" s="91">
        <f>B10</f>
        <v>37038</v>
      </c>
      <c r="D36" s="91">
        <f>B15</f>
        <v>37039</v>
      </c>
      <c r="E36" s="91">
        <f xml:space="preserve">       B20</f>
        <v>37040</v>
      </c>
      <c r="F36" s="91">
        <f>B25</f>
        <v>37041</v>
      </c>
      <c r="G36" s="91">
        <f>B30</f>
        <v>37042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320</v>
      </c>
      <c r="C37" s="41">
        <f ca="1">(VLOOKUP(C36,PGL_Sendouts,(CELL("COL",PGL_Deliveries!C7))))/1000</f>
        <v>270</v>
      </c>
      <c r="D37" s="41">
        <f ca="1">(VLOOKUP(D36,PGL_Sendouts,(CELL("COL",PGL_Deliveries!C8))))/1000</f>
        <v>250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230</v>
      </c>
      <c r="G37" s="41">
        <f ca="1">(VLOOKUP(G36,PGL_Sendouts,(CELL("COL",PGL_Deliveries!C10))))/1000</f>
        <v>230</v>
      </c>
      <c r="H37" s="14"/>
      <c r="I37" s="15"/>
    </row>
    <row r="38" spans="1:9" ht="15">
      <c r="A38" s="15" t="s">
        <v>299</v>
      </c>
      <c r="B38" s="41">
        <f>PGL_6_Day_Report!D30</f>
        <v>519.83000000000004</v>
      </c>
      <c r="C38" s="41">
        <f>PGL_6_Day_Report!E30</f>
        <v>467.13</v>
      </c>
      <c r="D38" s="41">
        <f>PGL_6_Day_Report!F30</f>
        <v>447.13</v>
      </c>
      <c r="E38" s="41">
        <f>PGL_6_Day_Report!G30</f>
        <v>433.13</v>
      </c>
      <c r="F38" s="41">
        <f>PGL_6_Day_Report!H30</f>
        <v>423.13</v>
      </c>
      <c r="G38" s="41">
        <f>PGL_6_Day_Report!I30</f>
        <v>423.13</v>
      </c>
      <c r="H38" s="14"/>
      <c r="I38" s="15"/>
    </row>
    <row r="39" spans="1:9" ht="15">
      <c r="A39" s="42" t="s">
        <v>108</v>
      </c>
      <c r="B39" s="41">
        <f>SUM(PGL_Supplies!Z7:AE7)/1000</f>
        <v>287.40499999999997</v>
      </c>
      <c r="C39" s="41">
        <f>SUM(PGL_Supplies!Z8:AE8)/1000</f>
        <v>287.40499999999997</v>
      </c>
      <c r="D39" s="41">
        <f>SUM(PGL_Supplies!Z9:AE9)/1000</f>
        <v>287.40499999999997</v>
      </c>
      <c r="E39" s="41">
        <f>SUM(PGL_Supplies!Z10:AE10)/1000</f>
        <v>287.40499999999997</v>
      </c>
      <c r="F39" s="41">
        <f>SUM(PGL_Supplies!Z11:AE11)/1000</f>
        <v>287.40499999999997</v>
      </c>
      <c r="G39" s="41">
        <f>SUM(PGL_Supplies!Z12:AE12)/1000</f>
        <v>287.40499999999997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40.880000000000003</v>
      </c>
      <c r="C41" s="41">
        <f>SUM(PGL_Requirements!R7:U7)/1000</f>
        <v>40.880000000000003</v>
      </c>
      <c r="D41" s="41">
        <f>SUM(PGL_Requirements!R7:U7)/1000</f>
        <v>40.880000000000003</v>
      </c>
      <c r="E41" s="41">
        <f>SUM(PGL_Requirements!R7:U7)/1000</f>
        <v>40.880000000000003</v>
      </c>
      <c r="F41" s="41">
        <f>SUM(PGL_Requirements!R7:U7)/1000</f>
        <v>40.880000000000003</v>
      </c>
      <c r="G41" s="41">
        <f>SUM(PGL_Requirements!R7:U7)/1000</f>
        <v>40.880000000000003</v>
      </c>
      <c r="H41" s="14"/>
      <c r="I41" s="15"/>
    </row>
    <row r="42" spans="1:9" ht="15">
      <c r="A42" s="15" t="s">
        <v>131</v>
      </c>
      <c r="B42" s="41">
        <f>PGL_Supplies!V7/1000</f>
        <v>163.95699999999999</v>
      </c>
      <c r="C42" s="41">
        <f>PGL_Supplies!V8/1000</f>
        <v>163.95699999999999</v>
      </c>
      <c r="D42" s="41">
        <f>PGL_Supplies!V9/1000</f>
        <v>163.95699999999999</v>
      </c>
      <c r="E42" s="41">
        <f>PGL_Supplies!V10/1000</f>
        <v>163.95699999999999</v>
      </c>
      <c r="F42" s="41">
        <f>PGL_Supplies!V11/1000</f>
        <v>163.95699999999999</v>
      </c>
      <c r="G42" s="41">
        <f>PGL_Supplies!V12/1000</f>
        <v>163.95699999999999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37037</v>
      </c>
      <c r="C44" s="91">
        <f t="shared" si="0"/>
        <v>37038</v>
      </c>
      <c r="D44" s="91">
        <f t="shared" si="0"/>
        <v>37039</v>
      </c>
      <c r="E44" s="91">
        <f t="shared" si="0"/>
        <v>37040</v>
      </c>
      <c r="F44" s="91">
        <f t="shared" si="0"/>
        <v>37041</v>
      </c>
      <c r="G44" s="91">
        <f t="shared" si="0"/>
        <v>37042</v>
      </c>
      <c r="H44" s="14"/>
      <c r="I44" s="15"/>
    </row>
    <row r="45" spans="1:9" ht="15">
      <c r="A45" s="15" t="s">
        <v>56</v>
      </c>
      <c r="B45" s="41">
        <f ca="1">NSG_6_Day_Report!D6</f>
        <v>60</v>
      </c>
      <c r="C45" s="41">
        <f ca="1">NSG_6_Day_Report!E6</f>
        <v>50</v>
      </c>
      <c r="D45" s="41">
        <f ca="1">NSG_6_Day_Report!F6</f>
        <v>46</v>
      </c>
      <c r="E45" s="41">
        <f ca="1">NSG_6_Day_Report!G6</f>
        <v>45</v>
      </c>
      <c r="F45" s="41">
        <f ca="1">NSG_6_Day_Report!H6</f>
        <v>43</v>
      </c>
      <c r="G45" s="41">
        <f ca="1">NSG_6_Day_Report!I6</f>
        <v>43</v>
      </c>
      <c r="H45" s="14"/>
      <c r="I45" s="15"/>
    </row>
    <row r="46" spans="1:9" ht="15">
      <c r="A46" s="42" t="s">
        <v>299</v>
      </c>
      <c r="B46" s="41">
        <f ca="1">NSG_6_Day_Report!D19</f>
        <v>60</v>
      </c>
      <c r="C46" s="41">
        <f ca="1">NSG_6_Day_Report!E19</f>
        <v>51.25</v>
      </c>
      <c r="D46" s="41">
        <f ca="1">NSG_6_Day_Report!F19</f>
        <v>47.25</v>
      </c>
      <c r="E46" s="41">
        <f ca="1">NSG_6_Day_Report!G19</f>
        <v>46.25</v>
      </c>
      <c r="F46" s="41">
        <f ca="1">NSG_6_Day_Report!H19</f>
        <v>44.25</v>
      </c>
      <c r="G46" s="41">
        <f ca="1">NSG_6_Day_Report!I19</f>
        <v>44.25</v>
      </c>
      <c r="H46" s="14"/>
      <c r="I46" s="15"/>
    </row>
    <row r="47" spans="1:9" ht="15">
      <c r="A47" s="42" t="s">
        <v>108</v>
      </c>
      <c r="B47" s="41">
        <f>SUM(NSG_Supplies!P7:R7)/1000</f>
        <v>49.942999999999998</v>
      </c>
      <c r="C47" s="41">
        <f>SUM(NSG_Supplies!P8:R8)/1000</f>
        <v>49.942999999999998</v>
      </c>
      <c r="D47" s="41">
        <f>SUM(NSG_Supplies!P9:R9)/1000</f>
        <v>49.942999999999998</v>
      </c>
      <c r="E47" s="41">
        <f>SUM(NSG_Supplies!P10:R10)/1000</f>
        <v>49.942999999999998</v>
      </c>
      <c r="F47" s="41">
        <f>SUM(NSG_Supplies!P11:R11)/1000</f>
        <v>49.942999999999998</v>
      </c>
      <c r="G47" s="41">
        <f>SUM(NSG_Supplies!P12:R12)/1000</f>
        <v>49.942999999999998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18.998000000000001</v>
      </c>
      <c r="C50" s="41">
        <f>NSG_Supplies!S8/1000</f>
        <v>18.998000000000001</v>
      </c>
      <c r="D50" s="41">
        <f>NSG_Supplies!S9/1000</f>
        <v>18.998000000000001</v>
      </c>
      <c r="E50" s="41">
        <f>NSG_Supplies!S10/1000</f>
        <v>18.998000000000001</v>
      </c>
      <c r="F50" s="41">
        <f>NSG_Supplies!S11/1000</f>
        <v>18.998000000000001</v>
      </c>
      <c r="G50" s="41">
        <f>NSG_Supplies!S12/1000</f>
        <v>18.998000000000001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37037</v>
      </c>
      <c r="C52" s="91">
        <f t="shared" si="1"/>
        <v>37038</v>
      </c>
      <c r="D52" s="91">
        <f t="shared" si="1"/>
        <v>37039</v>
      </c>
      <c r="E52" s="91">
        <f t="shared" si="1"/>
        <v>37040</v>
      </c>
      <c r="F52" s="91">
        <f t="shared" si="1"/>
        <v>37041</v>
      </c>
      <c r="G52" s="91">
        <f t="shared" si="1"/>
        <v>37042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2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8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2"/>
    </row>
    <row r="3" spans="1:8" ht="15.75" thickBot="1">
      <c r="A3" s="98" t="s">
        <v>309</v>
      </c>
    </row>
    <row r="4" spans="1:8">
      <c r="A4" s="99"/>
      <c r="B4" s="1133" t="str">
        <f>Six_Day_Summary!A10</f>
        <v>Sunday</v>
      </c>
      <c r="C4" s="1134" t="str">
        <f>Six_Day_Summary!A15</f>
        <v>Monday</v>
      </c>
      <c r="D4" s="1134" t="str">
        <f>Six_Day_Summary!A20</f>
        <v>Tuesday</v>
      </c>
      <c r="E4" s="1134" t="str">
        <f>Six_Day_Summary!A25</f>
        <v>Wednesday</v>
      </c>
      <c r="F4" s="1135" t="str">
        <f>Six_Day_Summary!A30</f>
        <v>Thursday</v>
      </c>
      <c r="G4" s="100"/>
    </row>
    <row r="5" spans="1:8">
      <c r="A5" s="103" t="s">
        <v>310</v>
      </c>
      <c r="B5" s="1136">
        <f>Weather_Input!A6</f>
        <v>37038</v>
      </c>
      <c r="C5" s="1137">
        <f>Weather_Input!A7</f>
        <v>37039</v>
      </c>
      <c r="D5" s="1137">
        <f>Weather_Input!A8</f>
        <v>37040</v>
      </c>
      <c r="E5" s="1137">
        <f>Weather_Input!A9</f>
        <v>37041</v>
      </c>
      <c r="F5" s="1138">
        <f>Weather_Input!A10</f>
        <v>37042</v>
      </c>
      <c r="G5" s="100"/>
    </row>
    <row r="6" spans="1:8">
      <c r="A6" s="100" t="s">
        <v>311</v>
      </c>
      <c r="B6" s="1139">
        <f>PGL_Supplies!AC8/1000+PGL_Supplies!L8/1000-PGL_Requirements!O8/1000-PGL_Requirements!T8/1000+B8</f>
        <v>45.658000000000001</v>
      </c>
      <c r="C6" s="1139">
        <f>PGL_Supplies!AC9/1000+PGL_Supplies!L9/1000-PGL_Requirements!O9/1000+C15-PGL_Requirements!T9/1000</f>
        <v>45.658000000000001</v>
      </c>
      <c r="D6" s="1139">
        <f>PGL_Supplies!AC10/1000+PGL_Supplies!L10/1000-PGL_Requirements!O10/1000+D15-PGL_Requirements!T10/1000</f>
        <v>45.658000000000001</v>
      </c>
      <c r="E6" s="1139">
        <f>PGL_Supplies!AC11/1000+PGL_Supplies!L11/1000-PGL_Requirements!O11/1000+E15-PGL_Requirements!T11/1000</f>
        <v>45.658000000000001</v>
      </c>
      <c r="F6" s="1140">
        <f>PGL_Supplies!AC12/1000+PGL_Supplies!L12/1000-PGL_Requirements!O12/1000+F15-PGL_Requirements!T12/1000</f>
        <v>45.658000000000001</v>
      </c>
      <c r="G6" s="100"/>
      <c r="H6" t="s">
        <v>11</v>
      </c>
    </row>
    <row r="7" spans="1:8">
      <c r="A7" s="100" t="s">
        <v>312</v>
      </c>
      <c r="B7" s="1139">
        <f>PGL_Supplies!N8/1000</f>
        <v>0</v>
      </c>
      <c r="C7" s="1139">
        <f>PGL_Supplies!N9/1000</f>
        <v>0</v>
      </c>
      <c r="D7" s="1139">
        <f>PGL_Supplies!N10/1000</f>
        <v>0</v>
      </c>
      <c r="E7" s="1139">
        <f>PGL_Supplies!N11/1000</f>
        <v>0</v>
      </c>
      <c r="F7" s="1141">
        <f>PGL_Supplies!N12/1000</f>
        <v>0</v>
      </c>
      <c r="G7" s="100"/>
    </row>
    <row r="8" spans="1:8">
      <c r="A8" s="100" t="s">
        <v>313</v>
      </c>
      <c r="B8" s="1139">
        <f>PGL_Supplies!O8/1000</f>
        <v>0</v>
      </c>
      <c r="C8" s="1139">
        <f>PGL_Supplies!O9/1000</f>
        <v>0</v>
      </c>
      <c r="D8" s="1139">
        <f>PGL_Supplies!O10/1000</f>
        <v>0</v>
      </c>
      <c r="E8" s="1139">
        <f>PGL_Supplies!O11/1000</f>
        <v>0</v>
      </c>
      <c r="F8" s="1141">
        <f>PGL_Supplies!O12/1000</f>
        <v>0</v>
      </c>
      <c r="G8" s="100"/>
    </row>
    <row r="9" spans="1:8">
      <c r="A9" s="100" t="s">
        <v>314</v>
      </c>
      <c r="B9" s="1139">
        <v>0</v>
      </c>
      <c r="C9" s="1139">
        <v>0</v>
      </c>
      <c r="D9" s="1139">
        <v>0</v>
      </c>
      <c r="E9" s="1139">
        <v>0</v>
      </c>
      <c r="F9" s="1141">
        <v>0</v>
      </c>
      <c r="G9" s="100"/>
    </row>
    <row r="10" spans="1:8">
      <c r="A10" s="101"/>
      <c r="B10" s="1142"/>
      <c r="C10" s="1142"/>
      <c r="D10" s="1142"/>
      <c r="E10" s="1142"/>
      <c r="F10" s="1143"/>
      <c r="G10" s="100"/>
    </row>
    <row r="11" spans="1:8">
      <c r="A11" s="100" t="s">
        <v>315</v>
      </c>
      <c r="B11" s="1139">
        <v>0</v>
      </c>
      <c r="C11" s="1139">
        <v>0</v>
      </c>
      <c r="D11" s="1139">
        <v>0</v>
      </c>
      <c r="E11" s="1139">
        <v>0</v>
      </c>
      <c r="F11" s="1141">
        <v>0</v>
      </c>
      <c r="G11" s="100"/>
      <c r="H11" s="121" t="s">
        <v>11</v>
      </c>
    </row>
    <row r="12" spans="1:8">
      <c r="A12" s="100" t="s">
        <v>316</v>
      </c>
      <c r="B12" s="1139">
        <f>PGL_Requirements!S8/1000</f>
        <v>0</v>
      </c>
      <c r="C12" s="1139">
        <f>PGL_Requirements!S9/1000</f>
        <v>0</v>
      </c>
      <c r="D12" s="1139">
        <f>PGL_Requirements!S10/1000</f>
        <v>0</v>
      </c>
      <c r="E12" s="1139">
        <f>PGL_Requirements!S11/1000</f>
        <v>0</v>
      </c>
      <c r="F12" s="1141">
        <f>PGL_Requirements!S12/1000</f>
        <v>0</v>
      </c>
      <c r="G12" s="100"/>
    </row>
    <row r="13" spans="1:8">
      <c r="A13" s="100" t="s">
        <v>317</v>
      </c>
      <c r="B13" s="1139">
        <v>0</v>
      </c>
      <c r="C13" s="1139">
        <v>0</v>
      </c>
      <c r="D13" s="1139">
        <v>0</v>
      </c>
      <c r="E13" s="1139">
        <v>0</v>
      </c>
      <c r="F13" s="1141">
        <v>0</v>
      </c>
      <c r="G13" s="100"/>
    </row>
    <row r="14" spans="1:8">
      <c r="A14" s="100" t="s">
        <v>188</v>
      </c>
      <c r="B14" s="1139">
        <v>0</v>
      </c>
      <c r="C14" s="1145"/>
      <c r="D14" s="1145"/>
      <c r="E14" s="1145"/>
      <c r="F14" s="1141"/>
      <c r="G14" s="100"/>
    </row>
    <row r="15" spans="1:8">
      <c r="A15" s="100" t="s">
        <v>715</v>
      </c>
      <c r="B15" s="1144">
        <v>0</v>
      </c>
      <c r="C15" s="1144">
        <v>0</v>
      </c>
      <c r="D15" s="1144">
        <v>0</v>
      </c>
      <c r="E15" s="1144">
        <v>0</v>
      </c>
      <c r="F15" s="1181">
        <v>0</v>
      </c>
      <c r="G15" s="121"/>
    </row>
    <row r="16" spans="1:8">
      <c r="A16" s="100" t="s">
        <v>318</v>
      </c>
      <c r="B16" s="1144">
        <v>0</v>
      </c>
      <c r="C16" s="1145"/>
      <c r="D16" s="1145"/>
      <c r="E16" s="1145"/>
      <c r="F16" s="1141"/>
      <c r="G16" s="100"/>
    </row>
    <row r="17" spans="1:7" ht="15.75" thickBot="1">
      <c r="A17" s="102" t="s">
        <v>780</v>
      </c>
      <c r="B17" s="1146">
        <v>24</v>
      </c>
      <c r="C17" s="1147"/>
      <c r="D17" s="1147"/>
      <c r="E17" s="1147"/>
      <c r="F17" s="1148"/>
      <c r="G17" s="100"/>
    </row>
    <row r="20" spans="1:7" ht="15.75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49" t="str">
        <f t="shared" ref="B21:F22" si="0">B4</f>
        <v>Sunday</v>
      </c>
      <c r="C21" s="1149" t="str">
        <f t="shared" si="0"/>
        <v>Monday</v>
      </c>
      <c r="D21" s="1149" t="str">
        <f t="shared" si="0"/>
        <v>Tuesday</v>
      </c>
      <c r="E21" s="1149" t="str">
        <f t="shared" si="0"/>
        <v>Wednesday</v>
      </c>
      <c r="F21" s="1150" t="str">
        <f t="shared" si="0"/>
        <v>Thursday</v>
      </c>
      <c r="G21" s="100"/>
    </row>
    <row r="22" spans="1:7">
      <c r="A22" s="107" t="s">
        <v>310</v>
      </c>
      <c r="B22" s="1151">
        <f t="shared" si="0"/>
        <v>37038</v>
      </c>
      <c r="C22" s="1151">
        <f t="shared" si="0"/>
        <v>37039</v>
      </c>
      <c r="D22" s="1151">
        <f t="shared" si="0"/>
        <v>37040</v>
      </c>
      <c r="E22" s="1151">
        <f t="shared" si="0"/>
        <v>37041</v>
      </c>
      <c r="F22" s="1152">
        <f t="shared" si="0"/>
        <v>37042</v>
      </c>
      <c r="G22" s="100"/>
    </row>
    <row r="23" spans="1:7">
      <c r="A23" s="100" t="s">
        <v>311</v>
      </c>
      <c r="B23" s="1145">
        <f>NSG_Supplies!R8/1000+NSG_Supplies!F8/1000-NSG_Requirements!H8/1000</f>
        <v>28.693000000000001</v>
      </c>
      <c r="C23" s="1145">
        <f>NSG_Supplies!R9/1000+NSG_Supplies!F9/1000-NSG_Requirements!H9/1000</f>
        <v>28.693000000000001</v>
      </c>
      <c r="D23" s="1145">
        <f>NSG_Supplies!R10/1000+NSG_Supplies!F10/1000-NSG_Requirements!H10/1000</f>
        <v>28.693000000000001</v>
      </c>
      <c r="E23" s="1145">
        <f>NSG_Supplies!R12/1000+NSG_Supplies!F11/1000-NSG_Requirements!H11/1000</f>
        <v>28.693000000000001</v>
      </c>
      <c r="F23" s="1140">
        <f>NSG_Supplies!R12/1000+NSG_Supplies!F12/1000-NSG_Requirements!H12/1000</f>
        <v>28.693000000000001</v>
      </c>
      <c r="G23" s="100"/>
    </row>
    <row r="24" spans="1:7">
      <c r="A24" s="100" t="s">
        <v>320</v>
      </c>
      <c r="B24" s="1145">
        <f>NSG_Supplies!H8/1000</f>
        <v>0</v>
      </c>
      <c r="C24" s="1145">
        <f>NSG_Supplies!H9/1000</f>
        <v>0</v>
      </c>
      <c r="D24" s="1145">
        <f>NSG_Supplies!H10/1000</f>
        <v>0</v>
      </c>
      <c r="E24" s="1145">
        <f>NSG_Supplies!H11/1000</f>
        <v>0</v>
      </c>
      <c r="F24" s="1141">
        <f>NSG_Supplies!H12/1000</f>
        <v>0</v>
      </c>
      <c r="G24" s="100"/>
    </row>
    <row r="25" spans="1:7">
      <c r="A25" s="100" t="s">
        <v>312</v>
      </c>
      <c r="B25" s="1145">
        <f>NSG_Supplies!I8/1000</f>
        <v>0</v>
      </c>
      <c r="C25" s="1145">
        <f>NSG_Supplies!I9/1000</f>
        <v>0</v>
      </c>
      <c r="D25" s="1145">
        <f>NSG_Supplies!I10/1000</f>
        <v>0</v>
      </c>
      <c r="E25" s="1145">
        <f>NSG_Supplies!I11/1000</f>
        <v>0</v>
      </c>
      <c r="F25" s="1141">
        <f>NSG_Supplies!I12/1000</f>
        <v>0</v>
      </c>
      <c r="G25" s="100"/>
    </row>
    <row r="26" spans="1:7">
      <c r="A26" s="104" t="s">
        <v>313</v>
      </c>
      <c r="B26" s="1145">
        <f>NSG_Supplies!J8/1000</f>
        <v>0</v>
      </c>
      <c r="C26" s="1145">
        <f>NSG_Supplies!J9/1000</f>
        <v>0</v>
      </c>
      <c r="D26" s="1145">
        <f>NSG_Supplies!J10/1000</f>
        <v>0</v>
      </c>
      <c r="E26" s="1145">
        <f>NSG_Supplies!J11/1000</f>
        <v>0</v>
      </c>
      <c r="F26" s="1141">
        <f>NSG_Supplies!J12/1000</f>
        <v>0</v>
      </c>
      <c r="G26" s="100"/>
    </row>
    <row r="27" spans="1:7">
      <c r="A27" s="100" t="s">
        <v>314</v>
      </c>
      <c r="B27" s="1145">
        <f>NSG_Supplies!K8/1000</f>
        <v>0</v>
      </c>
      <c r="C27" s="1145">
        <f>NSG_Supplies!K9/1000</f>
        <v>0</v>
      </c>
      <c r="D27" s="1145">
        <f>NSG_Supplies!K10/1000</f>
        <v>0</v>
      </c>
      <c r="E27" s="1145">
        <f>NSG_Supplies!K11/1000</f>
        <v>0</v>
      </c>
      <c r="F27" s="1141">
        <f>NSG_Supplies!K12/1000</f>
        <v>0</v>
      </c>
      <c r="G27" s="100"/>
    </row>
    <row r="28" spans="1:7">
      <c r="A28" s="100" t="s">
        <v>321</v>
      </c>
      <c r="B28" s="1145" t="s">
        <v>11</v>
      </c>
      <c r="C28" s="1145"/>
      <c r="D28" s="1145"/>
      <c r="E28" s="1145"/>
      <c r="F28" s="1141"/>
      <c r="G28" s="100"/>
    </row>
    <row r="29" spans="1:7">
      <c r="A29" s="101"/>
      <c r="B29" s="1142"/>
      <c r="C29" s="1142"/>
      <c r="D29" s="1142"/>
      <c r="E29" s="1142"/>
      <c r="F29" s="1143"/>
      <c r="G29" s="100"/>
    </row>
    <row r="30" spans="1:7">
      <c r="A30" s="100" t="s">
        <v>315</v>
      </c>
      <c r="B30" s="1145">
        <f>NSG_Requirements!P8/1000</f>
        <v>0</v>
      </c>
      <c r="C30" s="1145">
        <f>NSG_Requirements!P9/1000</f>
        <v>0</v>
      </c>
      <c r="D30" s="1145">
        <f>NSG_Requirements!P10/1000</f>
        <v>0</v>
      </c>
      <c r="E30" s="1145">
        <f>NSG_Requirements!P11/1000</f>
        <v>0</v>
      </c>
      <c r="F30" s="1141">
        <f>NSG_Supplies!K12/1000</f>
        <v>0</v>
      </c>
      <c r="G30" s="100"/>
    </row>
    <row r="31" spans="1:7">
      <c r="A31" s="100" t="s">
        <v>316</v>
      </c>
      <c r="B31" s="1145">
        <f>NSG_Requirements!R8/1000</f>
        <v>0</v>
      </c>
      <c r="C31" s="1145">
        <f>NSG_Requirements!R9/1000</f>
        <v>0</v>
      </c>
      <c r="D31" s="1145">
        <f>NSG_Requirements!R10/1000</f>
        <v>0</v>
      </c>
      <c r="E31" s="1145">
        <f>NSG_Requirements!R11/1000</f>
        <v>0</v>
      </c>
      <c r="F31" s="1141">
        <f>NSG_Supplies!M12/1000</f>
        <v>0</v>
      </c>
      <c r="G31" s="100"/>
    </row>
    <row r="32" spans="1:7">
      <c r="A32" s="100" t="s">
        <v>317</v>
      </c>
      <c r="B32" s="1145">
        <f>NSG_Requirements!Q8/1000</f>
        <v>0</v>
      </c>
      <c r="C32" s="1145">
        <f>NSG_Requirements!Q9/1000</f>
        <v>0</v>
      </c>
      <c r="D32" s="1145">
        <f>NSG_Requirements!Q10/1000</f>
        <v>0</v>
      </c>
      <c r="E32" s="1145">
        <f>NSG_Requirements!Q11/1000</f>
        <v>0</v>
      </c>
      <c r="F32" s="1141">
        <f>NSG_Requirements!Q12/1000</f>
        <v>0</v>
      </c>
      <c r="G32" s="100"/>
    </row>
    <row r="33" spans="1:7" ht="15.75" thickBot="1">
      <c r="A33" s="102" t="s">
        <v>322</v>
      </c>
      <c r="B33" s="1147">
        <f>NSG_Requirements!L8/1000</f>
        <v>0</v>
      </c>
      <c r="C33" s="1147">
        <f>NSG_Requirements!L9/1000</f>
        <v>0</v>
      </c>
      <c r="D33" s="1147">
        <f>NSG_Requirements!L10/1000</f>
        <v>0</v>
      </c>
      <c r="E33" s="1147">
        <f>NSG_Requirements!L11/1000</f>
        <v>0</v>
      </c>
      <c r="F33" s="1148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3"/>
      <c r="B1" s="807" t="s">
        <v>380</v>
      </c>
      <c r="C1" s="906">
        <f>Weather_Input!A6</f>
        <v>37038</v>
      </c>
      <c r="D1" s="907" t="s">
        <v>371</v>
      </c>
      <c r="E1" s="808"/>
      <c r="F1" s="1074"/>
      <c r="G1" s="428"/>
      <c r="H1" s="428"/>
      <c r="I1" s="1075"/>
    </row>
    <row r="2" spans="1:11" ht="15.75" customHeight="1" thickBot="1">
      <c r="A2" s="431"/>
      <c r="B2" s="1072" t="s">
        <v>644</v>
      </c>
      <c r="E2" s="160"/>
      <c r="I2" s="160"/>
    </row>
    <row r="3" spans="1:11" ht="15.75" customHeight="1" thickTop="1">
      <c r="B3" s="171" t="s">
        <v>108</v>
      </c>
      <c r="C3" s="901">
        <f>NSG_Supplies!Q8/1000</f>
        <v>20</v>
      </c>
      <c r="E3" s="160"/>
      <c r="F3" s="788" t="s">
        <v>165</v>
      </c>
      <c r="G3" s="787"/>
      <c r="H3" s="802" t="s">
        <v>571</v>
      </c>
      <c r="I3" s="801" t="s">
        <v>570</v>
      </c>
    </row>
    <row r="4" spans="1:11" ht="15.75" customHeight="1" thickBot="1">
      <c r="A4" t="s">
        <v>11</v>
      </c>
      <c r="B4" s="100" t="s">
        <v>645</v>
      </c>
      <c r="C4" s="1129">
        <f>NSG_Supplies!E8/1000</f>
        <v>0</v>
      </c>
      <c r="D4" s="134">
        <f>NSG_Requirements!J8/1000</f>
        <v>0</v>
      </c>
      <c r="E4" s="800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5" t="s">
        <v>646</v>
      </c>
      <c r="C5" s="446">
        <f>C3+C4-D4</f>
        <v>20</v>
      </c>
      <c r="D5" s="436"/>
      <c r="E5" s="438">
        <f>AVERAGE(C5/24)</f>
        <v>0.83333333333333337</v>
      </c>
      <c r="F5" s="169" t="s">
        <v>447</v>
      </c>
      <c r="G5" s="209">
        <f>PGL_Supplies!M8/1000</f>
        <v>0</v>
      </c>
      <c r="H5" s="167"/>
      <c r="I5" s="1016">
        <f>AVERAGE(G5/1.025)</f>
        <v>0</v>
      </c>
      <c r="K5" t="s">
        <v>11</v>
      </c>
    </row>
    <row r="6" spans="1:11" ht="15.75" customHeight="1" thickTop="1" thickBot="1">
      <c r="B6" s="904" t="s">
        <v>391</v>
      </c>
      <c r="C6" s="905"/>
      <c r="D6" s="121"/>
      <c r="E6" s="799"/>
      <c r="F6" t="s">
        <v>773</v>
      </c>
      <c r="G6" s="905">
        <f>AVERAGE(H4/24)</f>
        <v>6.25</v>
      </c>
      <c r="H6" s="428"/>
      <c r="I6" s="1075"/>
    </row>
    <row r="7" spans="1:11" ht="15.75" customHeight="1">
      <c r="B7" s="171" t="s">
        <v>372</v>
      </c>
      <c r="C7" s="153">
        <f>NSG_Supplies!L8/1000</f>
        <v>0</v>
      </c>
      <c r="D7" s="60"/>
      <c r="E7" s="448"/>
      <c r="F7" s="1072" t="s">
        <v>624</v>
      </c>
      <c r="G7" s="1073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8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8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5" t="s">
        <v>550</v>
      </c>
      <c r="C10" s="446">
        <f>C7+C8-C9</f>
        <v>0</v>
      </c>
      <c r="D10" s="436"/>
      <c r="E10" s="438">
        <f>AVERAGE(C10/24)</f>
        <v>0</v>
      </c>
      <c r="F10" s="171" t="s">
        <v>444</v>
      </c>
      <c r="G10" s="153">
        <f>PGL_Supplies!AB8/1000</f>
        <v>197.547</v>
      </c>
      <c r="H10" s="153" t="s">
        <v>11</v>
      </c>
      <c r="I10" s="160"/>
    </row>
    <row r="11" spans="1:11" ht="15.75" customHeight="1" thickTop="1">
      <c r="A11" t="s">
        <v>11</v>
      </c>
      <c r="B11" s="1121" t="s">
        <v>747</v>
      </c>
      <c r="C11" s="153">
        <f>PGL_Supplies!Y8/1000</f>
        <v>144.11600000000001</v>
      </c>
      <c r="D11" s="787"/>
      <c r="E11" s="1122"/>
      <c r="F11" s="433" t="s">
        <v>377</v>
      </c>
      <c r="G11" s="445">
        <f>G8+G10</f>
        <v>201.047</v>
      </c>
      <c r="H11" s="432"/>
      <c r="I11" s="434"/>
    </row>
    <row r="12" spans="1:11" ht="15.75" customHeight="1">
      <c r="B12" s="247" t="s">
        <v>779</v>
      </c>
      <c r="C12" s="153">
        <v>24</v>
      </c>
      <c r="D12" s="121"/>
      <c r="E12" s="160"/>
      <c r="F12" s="172" t="s">
        <v>529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3" t="s">
        <v>755</v>
      </c>
      <c r="C14" s="446">
        <f>C11-C12</f>
        <v>120.11600000000001</v>
      </c>
      <c r="D14" s="436"/>
      <c r="E14" s="438">
        <f>AVERAGE(C14/24)</f>
        <v>5.0048333333333339</v>
      </c>
      <c r="F14" s="780" t="s">
        <v>548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0" t="s">
        <v>557</v>
      </c>
      <c r="G15" s="445">
        <f>SUM(G11)-G16-G17</f>
        <v>201.047</v>
      </c>
      <c r="H15" s="436" t="s">
        <v>11</v>
      </c>
      <c r="I15" s="438">
        <f>AVERAGE(G15/24)</f>
        <v>8.3769583333333326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0" t="s">
        <v>567</v>
      </c>
      <c r="G16" s="446">
        <f>PGL_Requirements!H8/1000</f>
        <v>0</v>
      </c>
      <c r="H16" s="446" t="s">
        <v>11</v>
      </c>
      <c r="I16" s="438">
        <f>AVERAGE(G16/24)</f>
        <v>0</v>
      </c>
    </row>
    <row r="17" spans="1:9" ht="15.75" customHeight="1" thickTop="1" thickBot="1">
      <c r="B17" s="433" t="s">
        <v>377</v>
      </c>
      <c r="C17" s="445">
        <f>SUM(C15:C16)-SUM(D15:D16)</f>
        <v>0</v>
      </c>
      <c r="D17" s="432"/>
      <c r="E17" s="434"/>
      <c r="F17" s="1084" t="s">
        <v>713</v>
      </c>
      <c r="G17" s="1172">
        <v>0</v>
      </c>
      <c r="H17" s="1083"/>
      <c r="I17" s="1173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2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1"/>
    </row>
    <row r="20" spans="1:9" ht="15.75" customHeight="1" thickTop="1" thickBot="1">
      <c r="B20" s="435" t="s">
        <v>552</v>
      </c>
      <c r="C20" s="446">
        <f>C17+C18-D19</f>
        <v>0</v>
      </c>
      <c r="D20" s="439" t="s">
        <v>11</v>
      </c>
      <c r="E20" s="438">
        <f>AVERAGE(C20/24)</f>
        <v>0</v>
      </c>
      <c r="F20" s="437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4</v>
      </c>
      <c r="H21" s="153" t="s">
        <v>11</v>
      </c>
      <c r="I21" s="160"/>
    </row>
    <row r="22" spans="1:9" ht="15.75" customHeight="1">
      <c r="B22" s="433" t="s">
        <v>377</v>
      </c>
      <c r="C22" s="445">
        <f>SUM(C21:C21)-SUM(D21)</f>
        <v>0</v>
      </c>
      <c r="D22" s="432"/>
      <c r="E22" s="434"/>
      <c r="F22" s="433" t="s">
        <v>377</v>
      </c>
      <c r="G22" s="445">
        <f>G21</f>
        <v>4</v>
      </c>
      <c r="H22" s="432"/>
      <c r="I22" s="434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4</v>
      </c>
      <c r="I24" s="160"/>
    </row>
    <row r="25" spans="1:9" ht="15.75" customHeight="1" thickTop="1" thickBot="1">
      <c r="B25" s="435" t="s">
        <v>551</v>
      </c>
      <c r="C25" s="446">
        <f>C22+C23-D24</f>
        <v>0</v>
      </c>
      <c r="D25" s="436"/>
      <c r="E25" s="438">
        <f>AVERAGE(C25/24)</f>
        <v>0</v>
      </c>
      <c r="F25" s="549" t="s">
        <v>549</v>
      </c>
      <c r="G25" s="902">
        <f>G22+G23-H24+G20</f>
        <v>0</v>
      </c>
      <c r="H25" s="428"/>
      <c r="I25" s="903">
        <f>AVERAGE(G25/24)</f>
        <v>0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0" customWidth="1"/>
    <col min="2" max="2" width="8.109375" style="1040" customWidth="1"/>
    <col min="3" max="3" width="7.88671875" style="1040" customWidth="1"/>
    <col min="4" max="4" width="5.88671875" style="1040" customWidth="1"/>
    <col min="5" max="5" width="4.44140625" style="1040" customWidth="1"/>
    <col min="6" max="6" width="5.21875" style="1040" customWidth="1"/>
    <col min="7" max="7" width="9" style="1040" customWidth="1"/>
    <col min="8" max="11" width="8.88671875" style="1040"/>
    <col min="12" max="12" width="14.88671875" style="1040" customWidth="1"/>
    <col min="13" max="13" width="5.6640625" style="1040" customWidth="1"/>
    <col min="14" max="16384" width="8.88671875" style="1040"/>
  </cols>
  <sheetData>
    <row r="1" spans="1:22" ht="22.5">
      <c r="A1" s="936"/>
      <c r="B1" s="932"/>
      <c r="C1" s="943" t="s">
        <v>651</v>
      </c>
      <c r="D1" s="940"/>
      <c r="E1" s="940" t="s">
        <v>652</v>
      </c>
      <c r="F1" s="940"/>
      <c r="G1" s="1038" t="s">
        <v>323</v>
      </c>
      <c r="H1" s="1039">
        <f>Weather_Input!A6</f>
        <v>37038</v>
      </c>
      <c r="I1" s="929"/>
      <c r="J1" s="931"/>
      <c r="K1" s="931"/>
    </row>
    <row r="2" spans="1:22" ht="16.5" customHeight="1">
      <c r="A2" s="949" t="s">
        <v>679</v>
      </c>
      <c r="C2" s="1041">
        <v>337</v>
      </c>
      <c r="F2" s="1042">
        <v>332</v>
      </c>
      <c r="H2" s="931"/>
      <c r="I2" s="929" t="s">
        <v>681</v>
      </c>
      <c r="J2" s="951">
        <f>NSG_Supplies!Q8/1000</f>
        <v>20</v>
      </c>
    </row>
    <row r="3" spans="1:22" ht="16.5" customHeight="1">
      <c r="A3" s="1043">
        <f>PGL_Supplies!J8/1000</f>
        <v>0</v>
      </c>
      <c r="C3" s="1040" t="s">
        <v>11</v>
      </c>
      <c r="G3" s="929"/>
      <c r="H3" s="931"/>
    </row>
    <row r="4" spans="1:22" ht="16.5" customHeight="1">
      <c r="A4" s="939" t="s">
        <v>653</v>
      </c>
      <c r="G4" s="957"/>
      <c r="H4" s="931"/>
      <c r="I4" s="929"/>
      <c r="J4" s="929" t="s">
        <v>677</v>
      </c>
      <c r="K4" s="951">
        <f>Billy_Sheet!C5</f>
        <v>20</v>
      </c>
      <c r="N4" s="951"/>
    </row>
    <row r="5" spans="1:22" ht="16.5" customHeight="1">
      <c r="A5" s="1044">
        <f>PGL_Supplies!K7/1000</f>
        <v>0</v>
      </c>
      <c r="B5" s="1045"/>
      <c r="G5" s="932"/>
      <c r="H5" s="951"/>
      <c r="U5" s="931"/>
      <c r="V5" s="931"/>
    </row>
    <row r="6" spans="1:22" ht="16.5" customHeight="1">
      <c r="A6" s="938" t="s">
        <v>649</v>
      </c>
      <c r="G6" s="932"/>
      <c r="H6" s="951"/>
      <c r="U6" s="931"/>
      <c r="V6" s="951"/>
    </row>
    <row r="7" spans="1:22" ht="18.75" customHeight="1">
      <c r="A7" s="951">
        <f>Billy_Sheet!G14</f>
        <v>0</v>
      </c>
      <c r="G7" s="932"/>
      <c r="H7" s="930"/>
      <c r="U7" s="931"/>
      <c r="V7" s="930"/>
    </row>
    <row r="8" spans="1:22" ht="14.45" customHeight="1">
      <c r="A8" s="929" t="s">
        <v>74</v>
      </c>
      <c r="G8" s="932"/>
      <c r="H8" s="929" t="s">
        <v>177</v>
      </c>
      <c r="I8" s="929"/>
      <c r="K8" s="929"/>
      <c r="L8" s="929"/>
      <c r="N8" s="929"/>
      <c r="O8" s="929"/>
      <c r="U8" s="931"/>
      <c r="V8" s="951"/>
    </row>
    <row r="9" spans="1:22" ht="14.45" customHeight="1">
      <c r="A9" s="951">
        <f>PGL_Supplies!I8/1000</f>
        <v>15</v>
      </c>
      <c r="H9" s="951">
        <v>0</v>
      </c>
      <c r="I9" s="1046"/>
      <c r="K9" s="929" t="s">
        <v>683</v>
      </c>
      <c r="L9" s="951">
        <f>NSG_Deliveries!C6/1000</f>
        <v>50</v>
      </c>
      <c r="N9" s="929"/>
      <c r="O9" s="951"/>
      <c r="U9" s="931"/>
      <c r="V9" s="951"/>
    </row>
    <row r="10" spans="1:22" ht="18" customHeight="1">
      <c r="A10" s="929" t="s">
        <v>68</v>
      </c>
      <c r="H10" s="958" t="s">
        <v>682</v>
      </c>
      <c r="U10" s="931"/>
      <c r="V10" s="951"/>
    </row>
    <row r="11" spans="1:22" ht="14.45" customHeight="1">
      <c r="A11" s="951">
        <f>Billy_Sheet!C20</f>
        <v>0</v>
      </c>
      <c r="B11" s="1046"/>
      <c r="H11" s="951">
        <f>NSG_Supplies!U8/1000</f>
        <v>0</v>
      </c>
      <c r="K11" s="932" t="s">
        <v>684</v>
      </c>
      <c r="L11" s="957">
        <f>SUM(K4+K17+K19+H11+H9-L9)</f>
        <v>-1.3070000000000022</v>
      </c>
      <c r="N11" s="932"/>
      <c r="O11" s="957"/>
      <c r="U11" s="931"/>
      <c r="V11" s="945"/>
    </row>
    <row r="12" spans="1:22" ht="14.45" customHeight="1">
      <c r="A12" s="929" t="s">
        <v>742</v>
      </c>
      <c r="H12" s="951"/>
      <c r="U12" s="931"/>
      <c r="V12" s="951"/>
    </row>
    <row r="13" spans="1:22" ht="14.45" customHeight="1">
      <c r="A13" s="1044">
        <f>PGL_Supplies!Y8/1000</f>
        <v>144.11600000000001</v>
      </c>
      <c r="H13" s="951"/>
      <c r="U13" s="931"/>
      <c r="V13" s="951"/>
    </row>
    <row r="14" spans="1:22" ht="14.45" customHeight="1">
      <c r="H14" s="951"/>
      <c r="U14" s="931"/>
      <c r="V14" s="951"/>
    </row>
    <row r="15" spans="1:22" ht="15.6" customHeight="1">
      <c r="B15" s="1040" t="s">
        <v>11</v>
      </c>
      <c r="C15" s="1047">
        <v>340</v>
      </c>
      <c r="F15" s="1047">
        <v>340</v>
      </c>
      <c r="H15" s="957"/>
      <c r="U15" s="941"/>
      <c r="V15" s="957"/>
    </row>
    <row r="16" spans="1:22" ht="42.75" customHeight="1">
      <c r="A16" s="942"/>
      <c r="B16" s="957"/>
      <c r="C16" s="1048"/>
      <c r="D16" s="1049"/>
      <c r="E16" s="1049"/>
      <c r="F16" s="1048"/>
    </row>
    <row r="17" spans="1:17" ht="38.25" customHeight="1">
      <c r="B17" s="1049"/>
      <c r="C17" s="1049"/>
      <c r="D17" s="1050"/>
      <c r="E17" s="1049"/>
      <c r="F17" s="1049"/>
      <c r="G17" s="1049"/>
      <c r="J17" s="929" t="s">
        <v>325</v>
      </c>
      <c r="K17" s="951">
        <f>NSG_Supplies!L8/1000</f>
        <v>0</v>
      </c>
      <c r="N17" s="951"/>
    </row>
    <row r="18" spans="1:17" ht="15" customHeight="1">
      <c r="A18" s="937"/>
      <c r="C18" s="1047">
        <v>363</v>
      </c>
      <c r="D18" s="1049"/>
      <c r="E18" s="1049"/>
      <c r="F18" s="1042">
        <v>791</v>
      </c>
    </row>
    <row r="19" spans="1:17">
      <c r="A19" s="938" t="s">
        <v>650</v>
      </c>
      <c r="C19" s="1040" t="s">
        <v>11</v>
      </c>
      <c r="J19" s="929" t="s">
        <v>678</v>
      </c>
      <c r="K19" s="951">
        <f>NSG_Supplies!R8/1000+NSG_Supplies!F8/1000-NSG_Requirements!H8/1000</f>
        <v>28.693000000000001</v>
      </c>
      <c r="N19" s="1052"/>
    </row>
    <row r="20" spans="1:17" ht="17.25" customHeight="1">
      <c r="A20" s="951">
        <f>Billy_Sheet!G15</f>
        <v>201.047</v>
      </c>
      <c r="G20" s="431"/>
      <c r="J20" s="929"/>
    </row>
    <row r="21" spans="1:17" ht="11.25" customHeight="1">
      <c r="G21" s="930"/>
      <c r="H21" s="930"/>
      <c r="I21" s="932"/>
      <c r="J21" s="957"/>
    </row>
    <row r="22" spans="1:17">
      <c r="A22" s="931" t="s">
        <v>180</v>
      </c>
      <c r="G22" s="929"/>
      <c r="I22" s="932"/>
      <c r="J22" s="929"/>
      <c r="M22" s="932"/>
      <c r="N22" s="957"/>
    </row>
    <row r="23" spans="1:17">
      <c r="A23" s="951">
        <f>Billy_Sheet!C25</f>
        <v>0</v>
      </c>
      <c r="G23" s="929" t="s">
        <v>756</v>
      </c>
      <c r="H23" s="931"/>
      <c r="I23" s="932"/>
      <c r="J23" s="957"/>
      <c r="M23" s="929"/>
      <c r="N23" s="957"/>
      <c r="Q23" s="1053"/>
    </row>
    <row r="24" spans="1:17" ht="9" customHeight="1">
      <c r="G24" s="951">
        <f>PGL_Requirements!K7/1000</f>
        <v>0</v>
      </c>
      <c r="H24" s="932"/>
      <c r="I24" s="932"/>
      <c r="J24" s="932"/>
    </row>
    <row r="25" spans="1:17" ht="10.5" customHeight="1">
      <c r="A25" s="931" t="s">
        <v>182</v>
      </c>
      <c r="B25" s="931"/>
      <c r="C25" s="931"/>
      <c r="D25" s="931"/>
      <c r="F25" s="931"/>
      <c r="G25" s="929" t="s">
        <v>686</v>
      </c>
      <c r="H25" s="932"/>
      <c r="I25" s="932"/>
      <c r="J25" s="932"/>
    </row>
    <row r="26" spans="1:17" ht="14.25" customHeight="1">
      <c r="A26" s="951">
        <f>Billy_Sheet!G25</f>
        <v>0</v>
      </c>
      <c r="B26" s="931"/>
      <c r="C26" s="932"/>
      <c r="D26" s="932"/>
      <c r="F26" s="932"/>
      <c r="G26" s="1051">
        <v>0</v>
      </c>
      <c r="H26" s="932"/>
      <c r="I26" s="932"/>
      <c r="J26" s="932" t="s">
        <v>572</v>
      </c>
      <c r="K26" s="1054">
        <f>PGL_Deliveries!C6/1000</f>
        <v>270</v>
      </c>
      <c r="L26" s="929" t="s">
        <v>683</v>
      </c>
      <c r="M26" s="951">
        <f>NSG_Deliveries!C6/1000</f>
        <v>50</v>
      </c>
      <c r="N26" s="951"/>
    </row>
    <row r="27" spans="1:17" ht="8.25" customHeight="1">
      <c r="A27" s="932"/>
      <c r="B27" s="953"/>
      <c r="C27" s="932"/>
      <c r="D27" s="932"/>
      <c r="F27" s="932"/>
      <c r="G27" s="932"/>
      <c r="H27" s="933"/>
      <c r="I27" s="932"/>
      <c r="J27" s="933"/>
    </row>
    <row r="28" spans="1:17" ht="12.75" customHeight="1">
      <c r="A28" s="940" t="s">
        <v>654</v>
      </c>
      <c r="B28" s="951"/>
      <c r="C28" s="931"/>
      <c r="D28" s="932"/>
      <c r="F28" s="929"/>
      <c r="G28" s="941" t="s">
        <v>659</v>
      </c>
      <c r="H28" s="431"/>
      <c r="J28" s="932" t="s">
        <v>685</v>
      </c>
      <c r="K28" s="957">
        <f>SUM(A42)</f>
        <v>211.16300000000001</v>
      </c>
      <c r="L28" s="932" t="s">
        <v>734</v>
      </c>
      <c r="M28" s="957">
        <f>SUM(J2+K17+K19+H11+H9-M26)</f>
        <v>-1.3070000000000022</v>
      </c>
      <c r="N28" s="957"/>
    </row>
    <row r="29" spans="1:17">
      <c r="A29" s="951">
        <f>PGL_Supplies!M8/1000</f>
        <v>0</v>
      </c>
      <c r="B29" s="951"/>
      <c r="C29" s="932"/>
      <c r="D29" s="1055"/>
      <c r="F29" s="1105">
        <f>PGL_Requirements!A7</f>
        <v>37037</v>
      </c>
      <c r="G29" s="951">
        <f>PGL_Requirements!H7/1000</f>
        <v>0</v>
      </c>
      <c r="H29" s="930"/>
      <c r="J29" s="932" t="s">
        <v>687</v>
      </c>
      <c r="K29" s="951">
        <f>PGL_Supplies!AC8/1000+PGL_Supplies!L8/1000-PGL_Requirements!O8/1000</f>
        <v>45.658000000000001</v>
      </c>
    </row>
    <row r="30" spans="1:17" ht="10.5" customHeight="1">
      <c r="A30" s="934"/>
      <c r="B30" s="951"/>
      <c r="C30" s="932"/>
      <c r="D30" s="951"/>
      <c r="F30" s="1105">
        <f>PGL_Requirements!A8</f>
        <v>37038</v>
      </c>
      <c r="G30" s="951">
        <f>PGL_Requirements!H8/1000</f>
        <v>0</v>
      </c>
    </row>
    <row r="31" spans="1:17" ht="17.25" customHeight="1">
      <c r="A31" s="940" t="s">
        <v>656</v>
      </c>
      <c r="B31" s="1056"/>
      <c r="C31" s="935"/>
      <c r="D31" s="957"/>
      <c r="G31" s="941" t="s">
        <v>657</v>
      </c>
      <c r="H31" s="957"/>
      <c r="J31" s="932" t="s">
        <v>684</v>
      </c>
      <c r="K31" s="957">
        <f>SUM(K28+K29-K26)</f>
        <v>-13.178999999999974</v>
      </c>
    </row>
    <row r="32" spans="1:17">
      <c r="A32" s="951">
        <f>PGL_Supplies!H8/1000</f>
        <v>1</v>
      </c>
      <c r="G32" s="951">
        <f>PGL_Requirements!P8/1000</f>
        <v>150</v>
      </c>
    </row>
    <row r="33" spans="1:11" ht="6.75" customHeight="1"/>
    <row r="34" spans="1:11">
      <c r="A34" s="929" t="s">
        <v>655</v>
      </c>
      <c r="G34" s="932" t="s">
        <v>658</v>
      </c>
    </row>
    <row r="35" spans="1:11">
      <c r="A35" s="1051">
        <v>0</v>
      </c>
      <c r="G35" s="951">
        <f>PGL_Requirements!B8/1000</f>
        <v>0</v>
      </c>
    </row>
    <row r="36" spans="1:11">
      <c r="G36" s="951"/>
    </row>
    <row r="37" spans="1:11">
      <c r="C37" s="929" t="s">
        <v>661</v>
      </c>
      <c r="F37" s="929" t="s">
        <v>662</v>
      </c>
      <c r="G37" s="951"/>
    </row>
    <row r="38" spans="1:11">
      <c r="C38" s="1047">
        <v>370</v>
      </c>
      <c r="F38" s="1047">
        <v>753</v>
      </c>
    </row>
    <row r="39" spans="1:11">
      <c r="A39" s="949" t="s">
        <v>733</v>
      </c>
      <c r="E39" s="931" t="s">
        <v>660</v>
      </c>
      <c r="F39" s="931"/>
    </row>
    <row r="40" spans="1:11">
      <c r="A40" s="957">
        <f>SUM(A3:A35)</f>
        <v>361.16300000000001</v>
      </c>
      <c r="B40" s="945"/>
      <c r="C40" s="944"/>
      <c r="D40" s="945"/>
      <c r="E40" s="945"/>
      <c r="F40" s="1057"/>
      <c r="G40" s="1057">
        <f>SUM(G30:G35)</f>
        <v>150</v>
      </c>
      <c r="H40" s="947"/>
      <c r="I40" s="946"/>
    </row>
    <row r="41" spans="1:11">
      <c r="A41" s="948" t="s">
        <v>676</v>
      </c>
      <c r="B41" s="951"/>
      <c r="C41" s="945"/>
      <c r="D41" s="945"/>
      <c r="E41" s="945"/>
      <c r="F41" s="945"/>
      <c r="G41" s="945"/>
      <c r="H41" s="945"/>
      <c r="I41" s="944"/>
    </row>
    <row r="42" spans="1:11">
      <c r="A42" s="951">
        <f>SUM(A40-G40)</f>
        <v>211.16300000000001</v>
      </c>
      <c r="B42" s="951"/>
      <c r="C42" s="945"/>
      <c r="D42" s="945"/>
      <c r="E42" s="945"/>
      <c r="F42" s="954"/>
      <c r="G42" s="956" t="s">
        <v>680</v>
      </c>
      <c r="H42" s="1058"/>
      <c r="I42" s="1059"/>
      <c r="J42" s="1058"/>
      <c r="K42" s="1049"/>
    </row>
    <row r="43" spans="1:11" ht="14.25" customHeight="1">
      <c r="A43" s="951"/>
      <c r="B43" s="951"/>
      <c r="C43" s="951"/>
      <c r="D43" s="951"/>
      <c r="E43" s="954"/>
      <c r="F43" s="953" t="s">
        <v>675</v>
      </c>
      <c r="G43" s="954" t="s">
        <v>674</v>
      </c>
      <c r="I43" s="951"/>
    </row>
    <row r="44" spans="1:11" ht="12.75" customHeight="1">
      <c r="A44" s="948" t="s">
        <v>663</v>
      </c>
      <c r="B44" s="951" t="s">
        <v>668</v>
      </c>
      <c r="C44" s="951" t="s">
        <v>669</v>
      </c>
      <c r="D44" s="951" t="s">
        <v>670</v>
      </c>
      <c r="E44" s="952"/>
      <c r="F44" s="952" t="s">
        <v>671</v>
      </c>
      <c r="G44" s="945" t="s">
        <v>673</v>
      </c>
      <c r="H44" s="931" t="s">
        <v>672</v>
      </c>
      <c r="I44" s="951"/>
      <c r="K44" s="931"/>
    </row>
    <row r="45" spans="1:11">
      <c r="A45" s="948" t="s">
        <v>667</v>
      </c>
      <c r="B45" s="1060">
        <v>250</v>
      </c>
      <c r="C45" s="1060">
        <v>410</v>
      </c>
      <c r="D45" s="1061">
        <f>SUM(F2+F15)/2</f>
        <v>336</v>
      </c>
      <c r="E45" s="1062"/>
      <c r="F45" s="1063">
        <v>6.7000000000000004E-2</v>
      </c>
      <c r="G45" s="1064">
        <f>(C45-D45)*F45</f>
        <v>4.9580000000000002</v>
      </c>
      <c r="H45" s="1064">
        <f>(D45-B45)*F45</f>
        <v>5.7620000000000005</v>
      </c>
      <c r="I45" s="951"/>
      <c r="J45" s="1065"/>
    </row>
    <row r="46" spans="1:11">
      <c r="A46" s="931" t="s">
        <v>664</v>
      </c>
      <c r="B46" s="1066">
        <v>797</v>
      </c>
      <c r="C46" s="1060">
        <v>797</v>
      </c>
      <c r="D46" s="1061">
        <v>797</v>
      </c>
      <c r="E46" s="1062"/>
      <c r="F46" s="1063">
        <v>0.13900000000000001</v>
      </c>
      <c r="G46" s="1064">
        <f>(C46-D46)*F46</f>
        <v>0</v>
      </c>
      <c r="H46" s="1064">
        <f>(D46-B46)*F46</f>
        <v>0</v>
      </c>
      <c r="I46" s="951"/>
    </row>
    <row r="47" spans="1:11">
      <c r="A47" s="931" t="s">
        <v>665</v>
      </c>
      <c r="B47" s="1066">
        <v>250</v>
      </c>
      <c r="C47" s="1060">
        <v>410</v>
      </c>
      <c r="D47" s="1061">
        <f>SUM(C2+C15)/2</f>
        <v>338.5</v>
      </c>
      <c r="E47" s="1062"/>
      <c r="F47" s="1063">
        <v>0.14099999999999999</v>
      </c>
      <c r="G47" s="1064">
        <f>(C47-D47)*F47</f>
        <v>10.081499999999998</v>
      </c>
      <c r="H47" s="1064">
        <f>(D47-B47)*F47</f>
        <v>12.478499999999999</v>
      </c>
      <c r="I47" s="951"/>
    </row>
    <row r="48" spans="1:11">
      <c r="A48" s="931" t="s">
        <v>666</v>
      </c>
      <c r="B48" s="1066">
        <v>285</v>
      </c>
      <c r="C48" s="1060">
        <v>750</v>
      </c>
      <c r="D48" s="1061">
        <f>SUM(C18+C38)/2</f>
        <v>366.5</v>
      </c>
      <c r="E48" s="1062"/>
      <c r="F48" s="1063">
        <v>0.161</v>
      </c>
      <c r="G48" s="1064">
        <f>(C48-D48)*F48</f>
        <v>61.743500000000004</v>
      </c>
      <c r="H48" s="1064">
        <f>(D48-B48)*F48</f>
        <v>13.121500000000001</v>
      </c>
    </row>
    <row r="49" spans="1:8">
      <c r="B49" s="1046"/>
      <c r="C49" s="1046"/>
      <c r="D49" s="1046"/>
      <c r="E49" s="1046"/>
      <c r="F49" s="955" t="s">
        <v>358</v>
      </c>
      <c r="G49" s="1064">
        <f>SUM(G45:G48)</f>
        <v>76.783000000000001</v>
      </c>
      <c r="H49" s="1064">
        <f>SUM(H45:H48)</f>
        <v>31.361999999999998</v>
      </c>
    </row>
    <row r="55" spans="1:8">
      <c r="A55" s="1067"/>
      <c r="G55" s="1067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37037</v>
      </c>
      <c r="B5" s="11">
        <v>56</v>
      </c>
      <c r="C5" s="49">
        <v>47</v>
      </c>
      <c r="D5" s="49">
        <v>9</v>
      </c>
      <c r="E5" s="11" t="s">
        <v>796</v>
      </c>
      <c r="F5" s="11">
        <v>153</v>
      </c>
      <c r="G5" s="11">
        <v>6560</v>
      </c>
      <c r="H5" s="11">
        <v>17</v>
      </c>
      <c r="I5" s="908" t="s">
        <v>835</v>
      </c>
      <c r="J5" s="908" t="s">
        <v>11</v>
      </c>
      <c r="K5" s="11">
        <v>5</v>
      </c>
      <c r="L5" s="11">
        <v>1</v>
      </c>
      <c r="N5" s="15" t="str">
        <f>I5&amp;" "&amp;I5</f>
        <v xml:space="preserve">  CLOUDY MOST OF THE TIME WITH NOTHING MORE THAN A COUPLE OF SHOWERS.   CLOUDY MOST OF THE TIME WITH NOTHING MORE THAN A COUPLE OF SHOWERS.</v>
      </c>
      <c r="AE5" s="15">
        <v>1</v>
      </c>
      <c r="AH5" s="15" t="s">
        <v>34</v>
      </c>
    </row>
    <row r="6" spans="1:34" ht="16.5" customHeight="1">
      <c r="A6" s="88">
        <f>A5+1</f>
        <v>37038</v>
      </c>
      <c r="B6" s="11">
        <v>65</v>
      </c>
      <c r="C6" s="49">
        <v>48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08" t="s">
        <v>832</v>
      </c>
      <c r="J6" s="908" t="s">
        <v>11</v>
      </c>
      <c r="K6" s="11">
        <v>5</v>
      </c>
      <c r="L6" s="11" t="s">
        <v>625</v>
      </c>
      <c r="N6" s="15" t="str">
        <f>I6&amp;" "&amp;J6</f>
        <v xml:space="preserve">  IT MAY SHOWER WITH PERIODS OF CLOUDS AND SUNSHINE.  </v>
      </c>
      <c r="AE6" s="15">
        <v>1</v>
      </c>
      <c r="AH6" s="15" t="s">
        <v>35</v>
      </c>
    </row>
    <row r="7" spans="1:34" ht="16.5" customHeight="1">
      <c r="A7" s="88">
        <f>A6+1</f>
        <v>37039</v>
      </c>
      <c r="B7" s="11">
        <v>69</v>
      </c>
      <c r="C7" s="49">
        <v>52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08" t="s">
        <v>833</v>
      </c>
      <c r="J7" s="908" t="s">
        <v>11</v>
      </c>
      <c r="K7" s="11">
        <v>5</v>
      </c>
      <c r="L7" s="11" t="s">
        <v>22</v>
      </c>
      <c r="N7" s="15" t="str">
        <f>I7&amp;" "&amp;J7</f>
        <v xml:space="preserve">  SUNSHINE AND SOME CLOUDS.  </v>
      </c>
    </row>
    <row r="8" spans="1:34" ht="16.5" customHeight="1">
      <c r="A8" s="88">
        <f>A7+1</f>
        <v>37040</v>
      </c>
      <c r="B8" s="11">
        <v>69</v>
      </c>
      <c r="C8" s="49">
        <v>53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8" t="s">
        <v>836</v>
      </c>
      <c r="J8" s="908" t="s">
        <v>11</v>
      </c>
      <c r="K8" s="11">
        <v>3</v>
      </c>
      <c r="L8" s="11"/>
      <c r="N8" s="15" t="str">
        <f>I8&amp;" "&amp;J8</f>
        <v xml:space="preserve">  A GOOD DEAL OF SUN.  </v>
      </c>
    </row>
    <row r="9" spans="1:34" ht="16.5" customHeight="1">
      <c r="A9" s="88">
        <f>A8+1</f>
        <v>37041</v>
      </c>
      <c r="B9" s="11">
        <v>70</v>
      </c>
      <c r="C9" s="49">
        <v>55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08" t="s">
        <v>836</v>
      </c>
      <c r="J9" s="908" t="s">
        <v>11</v>
      </c>
      <c r="K9" s="11">
        <v>3</v>
      </c>
      <c r="L9" s="11">
        <v>0</v>
      </c>
      <c r="M9" s="89"/>
      <c r="N9" s="15" t="str">
        <f>I10&amp;" "&amp;J9</f>
        <v xml:space="preserve">  A GOOD DEAL OF SUN.  </v>
      </c>
    </row>
    <row r="10" spans="1:34" ht="16.5" customHeight="1">
      <c r="A10" s="88">
        <f>A9+1</f>
        <v>37042</v>
      </c>
      <c r="B10" s="11">
        <v>70</v>
      </c>
      <c r="C10" s="49">
        <v>55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08" t="s">
        <v>836</v>
      </c>
      <c r="J10" s="908" t="s">
        <v>11</v>
      </c>
      <c r="K10" s="11">
        <v>1</v>
      </c>
      <c r="L10" s="11" t="s">
        <v>413</v>
      </c>
    </row>
    <row r="11" spans="1:34" ht="16.5" customHeight="1">
      <c r="G11"/>
    </row>
    <row r="12" spans="1:34" ht="15.75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11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4">
        <f>Weather_Input!A5</f>
        <v>37037</v>
      </c>
      <c r="F2" s="60"/>
      <c r="H2"/>
      <c r="I2"/>
      <c r="J2"/>
      <c r="K2"/>
      <c r="L2"/>
      <c r="M2"/>
    </row>
    <row r="3" spans="1:13" ht="15">
      <c r="A3" s="99" t="s">
        <v>573</v>
      </c>
      <c r="B3" s="630">
        <f>PGL_Supplies!J7/1000</f>
        <v>0</v>
      </c>
      <c r="C3" s="184"/>
      <c r="D3" s="1120" t="s">
        <v>765</v>
      </c>
      <c r="E3" s="805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6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578</v>
      </c>
      <c r="B7" s="226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742</v>
      </c>
      <c r="B8" s="153">
        <f>PGL_Deliveries!V5/1000</f>
        <v>151.89699999999999</v>
      </c>
      <c r="C8" s="629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PGL_Deliveries!Y5/1000+PGL_Deliveries!Z5/1000+PGL_Deliveries!AA5/1000-PGL_Deliveries!BE5/1000-PGL_Deliveries!BF5/1000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4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185</v>
      </c>
      <c r="B17" s="153">
        <f>PGL_Deliveries!AP5/1000</f>
        <v>0</v>
      </c>
      <c r="C17" s="168" t="s">
        <v>11</v>
      </c>
      <c r="D17" s="1154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583</v>
      </c>
      <c r="B18" s="902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2" t="s">
        <v>747</v>
      </c>
      <c r="B19" s="153">
        <f>PGL_Supplies!Y7/1000</f>
        <v>144.11600000000001</v>
      </c>
      <c r="C19" s="629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0.3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5" thickBot="1">
      <c r="A21" s="171" t="s">
        <v>748</v>
      </c>
      <c r="C21" s="175">
        <f>PGL_Requirements!J7/1000</f>
        <v>0</v>
      </c>
      <c r="D21" s="628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6">
        <f>+B19+B20-C21</f>
        <v>144.41600000000003</v>
      </c>
      <c r="C22" s="1119"/>
      <c r="D22" s="249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49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1"/>
      <c r="C24" s="224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49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2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49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2">
        <f>PGL_Requirements!J12/1000</f>
        <v>0</v>
      </c>
      <c r="D29" s="632" t="s">
        <v>195</v>
      </c>
      <c r="E29" s="233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6">
        <f>PGL_Supplies!AD7/1000</f>
        <v>4</v>
      </c>
      <c r="C30" s="64"/>
      <c r="D30" s="632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49" t="s">
        <v>598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4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49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3">
        <f>(PGL_Deliveries!AB5+PGL_Deliveries!AC5+PGL_Deliveries!AD5)/1000</f>
        <v>0</v>
      </c>
      <c r="C34" s="64"/>
      <c r="D34" s="60" t="s">
        <v>196</v>
      </c>
      <c r="E34" s="153">
        <f>PGL_Supplies!AC7/1000</f>
        <v>45.658000000000001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2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4">
        <f>PGL_Requirements!P7/1000</f>
        <v>150</v>
      </c>
      <c r="D37" s="249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608</v>
      </c>
      <c r="B39" s="60"/>
      <c r="C39" s="224">
        <f>PGL_Deliveries!AS5/1000</f>
        <v>0</v>
      </c>
      <c r="D39" s="211" t="s">
        <v>223</v>
      </c>
      <c r="E39" s="210">
        <f>SUM(E22:E37)-SUM(F23:F38)-E33</f>
        <v>45.658000000000001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8" t="s">
        <v>609</v>
      </c>
      <c r="E40" s="805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49" t="s">
        <v>523</v>
      </c>
      <c r="E41" s="806">
        <f>PGL_Supplies!AB7/1000</f>
        <v>197.547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6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739</v>
      </c>
      <c r="B44" s="209" t="s">
        <v>11</v>
      </c>
      <c r="C44" s="224">
        <f>PGL_Requirements!R7/1000</f>
        <v>0.68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612</v>
      </c>
      <c r="B45" s="60">
        <f>Weather_Input!B5</f>
        <v>56</v>
      </c>
      <c r="C45" s="184"/>
      <c r="D45" s="60" t="s">
        <v>622</v>
      </c>
      <c r="E45" s="806">
        <f>PGL_Supplies!T7/1000</f>
        <v>7</v>
      </c>
      <c r="F45" s="170"/>
    </row>
    <row r="46" spans="1:13" ht="15">
      <c r="A46" s="171" t="s">
        <v>613</v>
      </c>
      <c r="B46" s="237">
        <f>Weather_Input!C5</f>
        <v>47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7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5">
        <f>Weather_Input!D5</f>
        <v>9</v>
      </c>
      <c r="C48" s="161"/>
      <c r="D48" s="249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75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1"/>
    </row>
    <row r="51" spans="1:6" ht="15" outlineLevel="2">
      <c r="A51" s="419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5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7" t="s">
        <v>5</v>
      </c>
      <c r="B3" s="242">
        <f>NSG_Deliveries!H5/1000</f>
        <v>0</v>
      </c>
      <c r="C3" s="119"/>
      <c r="D3" s="228" t="s">
        <v>323</v>
      </c>
      <c r="E3" s="427">
        <f>Weather_Input!A5</f>
        <v>37037</v>
      </c>
      <c r="F3" s="119"/>
      <c r="G3"/>
      <c r="J3"/>
      <c r="K3"/>
    </row>
    <row r="4" spans="1:11" ht="15.75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177</v>
      </c>
      <c r="B5" s="241">
        <f>NSG_Deliveries!E5/1000</f>
        <v>0</v>
      </c>
      <c r="C5" s="145"/>
      <c r="D5" s="220" t="s">
        <v>325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326</v>
      </c>
      <c r="B7" s="215">
        <f>NSG_Deliveries!G5/1000</f>
        <v>0</v>
      </c>
      <c r="C7" s="816"/>
      <c r="D7" s="220" t="s">
        <v>327</v>
      </c>
      <c r="E7" s="215">
        <f>NSG_Supplies!U7/1000</f>
        <v>0</v>
      </c>
      <c r="F7" s="115"/>
      <c r="G7"/>
    </row>
    <row r="8" spans="1:11" ht="15" customHeight="1">
      <c r="A8" s="235" t="s">
        <v>223</v>
      </c>
      <c r="B8" s="215">
        <f>B5+B7</f>
        <v>0</v>
      </c>
      <c r="C8" s="160"/>
      <c r="D8" s="817" t="s">
        <v>640</v>
      </c>
      <c r="E8" s="811">
        <f>NSG_Deliveries!F5/1000</f>
        <v>0</v>
      </c>
      <c r="F8" s="810"/>
      <c r="G8"/>
    </row>
    <row r="9" spans="1:11" ht="15" customHeight="1">
      <c r="A9" s="243" t="s">
        <v>322</v>
      </c>
      <c r="B9" s="216" t="s">
        <v>11</v>
      </c>
      <c r="C9" s="133">
        <f>NSG_Requirements!L7/1000</f>
        <v>0</v>
      </c>
      <c r="D9" s="1" t="s">
        <v>630</v>
      </c>
      <c r="E9" s="812" t="s">
        <v>11</v>
      </c>
      <c r="F9" s="1035">
        <f>NSG_Deliveries!M5/1000</f>
        <v>11.661</v>
      </c>
      <c r="G9" s="121"/>
    </row>
    <row r="10" spans="1:11" ht="15" customHeight="1">
      <c r="A10" s="127" t="s">
        <v>329</v>
      </c>
      <c r="B10" s="217">
        <f>NSG_Supplies!H7/1000</f>
        <v>0</v>
      </c>
      <c r="C10" s="132"/>
      <c r="D10" s="1037" t="s">
        <v>631</v>
      </c>
      <c r="E10" s="444">
        <f>NSG_Deliveries!N5/1000</f>
        <v>0</v>
      </c>
      <c r="F10" s="813"/>
      <c r="G10"/>
    </row>
    <row r="11" spans="1:11" ht="15" customHeight="1" thickBot="1">
      <c r="A11" s="130" t="s">
        <v>330</v>
      </c>
      <c r="B11" s="425" t="s">
        <v>11</v>
      </c>
      <c r="C11" s="426"/>
      <c r="D11" s="169" t="s">
        <v>641</v>
      </c>
      <c r="E11" s="814">
        <f>NSG_Supplies!Q7/1000</f>
        <v>20</v>
      </c>
      <c r="F11" s="815"/>
      <c r="G11"/>
    </row>
    <row r="12" spans="1:11" ht="15" customHeight="1">
      <c r="A12" s="127" t="s">
        <v>393</v>
      </c>
      <c r="B12" s="217">
        <v>0</v>
      </c>
      <c r="C12" s="131"/>
      <c r="D12" t="s">
        <v>328</v>
      </c>
      <c r="E12" s="240"/>
      <c r="F12" s="796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7">
        <f>NSG_Supplies!R7/1000</f>
        <v>29.943000000000001</v>
      </c>
      <c r="C13" s="131"/>
      <c r="D13" s="245" t="s">
        <v>331</v>
      </c>
      <c r="E13" s="238"/>
      <c r="F13" s="246"/>
      <c r="G13"/>
    </row>
    <row r="14" spans="1:11" ht="15" customHeight="1">
      <c r="A14" s="127" t="s">
        <v>193</v>
      </c>
      <c r="B14" s="217">
        <f>NSG_Supplies!C7/1000</f>
        <v>0</v>
      </c>
      <c r="C14" s="131"/>
      <c r="D14" s="213" t="s">
        <v>332</v>
      </c>
      <c r="E14" s="244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6" t="s">
        <v>334</v>
      </c>
      <c r="E15" s="770">
        <f>+NSG_Supplies!O7/1000</f>
        <v>0</v>
      </c>
      <c r="F15" s="214"/>
    </row>
    <row r="16" spans="1:11" ht="15" customHeight="1" thickBot="1">
      <c r="A16" s="129" t="s">
        <v>336</v>
      </c>
      <c r="B16" s="444">
        <f>NSG_Deliveries!L5/1000</f>
        <v>0</v>
      </c>
      <c r="C16" s="1036"/>
      <c r="D16" s="825" t="s">
        <v>242</v>
      </c>
      <c r="E16" s="234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29" t="s">
        <v>338</v>
      </c>
      <c r="E17" s="428"/>
      <c r="F17" s="430"/>
    </row>
    <row r="18" spans="1:8" ht="15" customHeight="1">
      <c r="A18" s="127" t="s">
        <v>339</v>
      </c>
      <c r="B18" s="217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4">
        <f>PGL_Requirements!Y7/1000+PGL_Requirements!AB7/1000</f>
        <v>0</v>
      </c>
      <c r="C19" s="443"/>
      <c r="D19" s="230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4">
        <f>PGL_Requirements!Z7/1000</f>
        <v>0</v>
      </c>
      <c r="C20" s="443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4">
        <f>PGL_Requirements!AA7/1000</f>
        <v>0</v>
      </c>
      <c r="C21" s="443"/>
      <c r="D21" s="221" t="s">
        <v>344</v>
      </c>
      <c r="E21" s="217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1" t="s">
        <v>368</v>
      </c>
      <c r="E22" s="217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1" t="s">
        <v>346</v>
      </c>
      <c r="E23" s="217">
        <f>PGL_Supplies!S7/1000</f>
        <v>0</v>
      </c>
      <c r="F23" s="128" t="s">
        <v>11</v>
      </c>
    </row>
    <row r="24" spans="1:8" ht="15" customHeight="1">
      <c r="A24" s="127" t="s">
        <v>347</v>
      </c>
      <c r="B24" s="217">
        <f>NSG_Supplies!K7/1000</f>
        <v>0</v>
      </c>
      <c r="C24" s="131"/>
      <c r="D24" s="229" t="s">
        <v>348</v>
      </c>
      <c r="E24" s="222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29" t="s">
        <v>350</v>
      </c>
      <c r="E25" s="217">
        <f>PGL_Requirements!V71/1000</f>
        <v>0</v>
      </c>
      <c r="F25" s="118"/>
    </row>
    <row r="26" spans="1:8" ht="15" customHeight="1">
      <c r="A26" s="144" t="s">
        <v>351</v>
      </c>
      <c r="B26" s="218">
        <f>NSG_Supplies!J7/1000</f>
        <v>0</v>
      </c>
      <c r="C26" s="145"/>
      <c r="D26" s="771" t="s">
        <v>352</v>
      </c>
      <c r="E26" s="775"/>
      <c r="F26" s="128">
        <f>NSG_Requirements!D7/1000</f>
        <v>0</v>
      </c>
    </row>
    <row r="27" spans="1:8" ht="15" customHeight="1" thickBot="1">
      <c r="A27" s="146" t="s">
        <v>223</v>
      </c>
      <c r="B27" s="219">
        <f>SUM(B9:B26)-SUM(C9:C26)</f>
        <v>28.546000000000003</v>
      </c>
      <c r="C27" s="147"/>
      <c r="D27" s="239" t="s">
        <v>353</v>
      </c>
      <c r="E27" s="219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8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8" customWidth="1"/>
    <col min="3" max="3" width="20.6640625" customWidth="1"/>
  </cols>
  <sheetData>
    <row r="1" spans="2:7">
      <c r="E1" s="798" t="s">
        <v>11</v>
      </c>
    </row>
    <row r="2" spans="2:7">
      <c r="B2" s="926" t="s">
        <v>11</v>
      </c>
      <c r="C2" s="926" t="s">
        <v>11</v>
      </c>
      <c r="D2" s="926" t="s">
        <v>171</v>
      </c>
      <c r="E2" s="926" t="s">
        <v>11</v>
      </c>
      <c r="F2" s="926" t="s">
        <v>171</v>
      </c>
      <c r="G2" s="926" t="s">
        <v>11</v>
      </c>
    </row>
    <row r="4" spans="2:7">
      <c r="B4" s="927" t="s">
        <v>171</v>
      </c>
    </row>
    <row r="6" spans="2:7">
      <c r="B6" s="926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6"/>
    </row>
    <row r="8" spans="2:7">
      <c r="B8" s="926" t="s">
        <v>11</v>
      </c>
    </row>
    <row r="9" spans="2:7">
      <c r="B9" s="926"/>
    </row>
    <row r="10" spans="2:7">
      <c r="B10" s="926" t="s">
        <v>11</v>
      </c>
      <c r="C10" t="b">
        <f>TRUE()</f>
        <v>1</v>
      </c>
    </row>
    <row r="11" spans="2:7">
      <c r="B11" s="926" t="s">
        <v>11</v>
      </c>
    </row>
    <row r="12" spans="2:7">
      <c r="B12" s="926" t="s">
        <v>11</v>
      </c>
    </row>
    <row r="13" spans="2:7">
      <c r="B13" s="926"/>
    </row>
    <row r="14" spans="2:7">
      <c r="B14" s="926" t="s">
        <v>11</v>
      </c>
    </row>
    <row r="15" spans="2:7">
      <c r="B15" s="926"/>
    </row>
    <row r="16" spans="2:7">
      <c r="B16" s="926" t="s">
        <v>11</v>
      </c>
    </row>
    <row r="17" spans="2:5">
      <c r="B17" s="926"/>
    </row>
    <row r="18" spans="2:5">
      <c r="B18" s="926" t="s">
        <v>11</v>
      </c>
    </row>
    <row r="19" spans="2:5">
      <c r="B19" s="926"/>
    </row>
    <row r="20" spans="2:5">
      <c r="B20" s="926" t="s">
        <v>11</v>
      </c>
    </row>
    <row r="21" spans="2:5">
      <c r="B21" s="926"/>
    </row>
    <row r="22" spans="2:5">
      <c r="B22" s="926" t="s">
        <v>11</v>
      </c>
    </row>
    <row r="24" spans="2:5">
      <c r="B24" s="926" t="s">
        <v>11</v>
      </c>
    </row>
    <row r="25" spans="2:5">
      <c r="E25" s="926" t="s">
        <v>11</v>
      </c>
    </row>
    <row r="27" spans="2:5">
      <c r="B27" s="926" t="s">
        <v>11</v>
      </c>
    </row>
    <row r="29" spans="2:5">
      <c r="B29" s="926" t="s">
        <v>11</v>
      </c>
    </row>
    <row r="30" spans="2:5">
      <c r="B30" s="926"/>
    </row>
    <row r="31" spans="2:5">
      <c r="B31" s="926" t="s">
        <v>11</v>
      </c>
    </row>
    <row r="32" spans="2:5">
      <c r="B32" s="926"/>
    </row>
    <row r="33" spans="2:2">
      <c r="B33" s="926" t="s">
        <v>11</v>
      </c>
    </row>
    <row r="34" spans="2:2">
      <c r="B34" s="926"/>
    </row>
    <row r="35" spans="2:2">
      <c r="B35" s="926" t="s">
        <v>11</v>
      </c>
    </row>
    <row r="36" spans="2:2">
      <c r="B36" s="926"/>
    </row>
    <row r="37" spans="2:2">
      <c r="B37" s="926" t="s">
        <v>11</v>
      </c>
    </row>
    <row r="38" spans="2:2">
      <c r="B38" s="926"/>
    </row>
    <row r="39" spans="2:2">
      <c r="B39" s="926" t="s">
        <v>11</v>
      </c>
    </row>
    <row r="40" spans="2:2">
      <c r="B40" s="926"/>
    </row>
    <row r="41" spans="2:2">
      <c r="B41" s="926" t="s">
        <v>11</v>
      </c>
    </row>
    <row r="42" spans="2:2">
      <c r="B42" s="926"/>
    </row>
    <row r="43" spans="2:2">
      <c r="B43" s="926" t="s">
        <v>11</v>
      </c>
    </row>
    <row r="44" spans="2:2">
      <c r="B44" s="926"/>
    </row>
    <row r="45" spans="2:2">
      <c r="B45" s="926" t="s">
        <v>11</v>
      </c>
    </row>
    <row r="47" spans="2:2">
      <c r="B47" s="926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5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355</v>
      </c>
      <c r="B1" s="51">
        <f>Weather_Input!A5</f>
        <v>37037</v>
      </c>
      <c r="C1" s="4"/>
    </row>
    <row r="2" spans="1:19">
      <c r="A2" s="111" t="s">
        <v>356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37036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171973</v>
      </c>
      <c r="O6" s="203">
        <v>0</v>
      </c>
      <c r="P6" s="203">
        <v>49122666</v>
      </c>
      <c r="Q6" s="203">
        <v>15045098</v>
      </c>
      <c r="R6" s="203">
        <v>34077568</v>
      </c>
      <c r="S6" s="203">
        <v>0</v>
      </c>
    </row>
    <row r="7" spans="1:19">
      <c r="A7" s="4">
        <f>B1</f>
        <v>37037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148116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49270782</v>
      </c>
      <c r="Q7">
        <f>IF(O7&gt;0,Q6+O7,Q6)</f>
        <v>15045098</v>
      </c>
      <c r="R7">
        <f>IF(P7&gt;Q7,P7-Q7,0)</f>
        <v>34225684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1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5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1"/>
      <c r="AP2" s="431"/>
      <c r="AQ2" s="431"/>
      <c r="AR2" s="431"/>
      <c r="AS2" s="431"/>
      <c r="AT2" s="431"/>
      <c r="AU2" s="431" t="s">
        <v>11</v>
      </c>
      <c r="AV2" s="431"/>
      <c r="AW2" s="431"/>
      <c r="AX2" s="431"/>
      <c r="AZ2" s="197" t="s">
        <v>38</v>
      </c>
      <c r="BA2" t="s">
        <v>722</v>
      </c>
      <c r="BC2" t="s">
        <v>723</v>
      </c>
      <c r="BE2" s="1088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3" t="s">
        <v>705</v>
      </c>
      <c r="AP3" s="1069"/>
      <c r="AQ3" s="793" t="s">
        <v>706</v>
      </c>
      <c r="AR3" s="1069"/>
      <c r="AS3" s="793" t="s">
        <v>707</v>
      </c>
      <c r="AT3" s="1069"/>
      <c r="AU3" s="431" t="s">
        <v>183</v>
      </c>
      <c r="AV3" s="431" t="s">
        <v>183</v>
      </c>
      <c r="AW3" s="431"/>
      <c r="AX3" s="431" t="s">
        <v>183</v>
      </c>
      <c r="AZ3" s="121" t="s">
        <v>720</v>
      </c>
      <c r="BA3" s="121"/>
      <c r="BB3" s="161"/>
      <c r="BC3" s="121" t="s">
        <v>43</v>
      </c>
      <c r="BE3" s="1088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8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1" t="s">
        <v>202</v>
      </c>
      <c r="AV4" s="431" t="s">
        <v>738</v>
      </c>
      <c r="AW4" s="431" t="s">
        <v>211</v>
      </c>
      <c r="AX4" s="431" t="s">
        <v>702</v>
      </c>
      <c r="AY4" s="1"/>
      <c r="AZ4" s="1089" t="s">
        <v>42</v>
      </c>
      <c r="BA4" s="1090" t="s">
        <v>43</v>
      </c>
      <c r="BB4" s="1091" t="s">
        <v>719</v>
      </c>
      <c r="BC4" s="1091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37037</v>
      </c>
      <c r="B5" s="1">
        <f>(Weather_Input!B5+Weather_Input!C5)/2</f>
        <v>51.5</v>
      </c>
      <c r="C5" s="909">
        <v>320000</v>
      </c>
      <c r="D5" s="910">
        <v>0</v>
      </c>
      <c r="E5" s="910">
        <v>0</v>
      </c>
      <c r="F5" s="910">
        <v>0</v>
      </c>
      <c r="G5" s="910">
        <v>0</v>
      </c>
      <c r="H5" s="910">
        <v>0</v>
      </c>
      <c r="I5" s="910">
        <v>0</v>
      </c>
      <c r="J5" s="910">
        <v>0</v>
      </c>
      <c r="K5" s="910">
        <v>0</v>
      </c>
      <c r="L5" s="910">
        <v>0</v>
      </c>
      <c r="M5" s="910">
        <v>0</v>
      </c>
      <c r="N5" s="910">
        <v>0</v>
      </c>
      <c r="O5" s="910">
        <v>0</v>
      </c>
      <c r="P5" s="910">
        <v>0</v>
      </c>
      <c r="Q5" s="910">
        <v>0</v>
      </c>
      <c r="R5" s="910">
        <v>0</v>
      </c>
      <c r="S5" s="915">
        <v>4287</v>
      </c>
      <c r="T5" s="1153">
        <v>0</v>
      </c>
      <c r="U5" s="909">
        <f>SUM(D5:S5)-T5</f>
        <v>4287</v>
      </c>
      <c r="V5" s="909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5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37038</v>
      </c>
      <c r="B6" s="928">
        <f>(Weather_Input!B6+Weather_Input!C6)/2</f>
        <v>56.5</v>
      </c>
      <c r="C6" s="909">
        <v>270000</v>
      </c>
      <c r="D6" s="911" t="s">
        <v>11</v>
      </c>
      <c r="E6" s="912"/>
      <c r="F6" s="912"/>
      <c r="G6" s="912"/>
      <c r="H6" s="912"/>
      <c r="I6" s="912" t="s">
        <v>11</v>
      </c>
      <c r="J6" s="912"/>
      <c r="K6" s="912"/>
      <c r="L6" s="912" t="s">
        <v>11</v>
      </c>
      <c r="M6" s="912"/>
      <c r="N6" s="912"/>
      <c r="O6" s="912"/>
      <c r="P6" s="912"/>
      <c r="Q6" s="912"/>
      <c r="R6" s="912"/>
      <c r="S6" s="912"/>
      <c r="T6" s="912"/>
      <c r="U6" s="912"/>
      <c r="V6" s="91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37039</v>
      </c>
      <c r="B7" s="928">
        <f>(Weather_Input!B7+Weather_Input!C7)/2</f>
        <v>60.5</v>
      </c>
      <c r="C7" s="909">
        <v>250000</v>
      </c>
      <c r="D7" s="911" t="s">
        <v>11</v>
      </c>
      <c r="E7" s="912"/>
      <c r="F7" s="912"/>
      <c r="G7" s="912"/>
      <c r="H7" s="913" t="s">
        <v>77</v>
      </c>
      <c r="I7" s="912"/>
      <c r="J7" s="912"/>
      <c r="K7" s="912"/>
      <c r="L7" s="912"/>
      <c r="M7" s="912"/>
      <c r="N7" s="912"/>
      <c r="O7" s="912"/>
      <c r="P7" s="912"/>
      <c r="Q7" s="912"/>
      <c r="R7" s="912" t="s">
        <v>536</v>
      </c>
      <c r="S7" s="916">
        <v>0</v>
      </c>
      <c r="T7" s="916"/>
      <c r="U7" s="912"/>
      <c r="V7" s="91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37040</v>
      </c>
      <c r="B8" s="928">
        <f>(Weather_Input!B8+Weather_Input!C8)/2</f>
        <v>61</v>
      </c>
      <c r="C8" s="909">
        <v>240000</v>
      </c>
      <c r="D8" s="911" t="s">
        <v>11</v>
      </c>
      <c r="E8" s="912" t="s">
        <v>11</v>
      </c>
      <c r="F8" s="912"/>
      <c r="G8" s="912"/>
      <c r="H8" s="914" t="s">
        <v>78</v>
      </c>
      <c r="I8" s="912"/>
      <c r="J8" s="912"/>
      <c r="K8" s="912"/>
      <c r="L8" s="912"/>
      <c r="M8" s="912"/>
      <c r="N8" s="912"/>
      <c r="O8" s="912"/>
      <c r="P8" s="912"/>
      <c r="Q8" s="912"/>
      <c r="R8" s="912" t="s">
        <v>537</v>
      </c>
      <c r="S8" s="916">
        <v>0</v>
      </c>
      <c r="T8" s="916"/>
      <c r="U8" s="912"/>
      <c r="V8" s="91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37041</v>
      </c>
      <c r="B9" s="928">
        <f>(Weather_Input!B9+Weather_Input!C9)/2</f>
        <v>62.5</v>
      </c>
      <c r="C9" s="909">
        <v>230000</v>
      </c>
      <c r="D9" s="911" t="s">
        <v>11</v>
      </c>
      <c r="E9" s="912"/>
      <c r="F9" s="912"/>
      <c r="G9" s="912"/>
      <c r="H9" s="912" t="s">
        <v>79</v>
      </c>
      <c r="I9" s="912"/>
      <c r="J9" s="912"/>
      <c r="K9" s="912"/>
      <c r="L9" s="912"/>
      <c r="M9" s="912"/>
      <c r="N9" s="912"/>
      <c r="O9" s="912"/>
      <c r="P9" s="912"/>
      <c r="Q9" s="912"/>
      <c r="R9" s="912" t="s">
        <v>538</v>
      </c>
      <c r="S9" s="916">
        <v>0</v>
      </c>
      <c r="T9" s="916"/>
      <c r="U9" s="912"/>
      <c r="V9" s="91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37042</v>
      </c>
      <c r="B10" s="928">
        <f>(Weather_Input!B10+Weather_Input!C10)/2</f>
        <v>62.5</v>
      </c>
      <c r="C10" s="909">
        <v>230000</v>
      </c>
      <c r="D10" s="911" t="s">
        <v>11</v>
      </c>
      <c r="E10" s="912" t="s">
        <v>11</v>
      </c>
      <c r="F10" s="912"/>
      <c r="G10" s="912"/>
      <c r="H10" s="912" t="s">
        <v>80</v>
      </c>
      <c r="I10" s="912"/>
      <c r="J10" s="912"/>
      <c r="K10" s="912"/>
      <c r="L10" s="912"/>
      <c r="M10" s="912"/>
      <c r="N10" s="912"/>
      <c r="O10" s="912"/>
      <c r="P10" s="912"/>
      <c r="Q10" s="912"/>
      <c r="R10" s="912" t="s">
        <v>541</v>
      </c>
      <c r="S10" s="916">
        <v>0</v>
      </c>
      <c r="T10" s="916"/>
      <c r="U10" s="912"/>
      <c r="V10" s="91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9" t="s">
        <v>11</v>
      </c>
      <c r="T16" s="829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5"/>
      <c r="T29" s="795"/>
    </row>
    <row r="30" spans="3:92">
      <c r="S30" s="795"/>
      <c r="T30" s="795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6" sqref="C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37037</v>
      </c>
      <c r="B5" s="1">
        <f>(Weather_Input!B5+Weather_Input!C5)/2</f>
        <v>51.5</v>
      </c>
      <c r="C5" s="909">
        <v>60000</v>
      </c>
      <c r="D5" s="909">
        <v>0</v>
      </c>
      <c r="E5" s="909">
        <v>0</v>
      </c>
      <c r="F5" s="909">
        <v>0</v>
      </c>
      <c r="G5" s="909">
        <v>0</v>
      </c>
      <c r="H5" s="917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37038</v>
      </c>
      <c r="B6" s="928">
        <f>(Weather_Input!B6+Weather_Input!C6)/2</f>
        <v>56.5</v>
      </c>
      <c r="C6" s="909">
        <v>50000</v>
      </c>
      <c r="D6" s="912" t="s">
        <v>11</v>
      </c>
      <c r="E6" s="912"/>
      <c r="F6" s="912"/>
      <c r="G6" s="912"/>
      <c r="H6" s="15"/>
      <c r="I6" s="1" t="s">
        <v>11</v>
      </c>
    </row>
    <row r="7" spans="1:14">
      <c r="A7" s="12">
        <f>A6+1</f>
        <v>37039</v>
      </c>
      <c r="B7" s="928">
        <f>(Weather_Input!B7+Weather_Input!C7)/2</f>
        <v>60.5</v>
      </c>
      <c r="C7" s="909">
        <v>46000</v>
      </c>
      <c r="D7" s="912" t="s">
        <v>11</v>
      </c>
      <c r="E7" s="912" t="s">
        <v>11</v>
      </c>
      <c r="F7" s="912"/>
      <c r="G7" s="912"/>
      <c r="H7" s="15"/>
    </row>
    <row r="8" spans="1:14">
      <c r="A8" s="12">
        <f>A7+1</f>
        <v>37040</v>
      </c>
      <c r="B8" s="928">
        <f>(Weather_Input!B8+Weather_Input!C8)/2</f>
        <v>61</v>
      </c>
      <c r="C8" s="909">
        <v>45000</v>
      </c>
      <c r="D8" s="912" t="s">
        <v>11</v>
      </c>
      <c r="E8" s="912"/>
      <c r="F8" s="912"/>
      <c r="G8" s="912"/>
      <c r="H8" s="15"/>
    </row>
    <row r="9" spans="1:14">
      <c r="A9" s="12">
        <f>A8+1</f>
        <v>37041</v>
      </c>
      <c r="B9" s="928">
        <f>(Weather_Input!B9+Weather_Input!C9)/2</f>
        <v>62.5</v>
      </c>
      <c r="C9" s="909">
        <v>43000</v>
      </c>
      <c r="D9" s="912" t="s">
        <v>11</v>
      </c>
      <c r="E9" s="912"/>
      <c r="F9" s="912"/>
      <c r="G9" s="912"/>
      <c r="H9" s="15"/>
    </row>
    <row r="10" spans="1:14">
      <c r="A10" s="12">
        <f>A9+1</f>
        <v>37042</v>
      </c>
      <c r="B10" s="928">
        <f>(Weather_Input!B10+Weather_Input!C10)/2</f>
        <v>62.5</v>
      </c>
      <c r="C10" s="909">
        <v>43000</v>
      </c>
      <c r="D10" s="912" t="s">
        <v>11</v>
      </c>
      <c r="E10" s="912"/>
      <c r="F10" s="912"/>
      <c r="G10" s="912"/>
      <c r="H10" s="15"/>
    </row>
    <row r="11" spans="1:14">
      <c r="A11" s="1" t="s">
        <v>171</v>
      </c>
      <c r="C11" s="1183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2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3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292" t="s">
        <v>822</v>
      </c>
      <c r="W4" s="1293"/>
      <c r="X4" s="1294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2.75">
      <c r="B5" s="67" t="s">
        <v>93</v>
      </c>
      <c r="C5" s="59"/>
      <c r="F5" s="250"/>
      <c r="G5" s="67" t="s">
        <v>11</v>
      </c>
      <c r="H5" s="803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1" t="s">
        <v>763</v>
      </c>
      <c r="V5" s="56" t="s">
        <v>823</v>
      </c>
      <c r="W5" s="56" t="s">
        <v>826</v>
      </c>
      <c r="X5" s="3" t="s">
        <v>827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2.75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1" t="s">
        <v>95</v>
      </c>
      <c r="G6" s="54" t="s">
        <v>98</v>
      </c>
      <c r="H6" s="804" t="s">
        <v>415</v>
      </c>
      <c r="I6" s="1070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1" t="s">
        <v>714</v>
      </c>
      <c r="U6" s="1070" t="s">
        <v>90</v>
      </c>
      <c r="V6" s="1295" t="s">
        <v>824</v>
      </c>
      <c r="W6" s="1295" t="s">
        <v>825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2.75">
      <c r="A7" s="830">
        <f>Weather_Input!A5</f>
        <v>37037</v>
      </c>
      <c r="B7" s="918">
        <v>0</v>
      </c>
      <c r="C7" s="919">
        <v>0</v>
      </c>
      <c r="D7" s="623">
        <v>0</v>
      </c>
      <c r="E7" s="623">
        <v>2700</v>
      </c>
      <c r="F7" s="918">
        <v>4000</v>
      </c>
      <c r="G7" s="918">
        <v>0</v>
      </c>
      <c r="H7" s="920">
        <v>0</v>
      </c>
      <c r="I7" s="622">
        <v>0</v>
      </c>
      <c r="J7" s="622">
        <v>0</v>
      </c>
      <c r="K7" s="623">
        <v>0</v>
      </c>
      <c r="L7" s="622">
        <v>0</v>
      </c>
      <c r="M7" s="623">
        <v>0</v>
      </c>
      <c r="N7" s="623">
        <v>0</v>
      </c>
      <c r="O7" s="624">
        <v>0</v>
      </c>
      <c r="P7" s="623">
        <v>150000</v>
      </c>
      <c r="Q7" s="625">
        <f t="shared" ref="Q7:Q12" si="0">P7*0.015</f>
        <v>2250</v>
      </c>
      <c r="R7" s="623">
        <v>680</v>
      </c>
      <c r="S7" s="623">
        <v>0</v>
      </c>
      <c r="T7" s="623">
        <v>0</v>
      </c>
      <c r="U7" s="622">
        <v>40200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30">
        <f>Weather_Input!A5</f>
        <v>37037</v>
      </c>
    </row>
    <row r="8" spans="1:89" s="1" customFormat="1" ht="12.75">
      <c r="A8" s="830">
        <f>A7+1</f>
        <v>37038</v>
      </c>
      <c r="B8" s="918">
        <v>0</v>
      </c>
      <c r="C8" s="919">
        <v>0</v>
      </c>
      <c r="D8" s="623">
        <v>0</v>
      </c>
      <c r="E8" s="623">
        <v>0</v>
      </c>
      <c r="F8" s="918">
        <v>4000</v>
      </c>
      <c r="G8" s="918">
        <v>0</v>
      </c>
      <c r="H8" s="920">
        <v>0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150000</v>
      </c>
      <c r="Q8" s="625">
        <f t="shared" si="0"/>
        <v>2250</v>
      </c>
      <c r="R8" s="623">
        <v>680</v>
      </c>
      <c r="S8" s="623">
        <v>0</v>
      </c>
      <c r="T8" s="623">
        <v>0</v>
      </c>
      <c r="U8" s="622">
        <v>40200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30">
        <f>AJ7+1</f>
        <v>37038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2.75">
      <c r="A9" s="830">
        <f>A8+1</f>
        <v>37039</v>
      </c>
      <c r="B9" s="918">
        <v>0</v>
      </c>
      <c r="C9" s="919">
        <v>0</v>
      </c>
      <c r="D9" s="623">
        <v>0</v>
      </c>
      <c r="E9" s="623">
        <v>0</v>
      </c>
      <c r="F9" s="918">
        <v>4000</v>
      </c>
      <c r="G9" s="918">
        <v>0</v>
      </c>
      <c r="H9" s="920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150000</v>
      </c>
      <c r="Q9" s="625">
        <f t="shared" si="0"/>
        <v>2250</v>
      </c>
      <c r="R9" s="623">
        <v>680</v>
      </c>
      <c r="S9" s="623">
        <v>0</v>
      </c>
      <c r="T9" s="623">
        <v>0</v>
      </c>
      <c r="U9" s="622">
        <v>40200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30">
        <f>AJ8+1</f>
        <v>37039</v>
      </c>
      <c r="AN9" s="622"/>
    </row>
    <row r="10" spans="1:89" s="1" customFormat="1" ht="12.75">
      <c r="A10" s="830">
        <f>A9+1</f>
        <v>37040</v>
      </c>
      <c r="B10" s="918">
        <v>0</v>
      </c>
      <c r="C10" s="919">
        <v>0</v>
      </c>
      <c r="D10" s="623">
        <v>0</v>
      </c>
      <c r="E10" s="623">
        <v>0</v>
      </c>
      <c r="F10" s="918">
        <v>0</v>
      </c>
      <c r="G10" s="918">
        <v>0</v>
      </c>
      <c r="H10" s="920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150000</v>
      </c>
      <c r="Q10" s="625">
        <f t="shared" si="0"/>
        <v>2250</v>
      </c>
      <c r="R10" s="623">
        <v>680</v>
      </c>
      <c r="S10" s="623">
        <v>0</v>
      </c>
      <c r="T10" s="623">
        <v>0</v>
      </c>
      <c r="U10" s="622">
        <v>40200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30">
        <f>AJ9+1</f>
        <v>37040</v>
      </c>
    </row>
    <row r="11" spans="1:89" s="1" customFormat="1" ht="12.75">
      <c r="A11" s="830">
        <f>A10+1</f>
        <v>37041</v>
      </c>
      <c r="B11" s="918">
        <v>0</v>
      </c>
      <c r="C11" s="919">
        <v>0</v>
      </c>
      <c r="D11" s="623">
        <v>0</v>
      </c>
      <c r="E11" s="623">
        <v>0</v>
      </c>
      <c r="F11" s="918">
        <v>0</v>
      </c>
      <c r="G11" s="918">
        <v>0</v>
      </c>
      <c r="H11" s="920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150000</v>
      </c>
      <c r="Q11" s="625">
        <f t="shared" si="0"/>
        <v>2250</v>
      </c>
      <c r="R11" s="623">
        <v>680</v>
      </c>
      <c r="S11" s="623">
        <v>0</v>
      </c>
      <c r="T11" s="623">
        <v>0</v>
      </c>
      <c r="U11" s="622">
        <v>40200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30">
        <f>AJ10+1</f>
        <v>37041</v>
      </c>
    </row>
    <row r="12" spans="1:89" s="1" customFormat="1" ht="12.75">
      <c r="A12" s="830">
        <f>A11+1</f>
        <v>37042</v>
      </c>
      <c r="B12" s="918">
        <v>0</v>
      </c>
      <c r="C12" s="919">
        <v>0</v>
      </c>
      <c r="D12" s="623">
        <v>0</v>
      </c>
      <c r="E12" s="623">
        <v>0</v>
      </c>
      <c r="F12" s="918">
        <v>0</v>
      </c>
      <c r="G12" s="918">
        <v>0</v>
      </c>
      <c r="H12" s="920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150000</v>
      </c>
      <c r="Q12" s="625">
        <f t="shared" si="0"/>
        <v>2250</v>
      </c>
      <c r="R12" s="623">
        <v>680</v>
      </c>
      <c r="S12" s="623">
        <v>0</v>
      </c>
      <c r="T12" s="623">
        <v>0</v>
      </c>
      <c r="U12" s="622">
        <v>40200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30">
        <f>AJ11+1</f>
        <v>37042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11</v>
      </c>
      <c r="O13" s="1"/>
      <c r="P13" s="1"/>
      <c r="Q13" s="1"/>
      <c r="R13" s="1"/>
      <c r="S13" s="1"/>
      <c r="T13" s="1"/>
      <c r="U13" s="622" t="s">
        <v>11</v>
      </c>
      <c r="V13" s="1"/>
      <c r="W13" s="1"/>
      <c r="X13" s="1"/>
      <c r="Y13" s="1"/>
      <c r="Z13" s="1" t="s">
        <v>11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4"/>
      <c r="V3" s="449"/>
      <c r="W3" s="449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3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3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0" t="s">
        <v>6</v>
      </c>
      <c r="R6" s="1071" t="s">
        <v>90</v>
      </c>
      <c r="S6" s="69" t="s">
        <v>11</v>
      </c>
      <c r="T6" s="804" t="s">
        <v>789</v>
      </c>
      <c r="U6" s="1071" t="s">
        <v>718</v>
      </c>
      <c r="V6" s="54" t="s">
        <v>760</v>
      </c>
      <c r="W6" s="54" t="s">
        <v>11</v>
      </c>
      <c r="X6" s="1118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0">
        <f>Weather_Input!A5</f>
        <v>37037</v>
      </c>
      <c r="B7" s="625">
        <v>5000</v>
      </c>
      <c r="C7" s="626">
        <v>0</v>
      </c>
      <c r="D7" s="625">
        <v>0</v>
      </c>
      <c r="E7" s="625">
        <v>0</v>
      </c>
      <c r="F7" s="625">
        <v>0</v>
      </c>
      <c r="G7" s="918">
        <v>0</v>
      </c>
      <c r="H7" s="623">
        <v>1000</v>
      </c>
      <c r="I7" s="623">
        <v>15000</v>
      </c>
      <c r="J7" s="623">
        <v>0</v>
      </c>
      <c r="K7" s="921">
        <v>0</v>
      </c>
      <c r="L7" s="624">
        <v>60010</v>
      </c>
      <c r="M7" s="922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21">
        <v>0</v>
      </c>
      <c r="T7" s="923">
        <v>7000</v>
      </c>
      <c r="U7" s="623">
        <v>0</v>
      </c>
      <c r="V7" s="624">
        <v>163957</v>
      </c>
      <c r="W7" s="624">
        <v>0</v>
      </c>
      <c r="X7" s="622">
        <v>300</v>
      </c>
      <c r="Y7" s="921">
        <v>144116</v>
      </c>
      <c r="Z7" s="624">
        <v>40200</v>
      </c>
      <c r="AA7" s="1">
        <v>0</v>
      </c>
      <c r="AB7" s="622">
        <v>197547</v>
      </c>
      <c r="AC7" s="622">
        <v>45658</v>
      </c>
      <c r="AD7" s="622">
        <v>4000</v>
      </c>
      <c r="AE7" s="921">
        <v>0</v>
      </c>
      <c r="AF7" s="51">
        <f>Weather_Input!A5</f>
        <v>37037</v>
      </c>
      <c r="AI7" s="622"/>
      <c r="AJ7" s="622"/>
      <c r="AK7" s="622"/>
    </row>
    <row r="8" spans="1:37">
      <c r="A8" s="830">
        <f>A7+1</f>
        <v>37038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8">
        <v>0</v>
      </c>
      <c r="H8" s="623">
        <v>1000</v>
      </c>
      <c r="I8" s="623">
        <v>15000</v>
      </c>
      <c r="J8" s="623">
        <v>0</v>
      </c>
      <c r="K8" s="921">
        <v>0</v>
      </c>
      <c r="L8" s="624">
        <v>0</v>
      </c>
      <c r="M8" s="922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21">
        <v>0</v>
      </c>
      <c r="T8" s="923">
        <v>7000</v>
      </c>
      <c r="U8" s="623">
        <v>0</v>
      </c>
      <c r="V8" s="624">
        <v>163957</v>
      </c>
      <c r="W8" s="624">
        <v>0</v>
      </c>
      <c r="X8" s="622">
        <v>0</v>
      </c>
      <c r="Y8" s="921">
        <v>144116</v>
      </c>
      <c r="Z8" s="624">
        <v>40200</v>
      </c>
      <c r="AA8" s="1">
        <v>0</v>
      </c>
      <c r="AB8" s="622">
        <v>197547</v>
      </c>
      <c r="AC8" s="622">
        <v>45658</v>
      </c>
      <c r="AD8" s="622">
        <v>4000</v>
      </c>
      <c r="AE8" s="921">
        <v>0</v>
      </c>
      <c r="AF8" s="830">
        <f>AF7+1</f>
        <v>37038</v>
      </c>
      <c r="AI8" s="622"/>
      <c r="AJ8" s="622"/>
      <c r="AK8" s="622"/>
    </row>
    <row r="9" spans="1:37" s="622" customFormat="1">
      <c r="A9" s="830">
        <f>A8+1</f>
        <v>37039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8">
        <v>0</v>
      </c>
      <c r="H9" s="623">
        <v>1000</v>
      </c>
      <c r="I9" s="623">
        <v>15000</v>
      </c>
      <c r="J9" s="623">
        <v>0</v>
      </c>
      <c r="K9" s="921">
        <v>0</v>
      </c>
      <c r="L9" s="624">
        <v>0</v>
      </c>
      <c r="M9" s="922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21">
        <v>0</v>
      </c>
      <c r="T9" s="923">
        <v>7000</v>
      </c>
      <c r="U9" s="623">
        <v>0</v>
      </c>
      <c r="V9" s="624">
        <v>163957</v>
      </c>
      <c r="W9" s="624">
        <v>0</v>
      </c>
      <c r="X9" s="622">
        <v>0</v>
      </c>
      <c r="Y9" s="921">
        <v>144116</v>
      </c>
      <c r="Z9" s="624">
        <v>40200</v>
      </c>
      <c r="AA9" s="1">
        <v>0</v>
      </c>
      <c r="AB9" s="622">
        <v>197547</v>
      </c>
      <c r="AC9" s="622">
        <v>45658</v>
      </c>
      <c r="AD9" s="622">
        <v>4000</v>
      </c>
      <c r="AE9" s="921">
        <v>0</v>
      </c>
      <c r="AF9" s="830">
        <f>AF8+1</f>
        <v>37039</v>
      </c>
    </row>
    <row r="10" spans="1:37">
      <c r="A10" s="830">
        <f>A9+1</f>
        <v>37040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8">
        <v>0</v>
      </c>
      <c r="H10" s="623">
        <v>1000</v>
      </c>
      <c r="I10" s="623">
        <v>15000</v>
      </c>
      <c r="J10" s="623">
        <v>0</v>
      </c>
      <c r="K10" s="921">
        <v>0</v>
      </c>
      <c r="L10" s="624">
        <v>0</v>
      </c>
      <c r="M10" s="922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21">
        <v>0</v>
      </c>
      <c r="T10" s="923">
        <v>7000</v>
      </c>
      <c r="U10" s="623">
        <v>0</v>
      </c>
      <c r="V10" s="624">
        <v>163957</v>
      </c>
      <c r="W10" s="624">
        <v>0</v>
      </c>
      <c r="X10" s="622">
        <v>0</v>
      </c>
      <c r="Y10" s="921">
        <v>144116</v>
      </c>
      <c r="Z10" s="624">
        <v>40200</v>
      </c>
      <c r="AA10" s="1">
        <v>0</v>
      </c>
      <c r="AB10" s="622">
        <v>197547</v>
      </c>
      <c r="AC10" s="622">
        <v>45658</v>
      </c>
      <c r="AD10" s="622">
        <v>4000</v>
      </c>
      <c r="AE10" s="921">
        <v>0</v>
      </c>
      <c r="AF10" s="830">
        <f>AF9+1</f>
        <v>37040</v>
      </c>
      <c r="AI10" s="622"/>
      <c r="AJ10" s="622"/>
      <c r="AK10" s="622"/>
    </row>
    <row r="11" spans="1:37">
      <c r="A11" s="830">
        <f>A10+1</f>
        <v>37041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8">
        <v>0</v>
      </c>
      <c r="H11" s="623">
        <v>1000</v>
      </c>
      <c r="I11" s="623">
        <v>15000</v>
      </c>
      <c r="J11" s="623">
        <v>0</v>
      </c>
      <c r="K11" s="921">
        <v>0</v>
      </c>
      <c r="L11" s="624">
        <v>0</v>
      </c>
      <c r="M11" s="922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21">
        <v>0</v>
      </c>
      <c r="T11" s="923">
        <v>7000</v>
      </c>
      <c r="U11" s="623">
        <v>0</v>
      </c>
      <c r="V11" s="624">
        <v>163957</v>
      </c>
      <c r="W11" s="624">
        <v>0</v>
      </c>
      <c r="X11" s="622">
        <v>0</v>
      </c>
      <c r="Y11" s="921">
        <v>144116</v>
      </c>
      <c r="Z11" s="624">
        <v>40200</v>
      </c>
      <c r="AA11" s="1">
        <v>0</v>
      </c>
      <c r="AB11" s="622">
        <v>197547</v>
      </c>
      <c r="AC11" s="622">
        <v>45658</v>
      </c>
      <c r="AD11" s="622">
        <v>4000</v>
      </c>
      <c r="AE11" s="921">
        <v>0</v>
      </c>
      <c r="AF11" s="830">
        <f>AF10+1</f>
        <v>37041</v>
      </c>
    </row>
    <row r="12" spans="1:37">
      <c r="A12" s="830">
        <f>A11+1</f>
        <v>37042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8">
        <v>0</v>
      </c>
      <c r="H12" s="623">
        <v>1000</v>
      </c>
      <c r="I12" s="623">
        <v>15000</v>
      </c>
      <c r="J12" s="623">
        <v>0</v>
      </c>
      <c r="K12" s="921">
        <v>0</v>
      </c>
      <c r="L12" s="624">
        <v>0</v>
      </c>
      <c r="M12" s="922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21">
        <v>0</v>
      </c>
      <c r="T12" s="923">
        <v>7000</v>
      </c>
      <c r="U12" s="623">
        <v>0</v>
      </c>
      <c r="V12" s="624">
        <v>163957</v>
      </c>
      <c r="W12" s="624">
        <v>0</v>
      </c>
      <c r="X12" s="622">
        <v>0</v>
      </c>
      <c r="Y12" s="921">
        <v>144116</v>
      </c>
      <c r="Z12" s="624">
        <v>40200</v>
      </c>
      <c r="AA12" s="1">
        <v>0</v>
      </c>
      <c r="AB12" s="622">
        <v>197547</v>
      </c>
      <c r="AC12" s="622">
        <v>45658</v>
      </c>
      <c r="AD12" s="622">
        <v>4000</v>
      </c>
      <c r="AE12" s="921">
        <v>0</v>
      </c>
      <c r="AF12" s="830">
        <f>AF11+1</f>
        <v>37042</v>
      </c>
    </row>
    <row r="13" spans="1:37">
      <c r="G13" s="1" t="s">
        <v>11</v>
      </c>
      <c r="I13" s="11"/>
      <c r="P13" s="1" t="s">
        <v>11</v>
      </c>
      <c r="T13" s="923"/>
      <c r="U13" s="1" t="s">
        <v>11</v>
      </c>
      <c r="V13" s="11" t="s">
        <v>11</v>
      </c>
      <c r="W13" s="624" t="s">
        <v>11</v>
      </c>
      <c r="X13" s="622"/>
      <c r="Z13" s="60"/>
      <c r="AB13" s="622"/>
      <c r="AD13" s="622"/>
    </row>
    <row r="14" spans="1:37">
      <c r="A14" s="1" t="s">
        <v>11</v>
      </c>
      <c r="I14" s="11"/>
      <c r="X14" s="11"/>
      <c r="Z14" s="1" t="s">
        <v>11</v>
      </c>
      <c r="AB14" s="622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2"/>
    </row>
    <row r="20" spans="16:33">
      <c r="Z20" s="70" t="s">
        <v>11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D1" sqref="D1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2" t="s">
        <v>120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2.75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2.75">
      <c r="A7" s="831">
        <f>Weather_Input!A5</f>
        <v>37037</v>
      </c>
      <c r="B7" s="918">
        <v>0</v>
      </c>
      <c r="C7" s="623">
        <v>0</v>
      </c>
      <c r="D7" s="623">
        <v>0</v>
      </c>
      <c r="E7" s="623">
        <v>0</v>
      </c>
      <c r="F7" s="623">
        <v>0</v>
      </c>
      <c r="G7" s="922">
        <v>0</v>
      </c>
      <c r="H7" s="623">
        <v>0</v>
      </c>
      <c r="I7" s="919">
        <v>7197</v>
      </c>
      <c r="J7" s="919">
        <v>0</v>
      </c>
      <c r="K7" s="626">
        <v>0</v>
      </c>
      <c r="L7" s="924">
        <v>0</v>
      </c>
      <c r="M7" s="924">
        <v>0</v>
      </c>
      <c r="N7" s="924">
        <v>0</v>
      </c>
      <c r="O7" s="924">
        <v>0</v>
      </c>
      <c r="P7" s="623">
        <v>0</v>
      </c>
      <c r="Q7" s="924">
        <v>0</v>
      </c>
      <c r="R7" s="623">
        <v>0</v>
      </c>
      <c r="S7" s="832">
        <v>0</v>
      </c>
      <c r="T7" s="623">
        <v>0</v>
      </c>
      <c r="U7" s="623">
        <v>0</v>
      </c>
      <c r="V7" s="832">
        <v>0</v>
      </c>
      <c r="W7" s="623">
        <v>0</v>
      </c>
      <c r="X7" s="623">
        <v>0</v>
      </c>
      <c r="Y7" s="832">
        <v>0</v>
      </c>
      <c r="Z7" s="623">
        <v>0</v>
      </c>
      <c r="AA7" s="623">
        <v>0</v>
      </c>
      <c r="AB7" s="922">
        <v>0</v>
      </c>
      <c r="AC7" s="623">
        <v>0</v>
      </c>
      <c r="AD7" s="623">
        <v>0</v>
      </c>
      <c r="AE7" s="623">
        <v>0</v>
      </c>
      <c r="AF7" s="830">
        <f>Weather_Input!A5</f>
        <v>37037</v>
      </c>
      <c r="AG7" s="622"/>
      <c r="AH7" s="622"/>
      <c r="AI7" s="622"/>
      <c r="AJ7" s="622"/>
      <c r="AK7" s="622"/>
    </row>
    <row r="8" spans="1:128" s="1" customFormat="1" ht="12.75">
      <c r="A8" s="831">
        <f>Weather_Input!A6</f>
        <v>37038</v>
      </c>
      <c r="B8" s="918">
        <v>0</v>
      </c>
      <c r="C8" s="623">
        <v>0</v>
      </c>
      <c r="D8" s="623">
        <v>0</v>
      </c>
      <c r="E8" s="623">
        <v>0</v>
      </c>
      <c r="F8" s="623">
        <v>0</v>
      </c>
      <c r="G8" s="922">
        <v>0</v>
      </c>
      <c r="H8" s="623">
        <v>1250</v>
      </c>
      <c r="I8" s="919">
        <v>7197</v>
      </c>
      <c r="J8" s="919">
        <v>0</v>
      </c>
      <c r="K8" s="626">
        <v>0</v>
      </c>
      <c r="L8" s="924">
        <v>0</v>
      </c>
      <c r="M8" s="924">
        <v>0</v>
      </c>
      <c r="N8" s="924">
        <v>0</v>
      </c>
      <c r="O8" s="924">
        <v>0</v>
      </c>
      <c r="P8" s="623">
        <v>0</v>
      </c>
      <c r="Q8" s="924">
        <v>0</v>
      </c>
      <c r="R8" s="623">
        <v>0</v>
      </c>
      <c r="S8" s="832">
        <v>0</v>
      </c>
      <c r="T8" s="623">
        <v>0</v>
      </c>
      <c r="U8" s="623">
        <v>0</v>
      </c>
      <c r="V8" s="832">
        <v>0</v>
      </c>
      <c r="W8" s="623">
        <v>0</v>
      </c>
      <c r="X8" s="623">
        <v>0</v>
      </c>
      <c r="Y8" s="832">
        <v>0</v>
      </c>
      <c r="Z8" s="623">
        <v>0</v>
      </c>
      <c r="AA8" s="623">
        <v>0</v>
      </c>
      <c r="AB8" s="922">
        <v>0</v>
      </c>
      <c r="AC8" s="623">
        <v>0</v>
      </c>
      <c r="AD8" s="623">
        <v>0</v>
      </c>
      <c r="AE8" s="623">
        <v>0</v>
      </c>
      <c r="AF8" s="831">
        <f>AF7+1</f>
        <v>37038</v>
      </c>
      <c r="AG8" s="622"/>
      <c r="AH8" s="622"/>
      <c r="AI8" s="622"/>
      <c r="AJ8" s="622"/>
      <c r="AK8" s="622"/>
    </row>
    <row r="9" spans="1:128" s="1" customFormat="1" ht="12.75">
      <c r="A9" s="830">
        <f>A8+1</f>
        <v>37039</v>
      </c>
      <c r="B9" s="918">
        <v>0</v>
      </c>
      <c r="C9" s="623">
        <v>0</v>
      </c>
      <c r="D9" s="623">
        <v>0</v>
      </c>
      <c r="E9" s="623">
        <v>0</v>
      </c>
      <c r="F9" s="623">
        <v>0</v>
      </c>
      <c r="G9" s="922">
        <v>0</v>
      </c>
      <c r="H9" s="623">
        <v>1250</v>
      </c>
      <c r="I9" s="919">
        <v>7197</v>
      </c>
      <c r="J9" s="919">
        <v>0</v>
      </c>
      <c r="K9" s="626">
        <v>0</v>
      </c>
      <c r="L9" s="924">
        <v>0</v>
      </c>
      <c r="M9" s="924">
        <v>0</v>
      </c>
      <c r="N9" s="924">
        <v>0</v>
      </c>
      <c r="O9" s="924">
        <v>0</v>
      </c>
      <c r="P9" s="623">
        <v>0</v>
      </c>
      <c r="Q9" s="924">
        <v>0</v>
      </c>
      <c r="R9" s="623">
        <v>0</v>
      </c>
      <c r="S9" s="832">
        <v>0</v>
      </c>
      <c r="T9" s="623">
        <v>0</v>
      </c>
      <c r="U9" s="623">
        <v>0</v>
      </c>
      <c r="V9" s="832">
        <v>0</v>
      </c>
      <c r="W9" s="623">
        <v>0</v>
      </c>
      <c r="X9" s="623">
        <v>0</v>
      </c>
      <c r="Y9" s="832">
        <v>0</v>
      </c>
      <c r="Z9" s="623">
        <v>0</v>
      </c>
      <c r="AA9" s="623">
        <v>0</v>
      </c>
      <c r="AB9" s="922">
        <v>0</v>
      </c>
      <c r="AC9" s="623">
        <v>0</v>
      </c>
      <c r="AD9" s="623">
        <v>0</v>
      </c>
      <c r="AE9" s="623">
        <v>0</v>
      </c>
      <c r="AF9" s="830">
        <f>AF8+1</f>
        <v>37039</v>
      </c>
      <c r="AG9" s="622"/>
      <c r="AH9" s="622"/>
      <c r="AI9" s="622"/>
      <c r="AJ9" s="622"/>
      <c r="AK9" s="622"/>
    </row>
    <row r="10" spans="1:128" s="1" customFormat="1" ht="12.75">
      <c r="A10" s="830">
        <f>A9+1</f>
        <v>37040</v>
      </c>
      <c r="B10" s="918">
        <v>0</v>
      </c>
      <c r="C10" s="623">
        <v>0</v>
      </c>
      <c r="D10" s="623">
        <v>0</v>
      </c>
      <c r="E10" s="623">
        <v>0</v>
      </c>
      <c r="F10" s="623">
        <v>0</v>
      </c>
      <c r="G10" s="922">
        <v>0</v>
      </c>
      <c r="H10" s="623">
        <v>1250</v>
      </c>
      <c r="I10" s="919">
        <v>7197</v>
      </c>
      <c r="J10" s="919">
        <v>0</v>
      </c>
      <c r="K10" s="626">
        <v>0</v>
      </c>
      <c r="L10" s="924">
        <v>0</v>
      </c>
      <c r="M10" s="924">
        <v>0</v>
      </c>
      <c r="N10" s="924">
        <v>0</v>
      </c>
      <c r="O10" s="924">
        <v>0</v>
      </c>
      <c r="P10" s="623">
        <v>0</v>
      </c>
      <c r="Q10" s="924">
        <v>0</v>
      </c>
      <c r="R10" s="623">
        <v>0</v>
      </c>
      <c r="S10" s="832">
        <v>0</v>
      </c>
      <c r="T10" s="623">
        <v>0</v>
      </c>
      <c r="U10" s="623">
        <v>0</v>
      </c>
      <c r="V10" s="832">
        <v>0</v>
      </c>
      <c r="W10" s="623">
        <v>0</v>
      </c>
      <c r="X10" s="623">
        <v>0</v>
      </c>
      <c r="Y10" s="832">
        <v>0</v>
      </c>
      <c r="Z10" s="623">
        <v>0</v>
      </c>
      <c r="AA10" s="623">
        <v>0</v>
      </c>
      <c r="AB10" s="922">
        <v>0</v>
      </c>
      <c r="AC10" s="623">
        <v>0</v>
      </c>
      <c r="AD10" s="623">
        <v>0</v>
      </c>
      <c r="AE10" s="623">
        <v>0</v>
      </c>
      <c r="AF10" s="830">
        <f>AF9+1</f>
        <v>37040</v>
      </c>
      <c r="AG10" s="622"/>
      <c r="AH10" s="622"/>
      <c r="AI10" s="622"/>
      <c r="AJ10" s="622"/>
      <c r="AK10" s="622"/>
    </row>
    <row r="11" spans="1:128" s="1" customFormat="1" ht="12.75">
      <c r="A11" s="830">
        <f>A10+1</f>
        <v>37041</v>
      </c>
      <c r="B11" s="918">
        <v>0</v>
      </c>
      <c r="C11" s="623">
        <v>0</v>
      </c>
      <c r="D11" s="623">
        <v>0</v>
      </c>
      <c r="E11" s="623">
        <v>0</v>
      </c>
      <c r="F11" s="623">
        <v>0</v>
      </c>
      <c r="G11" s="922">
        <v>0</v>
      </c>
      <c r="H11" s="623">
        <v>1250</v>
      </c>
      <c r="I11" s="919">
        <v>7197</v>
      </c>
      <c r="J11" s="919">
        <v>0</v>
      </c>
      <c r="K11" s="626">
        <v>0</v>
      </c>
      <c r="L11" s="924">
        <v>0</v>
      </c>
      <c r="M11" s="924">
        <v>0</v>
      </c>
      <c r="N11" s="924">
        <v>0</v>
      </c>
      <c r="O11" s="924">
        <v>0</v>
      </c>
      <c r="P11" s="623">
        <v>0</v>
      </c>
      <c r="Q11" s="924">
        <v>0</v>
      </c>
      <c r="R11" s="623">
        <v>0</v>
      </c>
      <c r="S11" s="832">
        <v>0</v>
      </c>
      <c r="T11" s="623">
        <v>0</v>
      </c>
      <c r="U11" s="623">
        <v>0</v>
      </c>
      <c r="V11" s="832">
        <v>0</v>
      </c>
      <c r="W11" s="623">
        <v>0</v>
      </c>
      <c r="X11" s="623">
        <v>0</v>
      </c>
      <c r="Y11" s="832">
        <v>0</v>
      </c>
      <c r="Z11" s="623">
        <v>0</v>
      </c>
      <c r="AA11" s="623">
        <v>0</v>
      </c>
      <c r="AB11" s="922">
        <v>0</v>
      </c>
      <c r="AC11" s="623">
        <v>0</v>
      </c>
      <c r="AD11" s="623">
        <v>0</v>
      </c>
      <c r="AE11" s="623">
        <v>0</v>
      </c>
      <c r="AF11" s="830">
        <f>AF10+1</f>
        <v>37041</v>
      </c>
      <c r="AG11" s="622"/>
      <c r="AH11" s="622"/>
      <c r="AI11" s="622"/>
      <c r="AJ11" s="622"/>
      <c r="AK11" s="622"/>
    </row>
    <row r="12" spans="1:128" s="1" customFormat="1" ht="12.75">
      <c r="A12" s="830">
        <f>A11+1</f>
        <v>37042</v>
      </c>
      <c r="B12" s="918">
        <v>0</v>
      </c>
      <c r="C12" s="623">
        <v>0</v>
      </c>
      <c r="D12" s="623">
        <v>0</v>
      </c>
      <c r="E12" s="623">
        <v>0</v>
      </c>
      <c r="F12" s="623">
        <v>0</v>
      </c>
      <c r="G12" s="922">
        <v>0</v>
      </c>
      <c r="H12" s="623">
        <v>1250</v>
      </c>
      <c r="I12" s="919">
        <v>7197</v>
      </c>
      <c r="J12" s="919">
        <v>0</v>
      </c>
      <c r="K12" s="626">
        <v>0</v>
      </c>
      <c r="L12" s="924">
        <v>0</v>
      </c>
      <c r="M12" s="924">
        <v>0</v>
      </c>
      <c r="N12" s="924">
        <v>0</v>
      </c>
      <c r="O12" s="924">
        <v>0</v>
      </c>
      <c r="P12" s="623">
        <v>0</v>
      </c>
      <c r="Q12" s="924">
        <v>0</v>
      </c>
      <c r="R12" s="623">
        <v>0</v>
      </c>
      <c r="S12" s="832">
        <v>0</v>
      </c>
      <c r="T12" s="623">
        <v>0</v>
      </c>
      <c r="U12" s="623">
        <v>0</v>
      </c>
      <c r="V12" s="832">
        <v>0</v>
      </c>
      <c r="W12" s="623">
        <v>0</v>
      </c>
      <c r="X12" s="623">
        <v>0</v>
      </c>
      <c r="Y12" s="832">
        <v>0</v>
      </c>
      <c r="Z12" s="623">
        <v>0</v>
      </c>
      <c r="AA12" s="623">
        <v>0</v>
      </c>
      <c r="AB12" s="922">
        <v>0</v>
      </c>
      <c r="AC12" s="623">
        <v>0</v>
      </c>
      <c r="AD12" s="623">
        <v>0</v>
      </c>
      <c r="AE12" s="623">
        <v>0</v>
      </c>
      <c r="AF12" s="830">
        <f>AF11+1</f>
        <v>37042</v>
      </c>
      <c r="AG12" s="622"/>
      <c r="AH12" s="622"/>
      <c r="AI12" s="622"/>
      <c r="AJ12" s="622"/>
      <c r="AK12" s="622"/>
    </row>
    <row r="13" spans="1:128" s="1" customFormat="1" ht="12.75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11</v>
      </c>
      <c r="M13" s="622"/>
      <c r="N13" s="622"/>
      <c r="P13" s="622"/>
      <c r="Q13" s="622"/>
      <c r="R13" s="622"/>
      <c r="S13" s="832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2.75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4">
      <c r="A1" s="416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1" t="s">
        <v>38</v>
      </c>
      <c r="T6" s="54" t="s">
        <v>415</v>
      </c>
      <c r="U6" s="69" t="s">
        <v>61</v>
      </c>
    </row>
    <row r="7" spans="1:24">
      <c r="A7" s="830">
        <f>Weather_Input!A5</f>
        <v>37037</v>
      </c>
      <c r="B7" s="625">
        <v>0</v>
      </c>
      <c r="C7" s="626">
        <v>0</v>
      </c>
      <c r="D7" s="625">
        <v>0</v>
      </c>
      <c r="E7" s="625">
        <v>3300</v>
      </c>
      <c r="F7" s="625">
        <v>6760</v>
      </c>
      <c r="G7" s="625">
        <f>(R7+S7+C7+PGL_Requirements!Y7+PGL_Requirements!Z7-NSG_Requirements!C7)*0.05</f>
        <v>2447.0500000000002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9">
        <v>0</v>
      </c>
      <c r="P7" s="625">
        <v>0</v>
      </c>
      <c r="Q7" s="625">
        <v>20000</v>
      </c>
      <c r="R7" s="625">
        <v>29943</v>
      </c>
      <c r="S7" s="625">
        <v>18998</v>
      </c>
      <c r="T7" s="625">
        <v>0</v>
      </c>
      <c r="U7" s="625">
        <v>0</v>
      </c>
      <c r="V7" s="830">
        <f>Weather_Input!A5</f>
        <v>37037</v>
      </c>
      <c r="W7" s="622"/>
      <c r="X7" s="622"/>
    </row>
    <row r="8" spans="1:24">
      <c r="A8" s="830">
        <f>A7+1</f>
        <v>37038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2447.0500000000002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9">
        <v>0</v>
      </c>
      <c r="P8" s="625">
        <v>0</v>
      </c>
      <c r="Q8" s="625">
        <v>20000</v>
      </c>
      <c r="R8" s="625">
        <v>29943</v>
      </c>
      <c r="S8" s="625">
        <v>18998</v>
      </c>
      <c r="T8" s="625">
        <v>0</v>
      </c>
      <c r="U8" s="625">
        <v>0</v>
      </c>
      <c r="V8" s="830">
        <f>V7+1</f>
        <v>37038</v>
      </c>
      <c r="W8" s="622"/>
      <c r="X8" s="622"/>
    </row>
    <row r="9" spans="1:24">
      <c r="A9" s="830">
        <f>A8+1</f>
        <v>37039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2447.0500000000002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9">
        <v>0</v>
      </c>
      <c r="P9" s="625">
        <v>0</v>
      </c>
      <c r="Q9" s="625">
        <v>20000</v>
      </c>
      <c r="R9" s="625">
        <v>29943</v>
      </c>
      <c r="S9" s="625">
        <v>18998</v>
      </c>
      <c r="T9" s="625">
        <v>0</v>
      </c>
      <c r="U9" s="625">
        <v>0</v>
      </c>
      <c r="V9" s="830">
        <f>V8+1</f>
        <v>37039</v>
      </c>
      <c r="W9" s="622"/>
      <c r="X9" s="622"/>
    </row>
    <row r="10" spans="1:24">
      <c r="A10" s="830">
        <f>A9+1</f>
        <v>37040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2447.0500000000002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9">
        <v>0</v>
      </c>
      <c r="P10" s="625">
        <v>0</v>
      </c>
      <c r="Q10" s="625">
        <v>20000</v>
      </c>
      <c r="R10" s="625">
        <v>29943</v>
      </c>
      <c r="S10" s="625">
        <v>18998</v>
      </c>
      <c r="T10" s="625">
        <v>0</v>
      </c>
      <c r="U10" s="625">
        <v>0</v>
      </c>
      <c r="V10" s="830">
        <f>V9+1</f>
        <v>37040</v>
      </c>
      <c r="W10" s="622"/>
      <c r="X10" s="622"/>
    </row>
    <row r="11" spans="1:24">
      <c r="A11" s="830">
        <f>A10+1</f>
        <v>37041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2447.0500000000002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9">
        <v>0</v>
      </c>
      <c r="P11" s="625">
        <v>0</v>
      </c>
      <c r="Q11" s="625">
        <v>20000</v>
      </c>
      <c r="R11" s="625">
        <v>29943</v>
      </c>
      <c r="S11" s="625">
        <v>18998</v>
      </c>
      <c r="T11" s="625">
        <v>0</v>
      </c>
      <c r="U11" s="625">
        <v>0</v>
      </c>
      <c r="V11" s="830">
        <f>V10+1</f>
        <v>37041</v>
      </c>
      <c r="W11" s="622"/>
      <c r="X11" s="622"/>
    </row>
    <row r="12" spans="1:24">
      <c r="A12" s="830">
        <f>A11+1</f>
        <v>37042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2447.0500000000002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9">
        <v>0</v>
      </c>
      <c r="P12" s="625">
        <v>0</v>
      </c>
      <c r="Q12" s="625">
        <v>20000</v>
      </c>
      <c r="R12" s="625">
        <v>29943</v>
      </c>
      <c r="S12" s="625">
        <v>18998</v>
      </c>
      <c r="T12" s="625">
        <v>0</v>
      </c>
      <c r="U12" s="625">
        <v>0</v>
      </c>
      <c r="V12" s="830">
        <f>V11+1</f>
        <v>37042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11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11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11</v>
      </c>
      <c r="S15" s="622"/>
      <c r="T15" s="622" t="s">
        <v>11</v>
      </c>
      <c r="U15" s="622"/>
      <c r="V15" s="622"/>
      <c r="W15" s="622"/>
      <c r="X15" s="622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5" t="s">
        <v>0</v>
      </c>
      <c r="B1" s="833"/>
      <c r="C1" s="900"/>
      <c r="D1" s="833"/>
      <c r="E1" s="833"/>
      <c r="F1" s="833" t="s">
        <v>11</v>
      </c>
      <c r="G1" s="833" t="s">
        <v>134</v>
      </c>
      <c r="H1" s="834" t="str">
        <f>D3</f>
        <v>SAT</v>
      </c>
      <c r="I1" s="835">
        <f>D4</f>
        <v>37037</v>
      </c>
    </row>
    <row r="2" spans="1:256" ht="15.75">
      <c r="A2" s="836" t="s">
        <v>135</v>
      </c>
      <c r="B2" s="837"/>
      <c r="C2" s="837"/>
      <c r="D2" s="837"/>
      <c r="E2" s="837"/>
      <c r="F2" s="837"/>
      <c r="G2" s="837"/>
      <c r="H2" s="837"/>
      <c r="I2" s="838"/>
    </row>
    <row r="3" spans="1:256" ht="16.5" thickBot="1">
      <c r="A3" s="839"/>
      <c r="B3" s="837"/>
      <c r="C3" s="837"/>
      <c r="D3" s="840" t="str">
        <f t="shared" ref="D3:I3" si="0">CHOOSE(WEEKDAY(D4),"SUN","MON","TUE","WED","THU","FRI","SAT")</f>
        <v>SAT</v>
      </c>
      <c r="E3" s="840" t="str">
        <f t="shared" si="0"/>
        <v>SUN</v>
      </c>
      <c r="F3" s="840" t="str">
        <f t="shared" si="0"/>
        <v>MON</v>
      </c>
      <c r="G3" s="840" t="str">
        <f t="shared" si="0"/>
        <v>TUE</v>
      </c>
      <c r="H3" s="840" t="str">
        <f t="shared" si="0"/>
        <v>WED</v>
      </c>
      <c r="I3" s="841" t="str">
        <f t="shared" si="0"/>
        <v>THU</v>
      </c>
    </row>
    <row r="4" spans="1:256" ht="15.75" thickBot="1">
      <c r="A4" s="842"/>
      <c r="B4" s="843"/>
      <c r="C4" s="843"/>
      <c r="D4" s="464">
        <f>Weather_Input!A5</f>
        <v>37037</v>
      </c>
      <c r="E4" s="464">
        <f>Weather_Input!A6</f>
        <v>37038</v>
      </c>
      <c r="F4" s="464">
        <f>Weather_Input!A7</f>
        <v>37039</v>
      </c>
      <c r="G4" s="464">
        <f>Weather_Input!A8</f>
        <v>37040</v>
      </c>
      <c r="H4" s="464">
        <f>Weather_Input!A9</f>
        <v>37041</v>
      </c>
      <c r="I4" s="465">
        <f>Weather_Input!A10</f>
        <v>37042</v>
      </c>
    </row>
    <row r="5" spans="1:256" ht="16.5" customHeight="1" thickTop="1">
      <c r="A5" s="846" t="s">
        <v>136</v>
      </c>
      <c r="B5" s="837"/>
      <c r="C5" s="837" t="s">
        <v>137</v>
      </c>
      <c r="D5" s="466" t="str">
        <f>TEXT(Weather_Input!B5,"0")&amp;"/"&amp;TEXT(Weather_Input!C5,"0") &amp; "/" &amp; TEXT((Weather_Input!B5+Weather_Input!C5)/2,"0")</f>
        <v>56/47/52</v>
      </c>
      <c r="E5" s="466" t="str">
        <f>TEXT(Weather_Input!B6,"0")&amp;"/"&amp;TEXT(Weather_Input!C6,"0") &amp; "/" &amp; TEXT((Weather_Input!B6+Weather_Input!C6)/2,"0")</f>
        <v>65/48/57</v>
      </c>
      <c r="F5" s="466" t="str">
        <f>TEXT(Weather_Input!B7,"0")&amp;"/"&amp;TEXT(Weather_Input!C7,"0") &amp; "/" &amp; TEXT((Weather_Input!B7+Weather_Input!C7)/2,"0")</f>
        <v>69/52/61</v>
      </c>
      <c r="G5" s="466" t="str">
        <f>TEXT(Weather_Input!B8,"0")&amp;"/"&amp;TEXT(Weather_Input!C8,"0") &amp; "/" &amp; TEXT((Weather_Input!B8+Weather_Input!C8)/2,"0")</f>
        <v>69/53/61</v>
      </c>
      <c r="H5" s="466" t="str">
        <f>TEXT(Weather_Input!B9,"0")&amp;"/"&amp;TEXT(Weather_Input!C9,"0") &amp; "/" &amp; TEXT((Weather_Input!B9+Weather_Input!C9)/2,"0")</f>
        <v>70/55/63</v>
      </c>
      <c r="I5" s="467" t="str">
        <f>TEXT(Weather_Input!B10,"0")&amp;"/"&amp;TEXT(Weather_Input!C10,"0") &amp; "/" &amp; TEXT((Weather_Input!B10+Weather_Input!C10)/2,"0")</f>
        <v>70/55/63</v>
      </c>
    </row>
    <row r="6" spans="1:256" ht="15.75">
      <c r="A6" s="849" t="s">
        <v>138</v>
      </c>
      <c r="B6" s="837"/>
      <c r="C6" s="837"/>
      <c r="D6" s="466">
        <f>PGL_Deliveries!C5/1000</f>
        <v>320</v>
      </c>
      <c r="E6" s="466">
        <f>PGL_Deliveries!C6/1000</f>
        <v>270</v>
      </c>
      <c r="F6" s="466">
        <f>PGL_Deliveries!C7/1000</f>
        <v>250</v>
      </c>
      <c r="G6" s="466">
        <f>PGL_Deliveries!C8/1000</f>
        <v>240</v>
      </c>
      <c r="H6" s="466">
        <f>PGL_Deliveries!C9/1000</f>
        <v>230</v>
      </c>
      <c r="I6" s="467">
        <f>PGL_Deliveries!C10/1000</f>
        <v>230</v>
      </c>
    </row>
    <row r="7" spans="1:256" ht="15.75">
      <c r="A7" s="849" t="s">
        <v>566</v>
      </c>
      <c r="B7" s="837" t="s">
        <v>415</v>
      </c>
      <c r="C7" s="837"/>
      <c r="D7" s="466">
        <f>PGL_Requirements!H7/1000</f>
        <v>0</v>
      </c>
      <c r="E7" s="466">
        <f>PGL_Requirements!H8/1000</f>
        <v>0</v>
      </c>
      <c r="F7" s="466">
        <f>PGL_Requirements!H9/1000</f>
        <v>0</v>
      </c>
      <c r="G7" s="466">
        <f>PGL_Requirements!H10/1000</f>
        <v>0</v>
      </c>
      <c r="H7" s="466">
        <f>PGL_Requirements!H11/1000</f>
        <v>0</v>
      </c>
      <c r="I7" s="467">
        <f>PGL_Requirements!H12/1000</f>
        <v>0</v>
      </c>
    </row>
    <row r="8" spans="1:256" ht="15.75">
      <c r="A8" s="849" t="s">
        <v>787</v>
      </c>
      <c r="B8" s="837"/>
      <c r="C8" s="837"/>
      <c r="D8" s="466">
        <f>PGL_Requirements!I7/1000+PGL_Requirements!K7/1000</f>
        <v>0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 ht="15.75">
      <c r="A9" s="846" t="s">
        <v>139</v>
      </c>
      <c r="B9" s="837" t="s">
        <v>142</v>
      </c>
      <c r="C9" s="850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 ht="15.75">
      <c r="A10" s="846"/>
      <c r="B10" s="837" t="s">
        <v>146</v>
      </c>
      <c r="C10" s="850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 ht="15.75">
      <c r="A11" s="846"/>
      <c r="B11" s="837" t="s">
        <v>415</v>
      </c>
      <c r="C11" s="837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 ht="15.75">
      <c r="A12" s="846"/>
      <c r="B12" s="837" t="s">
        <v>140</v>
      </c>
      <c r="C12" s="837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 ht="15.75">
      <c r="A13" s="846" t="s">
        <v>143</v>
      </c>
      <c r="B13" s="837" t="s">
        <v>144</v>
      </c>
      <c r="C13" s="837" t="s">
        <v>60</v>
      </c>
      <c r="D13" s="466">
        <f>PGL_Requirements!P7/1000</f>
        <v>150</v>
      </c>
      <c r="E13" s="466">
        <f>PGL_Requirements!P8/1000</f>
        <v>150</v>
      </c>
      <c r="F13" s="466">
        <f>PGL_Requirements!P9/1000</f>
        <v>150</v>
      </c>
      <c r="G13" s="466">
        <f>PGL_Requirements!P10/1000</f>
        <v>150</v>
      </c>
      <c r="H13" s="466">
        <f>PGL_Requirements!P11/1000</f>
        <v>150</v>
      </c>
      <c r="I13" s="467">
        <f>PGL_Requirements!P12/1000</f>
        <v>150</v>
      </c>
    </row>
    <row r="14" spans="1:256" ht="15.75">
      <c r="A14" s="846"/>
      <c r="B14" s="837"/>
      <c r="C14" s="837" t="s">
        <v>100</v>
      </c>
      <c r="D14" s="466">
        <f>PGL_Requirements!Q7/1000</f>
        <v>2.25</v>
      </c>
      <c r="E14" s="466">
        <f>PGL_Requirements!Q8/1000</f>
        <v>2.25</v>
      </c>
      <c r="F14" s="466">
        <f>PGL_Requirements!Q9/1000</f>
        <v>2.25</v>
      </c>
      <c r="G14" s="466">
        <f>PGL_Requirements!Q10/1000</f>
        <v>2.25</v>
      </c>
      <c r="H14" s="466">
        <f>PGL_Requirements!Q11/1000</f>
        <v>2.25</v>
      </c>
      <c r="I14" s="467">
        <f>PGL_Requirements!Q12/1000</f>
        <v>2.25</v>
      </c>
    </row>
    <row r="15" spans="1:256" ht="15.75">
      <c r="A15" s="846"/>
      <c r="C15" s="837" t="s">
        <v>735</v>
      </c>
      <c r="D15" s="466">
        <f>PGL_Requirements!R7/1000</f>
        <v>0.68</v>
      </c>
      <c r="E15" s="466">
        <f>PGL_Requirements!R8/1000</f>
        <v>0.68</v>
      </c>
      <c r="F15" s="466">
        <f>PGL_Requirements!R9/1000</f>
        <v>0.68</v>
      </c>
      <c r="G15" s="466">
        <f>PGL_Requirements!R10/1000</f>
        <v>0.68</v>
      </c>
      <c r="H15" s="466">
        <f>PGL_Requirements!R11/1000</f>
        <v>0.68</v>
      </c>
      <c r="I15" s="467">
        <f>PGL_Requirements!R12/1000</f>
        <v>0.68</v>
      </c>
    </row>
    <row r="16" spans="1:256" ht="15.75">
      <c r="A16" s="846"/>
      <c r="C16" s="837" t="s">
        <v>767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11</v>
      </c>
    </row>
    <row r="17" spans="1:10" ht="15.75">
      <c r="A17" s="846"/>
      <c r="B17" s="837" t="s">
        <v>183</v>
      </c>
      <c r="C17" s="837" t="s">
        <v>714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 ht="15.75">
      <c r="A18" s="846"/>
      <c r="B18" s="837" t="s">
        <v>142</v>
      </c>
      <c r="C18" s="837" t="s">
        <v>90</v>
      </c>
      <c r="D18" s="466">
        <f>PGL_Requirements!U7/1000</f>
        <v>40.200000000000003</v>
      </c>
      <c r="E18" s="466">
        <f>PGL_Requirements!U8/1000</f>
        <v>40.200000000000003</v>
      </c>
      <c r="F18" s="466">
        <f>PGL_Requirements!U9/1000</f>
        <v>40.200000000000003</v>
      </c>
      <c r="G18" s="466">
        <f>PGL_Requirements!U10/1000</f>
        <v>40.200000000000003</v>
      </c>
      <c r="H18" s="466">
        <f>PGL_Requirements!U11/1000</f>
        <v>40.200000000000003</v>
      </c>
      <c r="I18" s="467">
        <f>PGL_Requirements!U12/1000</f>
        <v>40.200000000000003</v>
      </c>
    </row>
    <row r="19" spans="1:10" ht="15.75">
      <c r="A19" s="846"/>
      <c r="B19" s="837" t="s">
        <v>140</v>
      </c>
      <c r="C19" s="837" t="s">
        <v>90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 ht="15.75">
      <c r="A20" s="849" t="s">
        <v>145</v>
      </c>
      <c r="B20" s="853" t="s">
        <v>142</v>
      </c>
      <c r="C20" s="853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 ht="15.75">
      <c r="A21" s="846"/>
      <c r="B21" s="853" t="s">
        <v>140</v>
      </c>
      <c r="C21" s="853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 ht="15.75">
      <c r="A22" s="846"/>
      <c r="B22" s="837" t="s">
        <v>415</v>
      </c>
      <c r="C22" s="853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9"/>
    </row>
    <row r="23" spans="1:10" ht="15.75">
      <c r="A23" s="846"/>
      <c r="B23" s="851" t="s">
        <v>147</v>
      </c>
      <c r="C23" s="853" t="s">
        <v>126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9"/>
    </row>
    <row r="24" spans="1:10" ht="15.75">
      <c r="A24" s="849" t="s">
        <v>148</v>
      </c>
      <c r="B24" s="837"/>
      <c r="C24" s="837"/>
      <c r="D24" s="466">
        <f>PGL_Requirements!G7/1000</f>
        <v>0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 ht="15.75">
      <c r="A25" s="846" t="s">
        <v>149</v>
      </c>
      <c r="B25" s="837" t="s">
        <v>752</v>
      </c>
      <c r="C25" s="837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 ht="15.75">
      <c r="A26" s="846"/>
      <c r="B26" s="837" t="s">
        <v>68</v>
      </c>
      <c r="C26" s="837"/>
      <c r="D26" s="466">
        <f>PGL_Requirements!C7/1000</f>
        <v>0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 ht="15.75">
      <c r="A27" s="846"/>
      <c r="B27" s="837" t="s">
        <v>92</v>
      </c>
      <c r="C27" s="837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 ht="15.75">
      <c r="A28" s="846"/>
      <c r="B28" s="837" t="s">
        <v>415</v>
      </c>
      <c r="C28" s="837"/>
      <c r="D28" s="466">
        <f>PGL_Requirements!E7/1000</f>
        <v>2.7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 ht="15.75">
      <c r="A29" s="846"/>
      <c r="B29" s="837" t="s">
        <v>95</v>
      </c>
      <c r="C29" s="837"/>
      <c r="D29" s="468">
        <f>PGL_Requirements!F7/1000</f>
        <v>4</v>
      </c>
      <c r="E29" s="468">
        <f>PGL_Requirements!F8/1000</f>
        <v>4</v>
      </c>
      <c r="F29" s="468">
        <f>PGL_Requirements!F9/1000</f>
        <v>4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6.5" thickBot="1">
      <c r="A30" s="854" t="s">
        <v>150</v>
      </c>
      <c r="B30" s="855"/>
      <c r="C30" s="855"/>
      <c r="D30" s="470">
        <f t="shared" ref="D30:I30" si="1">SUM(D6:D29)</f>
        <v>519.83000000000004</v>
      </c>
      <c r="E30" s="470">
        <f t="shared" si="1"/>
        <v>467.13</v>
      </c>
      <c r="F30" s="470">
        <f t="shared" si="1"/>
        <v>447.13</v>
      </c>
      <c r="G30" s="470">
        <f t="shared" si="1"/>
        <v>433.13</v>
      </c>
      <c r="H30" s="470">
        <f t="shared" si="1"/>
        <v>423.13</v>
      </c>
      <c r="I30" s="1167">
        <f t="shared" si="1"/>
        <v>423.13</v>
      </c>
    </row>
    <row r="31" spans="1:10" ht="17.25" thickTop="1" thickBot="1">
      <c r="A31" s="858"/>
      <c r="B31" s="837"/>
      <c r="C31" s="837"/>
      <c r="D31" s="471"/>
      <c r="E31" s="472"/>
      <c r="F31" s="472"/>
      <c r="G31" s="472"/>
      <c r="H31" s="472"/>
      <c r="I31" s="473"/>
    </row>
    <row r="32" spans="1:10" ht="16.5" thickTop="1" thickBot="1">
      <c r="A32" s="859" t="s">
        <v>151</v>
      </c>
      <c r="B32" s="860"/>
      <c r="C32" s="860"/>
      <c r="D32" s="474"/>
      <c r="E32" s="475"/>
      <c r="F32" s="475"/>
      <c r="G32" s="475"/>
      <c r="H32" s="475"/>
      <c r="I32" s="1168"/>
    </row>
    <row r="33" spans="1:9" ht="16.5" thickTop="1">
      <c r="A33" s="846" t="s">
        <v>152</v>
      </c>
      <c r="B33" s="837" t="s">
        <v>144</v>
      </c>
      <c r="C33" s="837" t="s">
        <v>60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 ht="15.75">
      <c r="A34" s="846"/>
      <c r="B34" s="837"/>
      <c r="C34" s="837" t="s">
        <v>93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 ht="15.75">
      <c r="A35" s="846"/>
      <c r="B35" s="837"/>
      <c r="C35" s="837" t="s">
        <v>61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 ht="15.75">
      <c r="A36" s="846"/>
      <c r="B36" s="837" t="s">
        <v>142</v>
      </c>
      <c r="C36" s="837" t="s">
        <v>90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 ht="15.75">
      <c r="A37" s="846"/>
      <c r="B37" s="837" t="s">
        <v>140</v>
      </c>
      <c r="C37" s="837" t="s">
        <v>90</v>
      </c>
      <c r="D37" s="466">
        <f>PGL_Supplies!L7/1000</f>
        <v>60.01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 ht="15.75">
      <c r="A38" s="849" t="s">
        <v>154</v>
      </c>
      <c r="B38" s="837" t="s">
        <v>142</v>
      </c>
      <c r="C38" s="837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 ht="15.75">
      <c r="A39" s="849"/>
      <c r="B39" s="837" t="s">
        <v>415</v>
      </c>
      <c r="C39" s="850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 ht="15.75">
      <c r="A40" s="849"/>
      <c r="B40" s="837" t="s">
        <v>140</v>
      </c>
      <c r="C40" s="837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 ht="15.75">
      <c r="A41" s="849"/>
      <c r="B41" s="837" t="s">
        <v>155</v>
      </c>
      <c r="C41" s="837" t="s">
        <v>156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 ht="15.75">
      <c r="A42" s="849" t="s">
        <v>716</v>
      </c>
      <c r="B42" s="837"/>
      <c r="C42" s="837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 ht="15.75">
      <c r="A43" s="849" t="s">
        <v>620</v>
      </c>
      <c r="B43" s="837" t="s">
        <v>415</v>
      </c>
      <c r="C43" s="837"/>
      <c r="D43" s="466">
        <f>PGL_Supplies!T7/1000</f>
        <v>7</v>
      </c>
      <c r="E43" s="466">
        <f>PGL_Supplies!T8/1000</f>
        <v>7</v>
      </c>
      <c r="F43" s="466">
        <f>PGL_Supplies!T9/1000</f>
        <v>7</v>
      </c>
      <c r="G43" s="466">
        <f>PGL_Supplies!T10/1000</f>
        <v>7</v>
      </c>
      <c r="H43" s="466">
        <f>PGL_Supplies!T11/1000</f>
        <v>7</v>
      </c>
      <c r="I43" s="467">
        <f>PGL_Supplies!T12/1000</f>
        <v>7</v>
      </c>
    </row>
    <row r="44" spans="1:9" ht="15.75">
      <c r="A44" s="846"/>
      <c r="B44" s="837" t="s">
        <v>146</v>
      </c>
      <c r="C44" s="850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 ht="15.75">
      <c r="A45" s="846"/>
      <c r="B45" s="837" t="s">
        <v>415</v>
      </c>
      <c r="C45" s="850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 ht="15.75">
      <c r="A46" s="846"/>
      <c r="B46" s="837" t="s">
        <v>140</v>
      </c>
      <c r="C46" s="837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 ht="15.75">
      <c r="A47" s="863" t="s">
        <v>762</v>
      </c>
      <c r="B47" s="837" t="s">
        <v>741</v>
      </c>
      <c r="C47" s="837"/>
      <c r="D47" s="466">
        <f>PGL_Supplies!Y7/1000</f>
        <v>144.11600000000001</v>
      </c>
      <c r="E47" s="466">
        <f>PGL_Supplies!Y8/1000</f>
        <v>144.11600000000001</v>
      </c>
      <c r="F47" s="466">
        <f>PGL_Supplies!Y9/1000</f>
        <v>144.11600000000001</v>
      </c>
      <c r="G47" s="466">
        <f>PGL_Supplies!Y10/1000</f>
        <v>144.11600000000001</v>
      </c>
      <c r="H47" s="466">
        <f>PGL_Supplies!Y11/1000</f>
        <v>144.11600000000001</v>
      </c>
      <c r="I47" s="467">
        <f>PGL_Supplies!Y12/1000</f>
        <v>144.11600000000001</v>
      </c>
    </row>
    <row r="48" spans="1:9" ht="15.75">
      <c r="A48" s="849"/>
      <c r="B48" s="837" t="s">
        <v>142</v>
      </c>
      <c r="C48" s="850"/>
      <c r="D48" s="466">
        <f>PGL_Supplies!Z7/1000</f>
        <v>40.200000000000003</v>
      </c>
      <c r="E48" s="466">
        <f>PGL_Supplies!Z8/1000</f>
        <v>40.200000000000003</v>
      </c>
      <c r="F48" s="466">
        <f>PGL_Supplies!Z9/1000</f>
        <v>40.200000000000003</v>
      </c>
      <c r="G48" s="466">
        <f>PGL_Supplies!Z10/1000</f>
        <v>40.200000000000003</v>
      </c>
      <c r="H48" s="466">
        <f>PGL_Supplies!Z11/1000</f>
        <v>40.200000000000003</v>
      </c>
      <c r="I48" s="467">
        <f>PGL_Supplies!Z12/1000</f>
        <v>40.200000000000003</v>
      </c>
    </row>
    <row r="49" spans="1:10" ht="15.75">
      <c r="A49" s="849"/>
      <c r="B49" s="837" t="s">
        <v>146</v>
      </c>
      <c r="C49" s="850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 ht="15.75">
      <c r="A50" s="849"/>
      <c r="B50" s="837" t="s">
        <v>415</v>
      </c>
      <c r="C50" s="850"/>
      <c r="D50" s="466">
        <f>PGL_Supplies!AB7/1000</f>
        <v>197.547</v>
      </c>
      <c r="E50" s="466">
        <f>PGL_Supplies!AB8/1000</f>
        <v>197.547</v>
      </c>
      <c r="F50" s="466">
        <f>PGL_Supplies!AB9/1000</f>
        <v>197.547</v>
      </c>
      <c r="G50" s="466">
        <f>PGL_Supplies!AB10/1000</f>
        <v>197.547</v>
      </c>
      <c r="H50" s="466">
        <f>PGL_Supplies!AB11/1000</f>
        <v>197.547</v>
      </c>
      <c r="I50" s="467">
        <f>PGL_Supplies!AB12/1000</f>
        <v>197.547</v>
      </c>
    </row>
    <row r="51" spans="1:10" ht="15.75">
      <c r="A51" s="849"/>
      <c r="B51" s="837" t="s">
        <v>140</v>
      </c>
      <c r="C51" s="837"/>
      <c r="D51" s="466">
        <f>PGL_Supplies!AC7/1000</f>
        <v>45.658000000000001</v>
      </c>
      <c r="E51" s="466">
        <f>PGL_Supplies!AC8/1000</f>
        <v>45.658000000000001</v>
      </c>
      <c r="F51" s="466">
        <f>PGL_Supplies!AC9/1000</f>
        <v>45.658000000000001</v>
      </c>
      <c r="G51" s="466">
        <f>PGL_Supplies!AC10/1000</f>
        <v>45.658000000000001</v>
      </c>
      <c r="H51" s="466">
        <f>PGL_Supplies!AC11/1000</f>
        <v>45.658000000000001</v>
      </c>
      <c r="I51" s="467">
        <f>PGL_Supplies!AC12/1000</f>
        <v>45.658000000000001</v>
      </c>
    </row>
    <row r="52" spans="1:10" ht="15.75">
      <c r="A52" s="849"/>
      <c r="B52" s="837" t="s">
        <v>141</v>
      </c>
      <c r="C52" s="837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 ht="15.75">
      <c r="A53" s="863"/>
      <c r="B53" s="837" t="s">
        <v>157</v>
      </c>
      <c r="C53" s="837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11</v>
      </c>
    </row>
    <row r="54" spans="1:10" ht="15.75">
      <c r="A54" s="846"/>
      <c r="B54" s="837" t="s">
        <v>158</v>
      </c>
      <c r="C54" s="837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 ht="15.75">
      <c r="A55" s="849" t="s">
        <v>778</v>
      </c>
      <c r="B55" s="837"/>
      <c r="C55" s="837"/>
      <c r="D55" s="466">
        <f>PGL_Supplies!B7/1000</f>
        <v>5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 ht="15.75">
      <c r="A56" s="846" t="s">
        <v>751</v>
      </c>
      <c r="B56" s="837" t="s">
        <v>741</v>
      </c>
      <c r="C56" s="837"/>
      <c r="D56" s="466">
        <f>PGL_Supplies!X7/1000</f>
        <v>0.3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 ht="15.75">
      <c r="A57" s="846"/>
      <c r="B57" s="837" t="s">
        <v>142</v>
      </c>
      <c r="C57" s="837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 ht="15.75">
      <c r="A58" s="846"/>
      <c r="B58" s="851" t="s">
        <v>146</v>
      </c>
      <c r="C58" s="837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 ht="15.75">
      <c r="A59" s="846"/>
      <c r="B59" s="837" t="s">
        <v>415</v>
      </c>
      <c r="C59" s="837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 ht="15.75">
      <c r="A60" s="864"/>
      <c r="B60" s="865" t="s">
        <v>141</v>
      </c>
      <c r="C60" s="865"/>
      <c r="D60" s="468">
        <f>PGL_Supplies!G7/1000</f>
        <v>0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6.5" thickBot="1">
      <c r="A61" s="867" t="s">
        <v>159</v>
      </c>
      <c r="B61" s="868"/>
      <c r="C61" s="868"/>
      <c r="D61" s="476">
        <f t="shared" ref="D61:I61" si="2">SUM(D33:D60)</f>
        <v>519.83100000000002</v>
      </c>
      <c r="E61" s="476">
        <f t="shared" si="2"/>
        <v>454.52100000000007</v>
      </c>
      <c r="F61" s="476">
        <f t="shared" si="2"/>
        <v>454.52100000000007</v>
      </c>
      <c r="G61" s="476">
        <f t="shared" si="2"/>
        <v>454.52100000000007</v>
      </c>
      <c r="H61" s="476">
        <f t="shared" si="2"/>
        <v>454.52100000000007</v>
      </c>
      <c r="I61" s="1169">
        <f t="shared" si="2"/>
        <v>454.52100000000007</v>
      </c>
    </row>
    <row r="62" spans="1:10">
      <c r="A62" s="869" t="s">
        <v>160</v>
      </c>
      <c r="B62" s="870"/>
      <c r="C62" s="870"/>
      <c r="D62" s="477">
        <f t="shared" ref="D62:I62" si="3">IF(D61-D30&lt;0,0,D61-D30)</f>
        <v>9.9999999997635314E-4</v>
      </c>
      <c r="E62" s="477">
        <f t="shared" si="3"/>
        <v>0</v>
      </c>
      <c r="F62" s="477">
        <f t="shared" si="3"/>
        <v>7.3910000000000764</v>
      </c>
      <c r="G62" s="477">
        <f t="shared" si="3"/>
        <v>21.391000000000076</v>
      </c>
      <c r="H62" s="477">
        <f t="shared" si="3"/>
        <v>31.391000000000076</v>
      </c>
      <c r="I62" s="1170">
        <f t="shared" si="3"/>
        <v>31.391000000000076</v>
      </c>
    </row>
    <row r="63" spans="1:10" ht="15.75" thickBot="1">
      <c r="A63" s="871" t="s">
        <v>161</v>
      </c>
      <c r="B63" s="855"/>
      <c r="C63" s="872"/>
      <c r="D63" s="478">
        <f t="shared" ref="D63:I63" si="4">IF(D30-D61&lt;0,0,D30-D61)</f>
        <v>0</v>
      </c>
      <c r="E63" s="478">
        <f t="shared" si="4"/>
        <v>12.608999999999924</v>
      </c>
      <c r="F63" s="478">
        <f t="shared" si="4"/>
        <v>0</v>
      </c>
      <c r="G63" s="478">
        <f t="shared" si="4"/>
        <v>0</v>
      </c>
      <c r="H63" s="478">
        <f t="shared" si="4"/>
        <v>0</v>
      </c>
      <c r="I63" s="1171">
        <f t="shared" si="4"/>
        <v>0</v>
      </c>
    </row>
    <row r="64" spans="1:10" ht="16.5" thickTop="1" thickBot="1">
      <c r="A64" s="1158" t="s">
        <v>766</v>
      </c>
      <c r="B64" s="1159"/>
      <c r="C64" s="1159"/>
      <c r="D64" s="1160">
        <f>PGL_Supplies!V7/1000</f>
        <v>163.95699999999999</v>
      </c>
      <c r="E64" s="1160">
        <f>PGL_Supplies!V8/1000</f>
        <v>163.95699999999999</v>
      </c>
      <c r="F64" s="1160">
        <f>PGL_Supplies!V9/1000</f>
        <v>163.95699999999999</v>
      </c>
      <c r="G64" s="1160">
        <f>PGL_Supplies!V10/1000</f>
        <v>163.95699999999999</v>
      </c>
      <c r="H64" s="1160">
        <f>PGL_Supplies!V11/1000</f>
        <v>163.95699999999999</v>
      </c>
      <c r="I64" s="1161">
        <f>PGL_Supplies!V12/1000</f>
        <v>163.95699999999999</v>
      </c>
    </row>
    <row r="65" spans="3:3" ht="15.75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2001-05-27T08:43:32Z</cp:lastPrinted>
  <dcterms:created xsi:type="dcterms:W3CDTF">1997-07-16T16:14:22Z</dcterms:created>
  <dcterms:modified xsi:type="dcterms:W3CDTF">2023-09-10T17:19:29Z</dcterms:modified>
</cp:coreProperties>
</file>