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938E8E-9A0C-495E-B142-7EE16B22C56A}" xr6:coauthVersionLast="47" xr6:coauthVersionMax="47" xr10:uidLastSave="{00000000-0000-0000-0000-000000000000}"/>
  <bookViews>
    <workbookView xWindow="-120" yWindow="-120" windowWidth="38640" windowHeight="15720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AG2" i="9"/>
  <c r="AH2" i="9"/>
  <c r="AJ2" i="9"/>
  <c r="AK2" i="9"/>
  <c r="K3" i="9"/>
  <c r="L3" i="9"/>
  <c r="P3" i="9"/>
  <c r="T3" i="9"/>
  <c r="Z3" i="9"/>
  <c r="AG3" i="9"/>
  <c r="AH3" i="9"/>
  <c r="AJ3" i="9"/>
  <c r="AK3" i="9"/>
  <c r="D4" i="9"/>
  <c r="M4" i="9"/>
  <c r="Z4" i="9"/>
  <c r="AG4" i="9"/>
  <c r="AH4" i="9"/>
  <c r="AJ4" i="9"/>
  <c r="AK4" i="9"/>
  <c r="K5" i="9"/>
  <c r="L5" i="9"/>
  <c r="M5" i="9"/>
  <c r="Z5" i="9"/>
  <c r="AG5" i="9"/>
  <c r="AH5" i="9"/>
  <c r="AJ5" i="9"/>
  <c r="AK5" i="9"/>
  <c r="K6" i="9"/>
  <c r="L6" i="9"/>
  <c r="M6" i="9"/>
  <c r="Z6" i="9"/>
  <c r="AG6" i="9"/>
  <c r="AH6" i="9"/>
  <c r="AJ6" i="9"/>
  <c r="AK6" i="9"/>
  <c r="Z7" i="9"/>
  <c r="AG7" i="9"/>
  <c r="AH7" i="9"/>
  <c r="AJ7" i="9"/>
  <c r="AK7" i="9"/>
  <c r="Z8" i="9"/>
  <c r="AG8" i="9"/>
  <c r="AH8" i="9"/>
  <c r="AJ8" i="9"/>
  <c r="AK8" i="9"/>
  <c r="Z9" i="9"/>
  <c r="AG9" i="9"/>
  <c r="AH9" i="9"/>
  <c r="AJ9" i="9"/>
  <c r="AK9" i="9"/>
  <c r="Z10" i="9"/>
  <c r="AG10" i="9"/>
  <c r="AH10" i="9"/>
  <c r="AJ10" i="9"/>
  <c r="AK10" i="9"/>
  <c r="Z11" i="9"/>
  <c r="AG11" i="9"/>
  <c r="AH11" i="9"/>
  <c r="AJ11" i="9"/>
  <c r="AK11" i="9"/>
  <c r="B12" i="9"/>
  <c r="Z12" i="9"/>
  <c r="AG12" i="9"/>
  <c r="AH12" i="9"/>
  <c r="AJ12" i="9"/>
  <c r="AK12" i="9"/>
  <c r="Z13" i="9"/>
  <c r="AG13" i="9"/>
  <c r="AH13" i="9"/>
  <c r="AJ13" i="9"/>
  <c r="AK13" i="9"/>
  <c r="E14" i="9"/>
  <c r="Z14" i="9"/>
  <c r="AG14" i="9"/>
  <c r="AH14" i="9"/>
  <c r="AJ14" i="9"/>
  <c r="AK14" i="9"/>
  <c r="F15" i="9"/>
  <c r="Z15" i="9"/>
  <c r="AG15" i="9"/>
  <c r="AH15" i="9"/>
  <c r="AJ15" i="9"/>
  <c r="AK15" i="9"/>
  <c r="Z16" i="9"/>
  <c r="AG16" i="9"/>
  <c r="AH16" i="9"/>
  <c r="AJ16" i="9"/>
  <c r="AK16" i="9"/>
  <c r="X17" i="9"/>
  <c r="Z17" i="9"/>
  <c r="AG17" i="9"/>
  <c r="AH17" i="9"/>
  <c r="AJ17" i="9"/>
  <c r="AK17" i="9"/>
  <c r="Z18" i="9"/>
  <c r="AG18" i="9"/>
  <c r="AH18" i="9"/>
  <c r="AJ18" i="9"/>
  <c r="AK18" i="9"/>
  <c r="Z19" i="9"/>
  <c r="AG19" i="9"/>
  <c r="AH19" i="9"/>
  <c r="AJ19" i="9"/>
  <c r="AK19" i="9"/>
  <c r="X20" i="9"/>
  <c r="Z20" i="9"/>
  <c r="AG20" i="9"/>
  <c r="AH20" i="9"/>
  <c r="AJ20" i="9"/>
  <c r="AK20" i="9"/>
  <c r="X21" i="9"/>
  <c r="Z21" i="9"/>
  <c r="AG21" i="9"/>
  <c r="AH21" i="9"/>
  <c r="AJ21" i="9"/>
  <c r="AK21" i="9"/>
  <c r="X22" i="9"/>
  <c r="Z22" i="9"/>
  <c r="AG22" i="9"/>
  <c r="AH22" i="9"/>
  <c r="AJ22" i="9"/>
  <c r="AK22" i="9"/>
  <c r="X23" i="9"/>
  <c r="Z23" i="9"/>
  <c r="AG23" i="9"/>
  <c r="AH23" i="9"/>
  <c r="AJ23" i="9"/>
  <c r="AK23" i="9"/>
  <c r="X24" i="9"/>
  <c r="Z24" i="9"/>
  <c r="AG24" i="9"/>
  <c r="AH24" i="9"/>
  <c r="AJ24" i="9"/>
  <c r="AK24" i="9"/>
  <c r="X25" i="9"/>
  <c r="Z25" i="9"/>
  <c r="AG25" i="9"/>
  <c r="AJ25" i="9"/>
  <c r="Z26" i="9"/>
  <c r="AG26" i="9"/>
  <c r="AJ26" i="9"/>
  <c r="Z27" i="9"/>
  <c r="AG27" i="9"/>
  <c r="AJ27" i="9"/>
  <c r="B28" i="9"/>
  <c r="C28" i="9"/>
  <c r="Z28" i="9"/>
  <c r="AG28" i="9"/>
  <c r="AJ28" i="9"/>
  <c r="E29" i="9"/>
  <c r="Z29" i="9"/>
  <c r="AG29" i="9"/>
  <c r="AJ29" i="9"/>
  <c r="Z30" i="9"/>
  <c r="AG30" i="9"/>
  <c r="AJ30" i="9"/>
  <c r="Z31" i="9"/>
  <c r="AJ31" i="9"/>
  <c r="B57" i="9"/>
  <c r="B1" i="11"/>
  <c r="H1" i="11"/>
  <c r="B2" i="11"/>
  <c r="H2" i="11"/>
  <c r="D4" i="11"/>
  <c r="J4" i="11"/>
  <c r="E14" i="11"/>
  <c r="K14" i="11"/>
  <c r="F15" i="11"/>
  <c r="L15" i="11"/>
  <c r="B27" i="11"/>
  <c r="C27" i="11"/>
  <c r="H27" i="11"/>
  <c r="I27" i="11"/>
  <c r="E29" i="11"/>
  <c r="K29" i="11"/>
  <c r="B32" i="11"/>
  <c r="H32" i="11"/>
  <c r="B56" i="11"/>
  <c r="H56" i="11"/>
</calcChain>
</file>

<file path=xl/sharedStrings.xml><?xml version="1.0" encoding="utf-8"?>
<sst xmlns="http://schemas.openxmlformats.org/spreadsheetml/2006/main" count="279" uniqueCount="74">
  <si>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</si>
  <si>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</si>
  <si>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</si>
  <si>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</si>
  <si>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</si>
  <si>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</si>
  <si>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</si>
  <si>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</si>
  <si>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</si>
  <si>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</si>
  <si>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</si>
  <si>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</si>
  <si>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</si>
  <si>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</si>
  <si>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</si>
  <si>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</si>
  <si>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</si>
  <si>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</si>
  <si>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</si>
  <si>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</si>
  <si>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</si>
  <si>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</si>
  <si>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</si>
  <si>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</si>
  <si>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</si>
  <si>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</si>
  <si>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</si>
  <si>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</si>
  <si>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</si>
  <si>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</si>
  <si>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</si>
  <si>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</si>
  <si>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</si>
  <si>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</si>
  <si>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</si>
  <si>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</si>
  <si>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</si>
  <si>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</si>
  <si>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</si>
  <si>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</si>
  <si>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</si>
  <si>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</si>
  <si>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</si>
  <si>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</si>
  <si>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</si>
  <si>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</si>
  <si>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</si>
  <si>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</si>
  <si>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</si>
  <si>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</si>
  <si>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</si>
  <si>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</si>
  <si>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</si>
  <si>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</si>
  <si>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</si>
  <si>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>TRUNKLINE QNT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</si>
  <si>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</si>
  <si>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</si>
  <si>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</si>
  <si>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</si>
  <si>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</si>
  <si>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</si>
  <si>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</si>
  <si>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</si>
  <si>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</si>
  <si>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</si>
  <si>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</si>
  <si>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</si>
  <si>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</si>
  <si>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</si>
  <si>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</si>
  <si>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ENA SELL-BACK</t>
  </si>
  <si>
    <t>SOUTH TX CALL</t>
  </si>
  <si>
    <t>ANR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</si>
</sst>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0" fontId="2" fillId="0" borderId="9" xfId="0" applyFont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4" fillId="0" borderId="5" xfId="0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176" fontId="4" fillId="0" borderId="9" xfId="1" applyNumberFormat="1" applyFont="1" applyFill="1" applyBorder="1"/>
    <xf numFmtId="0" fontId="5" fillId="0" borderId="8" xfId="0" applyFont="1" applyFill="1" applyBorder="1"/>
    <xf numFmtId="0" fontId="4" fillId="0" borderId="11" xfId="0" applyFont="1" applyFill="1" applyBorder="1"/>
    <xf numFmtId="0" fontId="4" fillId="0" borderId="14" xfId="0" applyFont="1" applyFill="1" applyBorder="1"/>
    <xf numFmtId="0" fontId="2" fillId="2" borderId="1" xfId="0" applyFont="1" applyFill="1" applyBorder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D-428D-B593-2D863DCDBB8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D-428D-B593-2D863DCDB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603216"/>
        <c:axId val="1"/>
      </c:lineChart>
      <c:catAx>
        <c:axId val="3776032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60321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2C-451C-8830-4ABFB4838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48192"/>
        <c:axId val="1"/>
      </c:lineChart>
      <c:catAx>
        <c:axId val="37814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14819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BF-4181-B9AA-BC9D47A37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49120"/>
        <c:axId val="1"/>
      </c:lineChart>
      <c:catAx>
        <c:axId val="37814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1491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13-45CB-9C45-03B2AB7BE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46976"/>
        <c:axId val="1"/>
      </c:lineChart>
      <c:catAx>
        <c:axId val="37864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6469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6-41AA-959F-EF8499BEB07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6-41AA-959F-EF8499BEB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43728"/>
        <c:axId val="1"/>
      </c:lineChart>
      <c:catAx>
        <c:axId val="3786437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64372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8-4169-8C06-9ADDF6925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41872"/>
        <c:axId val="1"/>
      </c:lineChart>
      <c:dateAx>
        <c:axId val="3786418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6418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0-4F1B-81C2-DB57746E5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39552"/>
        <c:axId val="1"/>
      </c:lineChart>
      <c:catAx>
        <c:axId val="3786395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63955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36-41F2-B18D-CC9164169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44656"/>
        <c:axId val="1"/>
      </c:lineChart>
      <c:catAx>
        <c:axId val="37864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64465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D0F-4DC9-8D40-6B3640605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46048"/>
        <c:axId val="1"/>
      </c:lineChart>
      <c:catAx>
        <c:axId val="3786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6460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2BC-4E80-B2B5-155981A38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050704"/>
        <c:axId val="1"/>
      </c:lineChart>
      <c:catAx>
        <c:axId val="37905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90507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9-41EC-BAAC-58C9073436D6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9-41EC-BAAC-58C90734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049312"/>
        <c:axId val="1"/>
      </c:lineChart>
      <c:catAx>
        <c:axId val="3790493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904931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9-49C0-83AF-565FC1BCD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602288"/>
        <c:axId val="1"/>
      </c:lineChart>
      <c:dateAx>
        <c:axId val="3776022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6022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4-477C-89F5-257B33D1A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048848"/>
        <c:axId val="1"/>
      </c:lineChart>
      <c:dateAx>
        <c:axId val="379048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90488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8-479E-8F35-21DE14303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047920"/>
        <c:axId val="1"/>
      </c:lineChart>
      <c:catAx>
        <c:axId val="3790479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904792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4E-4915-844D-82BEF7672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043744"/>
        <c:axId val="1"/>
      </c:lineChart>
      <c:catAx>
        <c:axId val="37904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904374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6D4-4475-82DB-2C70E6381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045600"/>
        <c:axId val="1"/>
      </c:lineChart>
      <c:catAx>
        <c:axId val="3790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90456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60D-4469-A311-5ABFBACB4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692368"/>
        <c:axId val="1"/>
      </c:lineChart>
      <c:catAx>
        <c:axId val="37969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96923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8-4C59-BFF8-3D190F92039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8-4C59-BFF8-3D190F920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689584"/>
        <c:axId val="1"/>
      </c:lineChart>
      <c:catAx>
        <c:axId val="3796895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968958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6-4FF4-9B23-0BC18A09C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692832"/>
        <c:axId val="1"/>
      </c:lineChart>
      <c:dateAx>
        <c:axId val="3796928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96928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1-4E8D-985B-9D182BE73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693760"/>
        <c:axId val="1"/>
      </c:lineChart>
      <c:catAx>
        <c:axId val="3796937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969376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FE-4FDE-A6FB-A1EAC62E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694688"/>
        <c:axId val="1"/>
      </c:lineChart>
      <c:catAx>
        <c:axId val="37969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969468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067-40DE-8E7F-9AC60759A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102592"/>
        <c:axId val="1"/>
      </c:lineChart>
      <c:catAx>
        <c:axId val="38010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01025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7-4A11-8C50-5BF85F82C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599504"/>
        <c:axId val="1"/>
      </c:lineChart>
      <c:catAx>
        <c:axId val="3775995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59950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73C-483D-9E6F-0512252FD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106304"/>
        <c:axId val="1"/>
      </c:lineChart>
      <c:catAx>
        <c:axId val="38010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01063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92536467735378"/>
          <c:y val="1.40453901104817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96356281903992E-2"/>
          <c:y val="8.1463262640793954E-2"/>
          <c:w val="0.9353614800543284"/>
          <c:h val="0.6011426967286174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806000</c:v>
                </c:pt>
                <c:pt idx="1">
                  <c:v>698000</c:v>
                </c:pt>
                <c:pt idx="2">
                  <c:v>874000</c:v>
                </c:pt>
                <c:pt idx="3">
                  <c:v>760000</c:v>
                </c:pt>
                <c:pt idx="4">
                  <c:v>610000</c:v>
                </c:pt>
                <c:pt idx="5">
                  <c:v>500000</c:v>
                </c:pt>
                <c:pt idx="6">
                  <c:v>295000</c:v>
                </c:pt>
                <c:pt idx="7">
                  <c:v>348000</c:v>
                </c:pt>
                <c:pt idx="8">
                  <c:v>435000</c:v>
                </c:pt>
                <c:pt idx="9">
                  <c:v>403000</c:v>
                </c:pt>
                <c:pt idx="10">
                  <c:v>361000</c:v>
                </c:pt>
                <c:pt idx="11">
                  <c:v>614000</c:v>
                </c:pt>
                <c:pt idx="12">
                  <c:v>668000</c:v>
                </c:pt>
                <c:pt idx="13">
                  <c:v>590000</c:v>
                </c:pt>
                <c:pt idx="14">
                  <c:v>634000</c:v>
                </c:pt>
                <c:pt idx="15">
                  <c:v>710000</c:v>
                </c:pt>
                <c:pt idx="16">
                  <c:v>747000</c:v>
                </c:pt>
                <c:pt idx="17">
                  <c:v>745000</c:v>
                </c:pt>
                <c:pt idx="18">
                  <c:v>504000</c:v>
                </c:pt>
                <c:pt idx="19">
                  <c:v>312000</c:v>
                </c:pt>
                <c:pt idx="20">
                  <c:v>276000</c:v>
                </c:pt>
                <c:pt idx="21">
                  <c:v>388000</c:v>
                </c:pt>
                <c:pt idx="22">
                  <c:v>423000</c:v>
                </c:pt>
                <c:pt idx="23">
                  <c:v>476000</c:v>
                </c:pt>
                <c:pt idx="24">
                  <c:v>442000</c:v>
                </c:pt>
                <c:pt idx="25">
                  <c:v>311000</c:v>
                </c:pt>
                <c:pt idx="26">
                  <c:v>281000</c:v>
                </c:pt>
                <c:pt idx="27">
                  <c:v>269000</c:v>
                </c:pt>
                <c:pt idx="28">
                  <c:v>276000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6-4B76-84FE-E524DD9B7AC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819107</c:v>
                </c:pt>
                <c:pt idx="1">
                  <c:v>781363</c:v>
                </c:pt>
                <c:pt idx="2">
                  <c:v>893615</c:v>
                </c:pt>
                <c:pt idx="3">
                  <c:v>761806</c:v>
                </c:pt>
                <c:pt idx="4">
                  <c:v>591070</c:v>
                </c:pt>
                <c:pt idx="5">
                  <c:v>590546</c:v>
                </c:pt>
                <c:pt idx="6">
                  <c:v>315134</c:v>
                </c:pt>
                <c:pt idx="7">
                  <c:v>377219</c:v>
                </c:pt>
                <c:pt idx="8">
                  <c:v>566981</c:v>
                </c:pt>
                <c:pt idx="9">
                  <c:v>624348</c:v>
                </c:pt>
                <c:pt idx="10">
                  <c:v>399746</c:v>
                </c:pt>
                <c:pt idx="11">
                  <c:v>605438</c:v>
                </c:pt>
                <c:pt idx="12">
                  <c:v>505682</c:v>
                </c:pt>
                <c:pt idx="13">
                  <c:v>424141</c:v>
                </c:pt>
                <c:pt idx="14">
                  <c:v>593833</c:v>
                </c:pt>
                <c:pt idx="15">
                  <c:v>1004436</c:v>
                </c:pt>
                <c:pt idx="16">
                  <c:v>936301</c:v>
                </c:pt>
                <c:pt idx="17">
                  <c:v>705838</c:v>
                </c:pt>
                <c:pt idx="18">
                  <c:v>424707</c:v>
                </c:pt>
                <c:pt idx="19">
                  <c:v>295672</c:v>
                </c:pt>
                <c:pt idx="20">
                  <c:v>298088</c:v>
                </c:pt>
                <c:pt idx="21">
                  <c:v>301967</c:v>
                </c:pt>
                <c:pt idx="22">
                  <c:v>423776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6-4B76-84FE-E524DD9B7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101200"/>
        <c:axId val="1"/>
      </c:lineChart>
      <c:catAx>
        <c:axId val="38010120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0101200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18009865949171"/>
          <c:y val="0.86238695278357735"/>
          <c:w val="5.2323803723969345E-2"/>
          <c:h val="0.12921758901643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8958292753754703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074037434712"/>
          <c:y val="9.2359829647805453E-2"/>
          <c:w val="0.82057821351412463"/>
          <c:h val="0.58282237329477227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2010</c:v>
                </c:pt>
                <c:pt idx="16">
                  <c:v>0</c:v>
                </c:pt>
                <c:pt idx="17">
                  <c:v>0</c:v>
                </c:pt>
                <c:pt idx="18">
                  <c:v>5680</c:v>
                </c:pt>
                <c:pt idx="19">
                  <c:v>4000</c:v>
                </c:pt>
                <c:pt idx="20">
                  <c:v>9084</c:v>
                </c:pt>
                <c:pt idx="21">
                  <c:v>20188</c:v>
                </c:pt>
                <c:pt idx="22">
                  <c:v>6000</c:v>
                </c:pt>
                <c:pt idx="23">
                  <c:v>20200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4-40A4-BA92-BCA9D8E3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103056"/>
        <c:axId val="1"/>
      </c:lineChart>
      <c:dateAx>
        <c:axId val="3801030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01030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77409403444778"/>
          <c:y val="0.93633758332602768"/>
          <c:w val="0.1855887174489889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1550450958627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864509758545068E-2"/>
          <c:y val="0.10057780555495467"/>
          <c:w val="0.94696341791863903"/>
          <c:h val="0.663813516662700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301029</c:v>
                </c:pt>
                <c:pt idx="1">
                  <c:v>299604</c:v>
                </c:pt>
                <c:pt idx="2">
                  <c:v>308524</c:v>
                </c:pt>
                <c:pt idx="3">
                  <c:v>290405</c:v>
                </c:pt>
                <c:pt idx="4">
                  <c:v>302078</c:v>
                </c:pt>
                <c:pt idx="5">
                  <c:v>330799</c:v>
                </c:pt>
                <c:pt idx="6">
                  <c:v>213256</c:v>
                </c:pt>
                <c:pt idx="7">
                  <c:v>213256</c:v>
                </c:pt>
                <c:pt idx="8">
                  <c:v>213256</c:v>
                </c:pt>
                <c:pt idx="9">
                  <c:v>197388</c:v>
                </c:pt>
                <c:pt idx="10">
                  <c:v>210920</c:v>
                </c:pt>
                <c:pt idx="11">
                  <c:v>318268</c:v>
                </c:pt>
                <c:pt idx="12">
                  <c:v>324894</c:v>
                </c:pt>
                <c:pt idx="13">
                  <c:v>327964</c:v>
                </c:pt>
                <c:pt idx="14">
                  <c:v>327744</c:v>
                </c:pt>
                <c:pt idx="15">
                  <c:v>321289</c:v>
                </c:pt>
                <c:pt idx="16">
                  <c:v>265714</c:v>
                </c:pt>
                <c:pt idx="17">
                  <c:v>272547</c:v>
                </c:pt>
                <c:pt idx="18">
                  <c:v>271169</c:v>
                </c:pt>
                <c:pt idx="19">
                  <c:v>273551</c:v>
                </c:pt>
                <c:pt idx="20">
                  <c:v>273481</c:v>
                </c:pt>
                <c:pt idx="21">
                  <c:v>273481</c:v>
                </c:pt>
                <c:pt idx="22">
                  <c:v>273481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F-43BF-BCCD-EF59EFC33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105376"/>
        <c:axId val="1"/>
      </c:lineChart>
      <c:catAx>
        <c:axId val="38010537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010537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227018676127151"/>
          <c:y val="0.93106311428015176"/>
          <c:w val="4.3043791723574504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44521775775759"/>
          <c:y val="3.2155438889161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5112139718662"/>
          <c:y val="0.1157595800009813"/>
          <c:w val="0.85799810926575659"/>
          <c:h val="0.58844453167165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288516.4192</c:v>
                </c:pt>
                <c:pt idx="1">
                  <c:v>288516.4192</c:v>
                </c:pt>
                <c:pt idx="2">
                  <c:v>288516.4192</c:v>
                </c:pt>
                <c:pt idx="3">
                  <c:v>288516.4192</c:v>
                </c:pt>
                <c:pt idx="4">
                  <c:v>288516.4192</c:v>
                </c:pt>
                <c:pt idx="5">
                  <c:v>288516.4192</c:v>
                </c:pt>
                <c:pt idx="6">
                  <c:v>288516.4192</c:v>
                </c:pt>
                <c:pt idx="7">
                  <c:v>288516.4192</c:v>
                </c:pt>
                <c:pt idx="8">
                  <c:v>288516.4192</c:v>
                </c:pt>
                <c:pt idx="9">
                  <c:v>288516.4192</c:v>
                </c:pt>
                <c:pt idx="10">
                  <c:v>288516.4192</c:v>
                </c:pt>
                <c:pt idx="11">
                  <c:v>288516.4192</c:v>
                </c:pt>
                <c:pt idx="12">
                  <c:v>288516.4192</c:v>
                </c:pt>
                <c:pt idx="13">
                  <c:v>288516.4192</c:v>
                </c:pt>
                <c:pt idx="14">
                  <c:v>288516.4192</c:v>
                </c:pt>
                <c:pt idx="15">
                  <c:v>286506.4192</c:v>
                </c:pt>
                <c:pt idx="16">
                  <c:v>286506.4192</c:v>
                </c:pt>
                <c:pt idx="17">
                  <c:v>286506.4192</c:v>
                </c:pt>
                <c:pt idx="18">
                  <c:v>280826.4192</c:v>
                </c:pt>
                <c:pt idx="19">
                  <c:v>276826.4192</c:v>
                </c:pt>
                <c:pt idx="20">
                  <c:v>267742.4192</c:v>
                </c:pt>
                <c:pt idx="21">
                  <c:v>247554.4192</c:v>
                </c:pt>
                <c:pt idx="22">
                  <c:v>241554.4192</c:v>
                </c:pt>
                <c:pt idx="23">
                  <c:v>221354.4192</c:v>
                </c:pt>
                <c:pt idx="24">
                  <c:v>221354.4192</c:v>
                </c:pt>
                <c:pt idx="25">
                  <c:v>221354.4192</c:v>
                </c:pt>
                <c:pt idx="26">
                  <c:v>221354.4192</c:v>
                </c:pt>
                <c:pt idx="27">
                  <c:v>221354.4192</c:v>
                </c:pt>
                <c:pt idx="28">
                  <c:v>221354.4192</c:v>
                </c:pt>
                <c:pt idx="29">
                  <c:v>221354.4192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292-4AD0-8DE1-85D06C858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108160"/>
        <c:axId val="1"/>
      </c:lineChart>
      <c:catAx>
        <c:axId val="380108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010816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31575987232808"/>
          <c:y val="0.93250772778568269"/>
          <c:w val="0.12319229609390087"/>
          <c:h val="5.7879790000490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15373369963081"/>
          <c:y val="1.58735295137782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6621708240985"/>
          <c:y val="9.2066471179913623E-2"/>
          <c:w val="0.85323872016879854"/>
          <c:h val="0.6190676510373502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17-4ADA-944E-5730E310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19136"/>
        <c:axId val="1"/>
      </c:lineChart>
      <c:catAx>
        <c:axId val="380819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08191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3715974595111"/>
          <c:y val="0.93336353541015882"/>
          <c:w val="0.10244981048621774"/>
          <c:h val="5.71447062496015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284481739858756"/>
          <c:y val="1.577340416389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9694738174345E-2"/>
          <c:y val="9.1485744150583637E-2"/>
          <c:w val="0.86504971528704544"/>
          <c:h val="0.6183174432246342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0C-4001-ADC3-EB1FCBBB7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14960"/>
        <c:axId val="1"/>
      </c:lineChart>
      <c:catAx>
        <c:axId val="380814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08149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24981589938339"/>
          <c:y val="0.9369402073352876"/>
          <c:w val="0.13498258980150207"/>
          <c:h val="5.04748933244599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1D-4CE2-9FB4-FF025A04C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598112"/>
        <c:axId val="1"/>
      </c:lineChart>
      <c:catAx>
        <c:axId val="37759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59811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82-447F-8C1D-E8D0664E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597648"/>
        <c:axId val="1"/>
      </c:lineChart>
      <c:catAx>
        <c:axId val="37759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5976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7C2-4E65-81D6-59222875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601824"/>
        <c:axId val="1"/>
      </c:lineChart>
      <c:catAx>
        <c:axId val="37760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760182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3-459F-87B7-296D335F3BE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3-459F-87B7-296D335F3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50976"/>
        <c:axId val="1"/>
      </c:lineChart>
      <c:catAx>
        <c:axId val="3781509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15097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0-4BB6-B2AA-3C06DC257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47728"/>
        <c:axId val="1"/>
      </c:lineChart>
      <c:dateAx>
        <c:axId val="3781477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1477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8-48BA-AA78-0AA913632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49584"/>
        <c:axId val="1"/>
      </c:lineChart>
      <c:catAx>
        <c:axId val="3781495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7814958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1831068-6ECF-CCFE-7CD7-6294DB57E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3A9FA6B-4CCE-E772-A911-3FC0AF8B9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5D7A6119-6894-1088-945E-7AECCD904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BF3D0A2-1992-7D1F-1DBA-41278D3F1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87DCEFEB-6FAF-2E88-9C10-5BE6E39B5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CEF50F1D-41FF-44CD-A491-A616A12CD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A67C690-1FB4-0022-8DCE-DAFF4B1E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2FB96C21-B094-E5CB-85DC-B956E06F4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2722FDB-599E-4E25-E653-013622DBF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575F9789-1FCB-4822-C6AC-97812996A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8D94997E-9C25-368F-50B2-D52E770A4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2A3EDB95-A7A3-D709-20F8-40105015B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DD6EF416-6DD7-9B32-714D-CADF1A6DB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692406FD-27CD-3624-D652-7036EA1B6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C97022BE-D8C1-DCE1-3D14-A19E17893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3CA1550F-90BA-C2B5-2E35-C2032B3ED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46650347-C956-8DCC-9FD8-9663760FD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09EBE1A8-9244-79F8-B3EA-B9E4E6B8D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C9800C4D-842F-D18B-45A3-6FD0F5E31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60C1C2F6-0B81-C0F5-E4CD-CC09F3A0A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113E1DCD-B83E-0FB7-FE8F-15B374658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40875CA2-065E-9862-9F4C-2E48662F8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4B2FA07B-3641-8B63-3AF2-14B2D7C3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09CE3903-F601-A18B-0282-5789056DD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CD7540E7-CBC2-9CFC-208A-AE173A558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A474C8B8-008D-8D23-5D05-DC1B8EE94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E4D2C4C7-D701-74A1-EA14-98F3211F3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6258B35E-4D6F-505E-083C-0B2A3D6F6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C3B6FE6C-E4D7-8120-B682-F76D8F31F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6D4EB57E-0BD4-4CA5-B535-0A841CD20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19050</xdr:rowOff>
    </xdr:from>
    <xdr:to>
      <xdr:col>21</xdr:col>
      <xdr:colOff>9525</xdr:colOff>
      <xdr:row>65</xdr:row>
      <xdr:rowOff>142875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62770EF7-6C9B-49F4-4863-C22D3E2CC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D4ADDE45-1AA1-5D4F-350A-AD2CFD387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723900</xdr:colOff>
      <xdr:row>66</xdr:row>
      <xdr:rowOff>114300</xdr:rowOff>
    </xdr:from>
    <xdr:to>
      <xdr:col>20</xdr:col>
      <xdr:colOff>647700</xdr:colOff>
      <xdr:row>87</xdr:row>
      <xdr:rowOff>28575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FA00795D-8883-53BE-4513-B95A80344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47625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415F24A4-B1F5-BC7E-AE3D-94792EED9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109D06EF-CBAF-6812-6F08-F610254AB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6B678B4F-797B-9213-034E-169DF5218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22" sqref="A22"/>
    </sheetView>
  </sheetViews>
  <sheetFormatPr defaultRowHeight="12.75" x14ac:dyDescent="0.2"/>
  <cols>
    <col min="1" max="1" width="30.42578125" style="45" bestFit="1" customWidth="1"/>
    <col min="2" max="2" width="11" style="45" bestFit="1" customWidth="1"/>
    <col min="3" max="3" width="11" style="2" bestFit="1" customWidth="1"/>
    <col min="4" max="4" width="26.42578125" style="2" bestFit="1" customWidth="1"/>
    <col min="5" max="5" width="11" style="2" bestFit="1" customWidth="1"/>
    <col min="6" max="6" width="9.28515625" style="2" bestFit="1" customWidth="1"/>
    <col min="7" max="7" width="30.42578125" style="2" bestFit="1" customWidth="1"/>
    <col min="8" max="9" width="11" style="2" bestFit="1" customWidth="1"/>
    <col min="10" max="10" width="26.42578125" style="2" bestFit="1" customWidth="1"/>
    <col min="11" max="11" width="9.28515625" style="2" bestFit="1" customWidth="1"/>
    <col min="12" max="12" width="11.140625" style="2" customWidth="1"/>
    <col min="13" max="16384" width="9.140625" style="2"/>
  </cols>
  <sheetData>
    <row r="1" spans="1:12" ht="27.75" customHeight="1" thickBot="1" x14ac:dyDescent="0.25">
      <c r="A1" s="45" t="s">
        <v>0</v>
      </c>
      <c r="B1" s="46">
        <f ca="1">TODAY()</f>
        <v>37006</v>
      </c>
      <c r="G1" s="2" t="s">
        <v>0</v>
      </c>
      <c r="H1" s="3">
        <f ca="1">TODAY()</f>
        <v>37006</v>
      </c>
    </row>
    <row r="2" spans="1:12" ht="13.5" thickBot="1" x14ac:dyDescent="0.25">
      <c r="A2" s="45" t="s">
        <v>12</v>
      </c>
      <c r="B2" s="46">
        <f ca="1">TODAY()+2</f>
        <v>37008</v>
      </c>
      <c r="G2" s="2" t="s">
        <v>12</v>
      </c>
      <c r="H2" s="3">
        <f ca="1">TODAY()+3</f>
        <v>37009</v>
      </c>
    </row>
    <row r="3" spans="1:12" ht="25.5" customHeight="1" thickBot="1" x14ac:dyDescent="0.25">
      <c r="B3" s="47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5" thickBot="1" x14ac:dyDescent="0.25">
      <c r="A4" s="45" t="s">
        <v>16</v>
      </c>
      <c r="B4" s="55">
        <v>70</v>
      </c>
      <c r="C4" s="17">
        <v>52</v>
      </c>
      <c r="D4" s="18">
        <f>AVERAGE(B4,C4)</f>
        <v>61</v>
      </c>
      <c r="G4" s="2" t="s">
        <v>16</v>
      </c>
      <c r="H4" s="16">
        <v>70</v>
      </c>
      <c r="I4" s="17">
        <v>45</v>
      </c>
      <c r="J4" s="18">
        <f>AVERAGE(H4,I4)</f>
        <v>57.5</v>
      </c>
    </row>
    <row r="5" spans="1:12" x14ac:dyDescent="0.2">
      <c r="A5" s="48"/>
      <c r="B5" s="49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">
      <c r="A6" s="50" t="s">
        <v>21</v>
      </c>
      <c r="B6" s="26">
        <v>-300000</v>
      </c>
      <c r="C6" s="12">
        <v>-292000</v>
      </c>
      <c r="D6" s="25" t="s">
        <v>22</v>
      </c>
      <c r="E6" s="26">
        <v>-48000</v>
      </c>
      <c r="F6" s="12">
        <v>-52000</v>
      </c>
      <c r="G6" s="25" t="s">
        <v>21</v>
      </c>
      <c r="H6" s="26">
        <v>-375000</v>
      </c>
      <c r="I6" s="12">
        <v>-326000</v>
      </c>
      <c r="J6" s="25" t="s">
        <v>22</v>
      </c>
      <c r="K6" s="26">
        <v>-60000</v>
      </c>
      <c r="L6" s="12">
        <v>-64000</v>
      </c>
    </row>
    <row r="7" spans="1:12" x14ac:dyDescent="0.2">
      <c r="A7" s="50" t="s">
        <v>59</v>
      </c>
      <c r="B7" s="26"/>
      <c r="D7" s="25" t="s">
        <v>25</v>
      </c>
      <c r="E7" s="26">
        <v>0</v>
      </c>
      <c r="G7" s="25" t="s">
        <v>59</v>
      </c>
      <c r="H7" s="26"/>
      <c r="J7" s="25" t="s">
        <v>25</v>
      </c>
      <c r="K7" s="26">
        <v>0</v>
      </c>
    </row>
    <row r="8" spans="1:12" x14ac:dyDescent="0.2">
      <c r="A8" s="50" t="s">
        <v>63</v>
      </c>
      <c r="B8" s="26">
        <v>0</v>
      </c>
      <c r="D8" s="25" t="s">
        <v>27</v>
      </c>
      <c r="E8" s="26"/>
      <c r="G8" s="25" t="s">
        <v>63</v>
      </c>
      <c r="H8" s="26">
        <v>0</v>
      </c>
      <c r="J8" s="25" t="s">
        <v>27</v>
      </c>
      <c r="K8" s="26"/>
    </row>
    <row r="9" spans="1:12" x14ac:dyDescent="0.2">
      <c r="A9" s="50" t="s">
        <v>69</v>
      </c>
      <c r="B9" s="26">
        <v>0</v>
      </c>
      <c r="D9" s="25" t="s">
        <v>29</v>
      </c>
      <c r="E9" s="26">
        <v>0</v>
      </c>
      <c r="G9" s="43" t="s">
        <v>69</v>
      </c>
      <c r="H9" s="26">
        <v>0</v>
      </c>
      <c r="J9" s="25" t="s">
        <v>29</v>
      </c>
      <c r="K9" s="26">
        <v>0</v>
      </c>
    </row>
    <row r="10" spans="1:12" x14ac:dyDescent="0.2">
      <c r="A10" s="50" t="s">
        <v>64</v>
      </c>
      <c r="B10" s="26">
        <v>0</v>
      </c>
      <c r="C10" s="14"/>
      <c r="D10" s="25" t="s">
        <v>52</v>
      </c>
      <c r="E10" s="26">
        <v>-17281</v>
      </c>
      <c r="G10" s="25" t="s">
        <v>64</v>
      </c>
      <c r="H10" s="26">
        <v>0</v>
      </c>
      <c r="I10" s="14"/>
      <c r="J10" s="25" t="s">
        <v>52</v>
      </c>
      <c r="K10" s="26">
        <v>-7281</v>
      </c>
    </row>
    <row r="11" spans="1:12" x14ac:dyDescent="0.2">
      <c r="A11" s="50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">
      <c r="A12" s="50" t="s">
        <v>29</v>
      </c>
      <c r="B12" s="26">
        <v>-250000</v>
      </c>
      <c r="D12" s="43" t="s">
        <v>56</v>
      </c>
      <c r="E12" s="41">
        <v>-15633</v>
      </c>
      <c r="G12" s="25" t="s">
        <v>29</v>
      </c>
      <c r="H12" s="26">
        <v>-250000</v>
      </c>
      <c r="J12" s="43" t="s">
        <v>56</v>
      </c>
      <c r="K12" s="41">
        <v>-15633</v>
      </c>
    </row>
    <row r="13" spans="1:12" ht="13.5" thickBot="1" x14ac:dyDescent="0.25">
      <c r="A13" s="50" t="s">
        <v>62</v>
      </c>
      <c r="B13" s="26">
        <v>0</v>
      </c>
      <c r="D13" s="25" t="s">
        <v>32</v>
      </c>
      <c r="E13" s="26">
        <v>-2000</v>
      </c>
      <c r="G13" s="25" t="s">
        <v>62</v>
      </c>
      <c r="H13" s="26">
        <v>0</v>
      </c>
      <c r="J13" s="25" t="s">
        <v>32</v>
      </c>
      <c r="K13" s="26">
        <v>0</v>
      </c>
    </row>
    <row r="14" spans="1:12" ht="13.5" thickBot="1" x14ac:dyDescent="0.25">
      <c r="A14" s="50" t="s">
        <v>19</v>
      </c>
      <c r="B14" s="51">
        <v>0</v>
      </c>
      <c r="C14" s="2" t="s">
        <v>17</v>
      </c>
      <c r="D14" s="33" t="s">
        <v>33</v>
      </c>
      <c r="E14" s="34">
        <f>SUM(E6:E13)</f>
        <v>-102914</v>
      </c>
      <c r="G14" s="25" t="s">
        <v>19</v>
      </c>
      <c r="H14" s="26">
        <v>0</v>
      </c>
      <c r="I14" s="2" t="s">
        <v>17</v>
      </c>
      <c r="J14" s="33" t="s">
        <v>33</v>
      </c>
      <c r="K14" s="34">
        <f>SUM(K6:K13)</f>
        <v>-102914</v>
      </c>
    </row>
    <row r="15" spans="1:12" x14ac:dyDescent="0.2">
      <c r="A15" s="50" t="s">
        <v>27</v>
      </c>
      <c r="B15" s="51"/>
      <c r="C15" s="14"/>
      <c r="D15" s="25"/>
      <c r="E15" s="26"/>
      <c r="F15" s="14">
        <f>SUM(E29,E14)</f>
        <v>0.39999999999417923</v>
      </c>
      <c r="G15" s="25" t="s">
        <v>27</v>
      </c>
      <c r="H15" s="26"/>
      <c r="I15" s="14"/>
      <c r="J15" s="25"/>
      <c r="K15" s="26"/>
      <c r="L15" s="14">
        <f>SUM(K29,K14)</f>
        <v>0.39999999999417923</v>
      </c>
    </row>
    <row r="16" spans="1:12" x14ac:dyDescent="0.2">
      <c r="A16" s="50" t="s">
        <v>32</v>
      </c>
      <c r="B16" s="51">
        <v>-40000</v>
      </c>
      <c r="C16" s="14"/>
      <c r="D16" s="25" t="s">
        <v>38</v>
      </c>
      <c r="E16" s="26">
        <v>39111</v>
      </c>
      <c r="G16" s="25" t="s">
        <v>32</v>
      </c>
      <c r="H16" s="41">
        <v>-40000</v>
      </c>
      <c r="I16" s="14"/>
      <c r="J16" s="25" t="s">
        <v>38</v>
      </c>
      <c r="K16" s="26">
        <v>39111</v>
      </c>
    </row>
    <row r="17" spans="1:11" x14ac:dyDescent="0.2">
      <c r="A17" s="50" t="s">
        <v>34</v>
      </c>
      <c r="B17" s="51">
        <v>0</v>
      </c>
      <c r="C17" s="14"/>
      <c r="D17" s="25" t="s">
        <v>39</v>
      </c>
      <c r="E17" s="26">
        <v>10000</v>
      </c>
      <c r="G17" s="25" t="s">
        <v>34</v>
      </c>
      <c r="H17" s="26">
        <v>0</v>
      </c>
      <c r="I17" s="14"/>
      <c r="J17" s="25" t="s">
        <v>39</v>
      </c>
      <c r="K17" s="26">
        <v>10000</v>
      </c>
    </row>
    <row r="18" spans="1:11" x14ac:dyDescent="0.2">
      <c r="A18" s="50" t="s">
        <v>30</v>
      </c>
      <c r="B18" s="51">
        <v>0</v>
      </c>
      <c r="C18" s="2" t="s">
        <v>17</v>
      </c>
      <c r="D18" s="25" t="s">
        <v>40</v>
      </c>
      <c r="E18" s="26">
        <v>0</v>
      </c>
      <c r="F18" s="14" t="s">
        <v>17</v>
      </c>
      <c r="G18" s="25" t="s">
        <v>30</v>
      </c>
      <c r="H18" s="26">
        <v>0</v>
      </c>
      <c r="I18" s="2" t="s">
        <v>17</v>
      </c>
      <c r="J18" s="25" t="s">
        <v>40</v>
      </c>
      <c r="K18" s="26">
        <v>0</v>
      </c>
    </row>
    <row r="19" spans="1:11" x14ac:dyDescent="0.2">
      <c r="A19" s="50" t="s">
        <v>50</v>
      </c>
      <c r="B19" s="51">
        <v>0</v>
      </c>
      <c r="C19" s="42"/>
      <c r="D19" s="25" t="s">
        <v>41</v>
      </c>
      <c r="E19" s="26">
        <v>21803.4</v>
      </c>
      <c r="G19" s="25" t="s">
        <v>50</v>
      </c>
      <c r="H19" s="26">
        <v>0</v>
      </c>
      <c r="I19" s="42"/>
      <c r="J19" s="25" t="s">
        <v>41</v>
      </c>
      <c r="K19" s="26">
        <v>21803.4</v>
      </c>
    </row>
    <row r="20" spans="1:11" x14ac:dyDescent="0.2">
      <c r="A20" s="50" t="s">
        <v>51</v>
      </c>
      <c r="B20" s="51">
        <v>0</v>
      </c>
      <c r="C20" s="14"/>
      <c r="D20" s="25" t="s">
        <v>46</v>
      </c>
      <c r="E20" s="26">
        <v>0</v>
      </c>
      <c r="G20" s="25" t="s">
        <v>51</v>
      </c>
      <c r="H20" s="26">
        <v>0</v>
      </c>
      <c r="I20" s="14"/>
      <c r="J20" s="25" t="s">
        <v>46</v>
      </c>
      <c r="K20" s="26">
        <v>0</v>
      </c>
    </row>
    <row r="21" spans="1:11" x14ac:dyDescent="0.2">
      <c r="A21" s="50" t="s">
        <v>35</v>
      </c>
      <c r="B21" s="51">
        <v>0</v>
      </c>
      <c r="C21" s="14"/>
      <c r="D21" s="25" t="s">
        <v>60</v>
      </c>
      <c r="E21" s="26">
        <v>5000</v>
      </c>
      <c r="G21" s="25" t="s">
        <v>35</v>
      </c>
      <c r="H21" s="26">
        <v>0</v>
      </c>
      <c r="I21" s="14"/>
      <c r="J21" s="25" t="s">
        <v>60</v>
      </c>
      <c r="K21" s="26">
        <v>5000</v>
      </c>
    </row>
    <row r="22" spans="1:11" x14ac:dyDescent="0.2">
      <c r="A22" s="50" t="s">
        <v>29</v>
      </c>
      <c r="B22" s="51">
        <v>0</v>
      </c>
      <c r="C22" s="14"/>
      <c r="D22" s="25" t="s">
        <v>70</v>
      </c>
      <c r="E22" s="26">
        <v>7000</v>
      </c>
      <c r="G22" s="25" t="s">
        <v>29</v>
      </c>
      <c r="H22" s="26">
        <v>0</v>
      </c>
      <c r="I22" s="14"/>
      <c r="J22" s="25" t="s">
        <v>70</v>
      </c>
      <c r="K22" s="41">
        <v>7000</v>
      </c>
    </row>
    <row r="23" spans="1:11" x14ac:dyDescent="0.2">
      <c r="A23" s="50" t="s">
        <v>68</v>
      </c>
      <c r="B23" s="51">
        <v>0</v>
      </c>
      <c r="C23" s="14" t="s">
        <v>17</v>
      </c>
      <c r="D23" s="25" t="s">
        <v>61</v>
      </c>
      <c r="E23" s="41">
        <v>0</v>
      </c>
      <c r="G23" s="25" t="s">
        <v>68</v>
      </c>
      <c r="H23" s="41">
        <v>0</v>
      </c>
      <c r="I23" s="14" t="s">
        <v>17</v>
      </c>
      <c r="J23" s="25" t="s">
        <v>61</v>
      </c>
      <c r="K23" s="41">
        <v>0</v>
      </c>
    </row>
    <row r="24" spans="1:11" x14ac:dyDescent="0.2">
      <c r="A24" s="50" t="s">
        <v>36</v>
      </c>
      <c r="B24" s="51">
        <v>0</v>
      </c>
      <c r="D24" s="25" t="s">
        <v>32</v>
      </c>
      <c r="E24" s="41">
        <v>0</v>
      </c>
      <c r="G24" s="25" t="s">
        <v>36</v>
      </c>
      <c r="H24" s="26">
        <v>0</v>
      </c>
      <c r="J24" s="25" t="s">
        <v>32</v>
      </c>
      <c r="K24" s="41">
        <v>0</v>
      </c>
    </row>
    <row r="25" spans="1:11" x14ac:dyDescent="0.2">
      <c r="A25" s="50" t="s">
        <v>37</v>
      </c>
      <c r="B25" s="51">
        <v>0</v>
      </c>
      <c r="D25" s="25" t="s">
        <v>29</v>
      </c>
      <c r="E25" s="41">
        <v>0</v>
      </c>
      <c r="G25" s="25" t="s">
        <v>37</v>
      </c>
      <c r="H25" s="26">
        <v>0</v>
      </c>
      <c r="J25" s="25" t="s">
        <v>29</v>
      </c>
      <c r="K25" s="41">
        <v>0</v>
      </c>
    </row>
    <row r="26" spans="1:11" ht="13.5" thickBot="1" x14ac:dyDescent="0.25">
      <c r="A26" s="50" t="s">
        <v>67</v>
      </c>
      <c r="B26" s="51">
        <v>0</v>
      </c>
      <c r="D26" s="25" t="s">
        <v>56</v>
      </c>
      <c r="E26" s="41">
        <v>0</v>
      </c>
      <c r="G26" s="25" t="s">
        <v>67</v>
      </c>
      <c r="H26" s="26">
        <v>0</v>
      </c>
      <c r="J26" s="25" t="s">
        <v>56</v>
      </c>
      <c r="K26" s="41">
        <v>0</v>
      </c>
    </row>
    <row r="27" spans="1:11" ht="13.5" thickBot="1" x14ac:dyDescent="0.25">
      <c r="A27" s="52" t="s">
        <v>33</v>
      </c>
      <c r="B27" s="34">
        <f>SUM(B6:B26)</f>
        <v>-590000</v>
      </c>
      <c r="C27" s="14">
        <f>SUM(B27,B56)</f>
        <v>0</v>
      </c>
      <c r="D27" s="25" t="s">
        <v>58</v>
      </c>
      <c r="E27" s="41">
        <v>20000</v>
      </c>
      <c r="G27" s="33" t="s">
        <v>33</v>
      </c>
      <c r="H27" s="34">
        <f>SUM(H6:H26)</f>
        <v>-665000</v>
      </c>
      <c r="I27" s="14">
        <f>SUM(H27,H56)</f>
        <v>0</v>
      </c>
      <c r="J27" s="25" t="s">
        <v>58</v>
      </c>
      <c r="K27" s="41">
        <v>20000</v>
      </c>
    </row>
    <row r="28" spans="1:11" ht="13.5" thickBot="1" x14ac:dyDescent="0.25">
      <c r="A28" s="50"/>
      <c r="B28" s="51"/>
      <c r="D28" s="25" t="s">
        <v>42</v>
      </c>
      <c r="E28" s="26">
        <v>0</v>
      </c>
      <c r="G28" s="25"/>
      <c r="H28" s="26"/>
      <c r="J28" s="25" t="s">
        <v>42</v>
      </c>
      <c r="K28" s="26">
        <v>0</v>
      </c>
    </row>
    <row r="29" spans="1:11" ht="13.5" thickBot="1" x14ac:dyDescent="0.25">
      <c r="A29" s="50" t="s">
        <v>38</v>
      </c>
      <c r="B29" s="41">
        <v>187907</v>
      </c>
      <c r="C29" s="14" t="s">
        <v>17</v>
      </c>
      <c r="D29" s="33" t="s">
        <v>43</v>
      </c>
      <c r="E29" s="34">
        <f>SUM(E16:E28)</f>
        <v>102914.4</v>
      </c>
      <c r="G29" s="25" t="s">
        <v>38</v>
      </c>
      <c r="H29" s="26">
        <v>187907</v>
      </c>
      <c r="I29" s="14" t="s">
        <v>17</v>
      </c>
      <c r="J29" s="33" t="s">
        <v>43</v>
      </c>
      <c r="K29" s="34">
        <f>SUM(K16:K28)</f>
        <v>102914.4</v>
      </c>
    </row>
    <row r="30" spans="1:11" ht="13.5" thickBot="1" x14ac:dyDescent="0.25">
      <c r="A30" s="50" t="s">
        <v>39</v>
      </c>
      <c r="B30" s="41">
        <v>125000</v>
      </c>
      <c r="D30" s="30"/>
      <c r="E30" s="36"/>
      <c r="F30" s="14"/>
      <c r="G30" s="25" t="s">
        <v>39</v>
      </c>
      <c r="H30" s="26">
        <v>125000</v>
      </c>
      <c r="J30" s="30"/>
      <c r="K30" s="36"/>
    </row>
    <row r="31" spans="1:11" x14ac:dyDescent="0.2">
      <c r="A31" s="50" t="s">
        <v>40</v>
      </c>
      <c r="B31" s="41">
        <v>0</v>
      </c>
      <c r="C31" s="14" t="s">
        <v>17</v>
      </c>
      <c r="D31"/>
      <c r="E31"/>
      <c r="G31" s="25" t="s">
        <v>40</v>
      </c>
      <c r="H31" s="26">
        <v>0</v>
      </c>
      <c r="I31" s="14" t="s">
        <v>17</v>
      </c>
      <c r="J31"/>
      <c r="K31"/>
    </row>
    <row r="32" spans="1:11" x14ac:dyDescent="0.2">
      <c r="A32" s="50" t="s">
        <v>41</v>
      </c>
      <c r="B32" s="41">
        <f>294460*0.6</f>
        <v>176676</v>
      </c>
      <c r="E32" s="12"/>
      <c r="G32" s="25" t="s">
        <v>41</v>
      </c>
      <c r="H32" s="26">
        <f>294460*0.6</f>
        <v>176676</v>
      </c>
      <c r="I32" s="14"/>
      <c r="K32" s="12"/>
    </row>
    <row r="33" spans="1:11" x14ac:dyDescent="0.2">
      <c r="A33" s="50" t="s">
        <v>71</v>
      </c>
      <c r="B33" s="41">
        <v>-100000</v>
      </c>
      <c r="E33" s="12"/>
      <c r="G33" s="50" t="s">
        <v>71</v>
      </c>
      <c r="H33" s="26">
        <v>-100000</v>
      </c>
      <c r="K33" s="12"/>
    </row>
    <row r="34" spans="1:11" x14ac:dyDescent="0.2">
      <c r="A34" s="50" t="s">
        <v>66</v>
      </c>
      <c r="B34" s="41">
        <v>0</v>
      </c>
      <c r="G34" s="25" t="s">
        <v>66</v>
      </c>
      <c r="H34" s="26">
        <v>0</v>
      </c>
    </row>
    <row r="35" spans="1:11" x14ac:dyDescent="0.2">
      <c r="A35" s="50" t="s">
        <v>55</v>
      </c>
      <c r="B35" s="41">
        <v>0</v>
      </c>
      <c r="G35" s="25" t="s">
        <v>55</v>
      </c>
      <c r="H35" s="26">
        <v>0</v>
      </c>
    </row>
    <row r="36" spans="1:11" x14ac:dyDescent="0.2">
      <c r="A36" s="50" t="s">
        <v>57</v>
      </c>
      <c r="B36" s="41">
        <v>0</v>
      </c>
      <c r="G36" s="25" t="s">
        <v>57</v>
      </c>
      <c r="H36" s="41">
        <v>0</v>
      </c>
    </row>
    <row r="37" spans="1:11" x14ac:dyDescent="0.2">
      <c r="A37" s="50" t="s">
        <v>58</v>
      </c>
      <c r="B37" s="41">
        <v>40000</v>
      </c>
      <c r="G37" s="25" t="s">
        <v>58</v>
      </c>
      <c r="H37" s="26">
        <v>40000</v>
      </c>
    </row>
    <row r="38" spans="1:11" x14ac:dyDescent="0.2">
      <c r="A38" s="50" t="s">
        <v>19</v>
      </c>
      <c r="B38" s="26">
        <v>0</v>
      </c>
      <c r="G38" s="25" t="s">
        <v>19</v>
      </c>
      <c r="H38" s="26">
        <v>0</v>
      </c>
    </row>
    <row r="39" spans="1:11" x14ac:dyDescent="0.2">
      <c r="A39" s="50" t="s">
        <v>24</v>
      </c>
      <c r="B39" s="35"/>
      <c r="G39" s="25" t="s">
        <v>24</v>
      </c>
      <c r="H39" s="35"/>
    </row>
    <row r="40" spans="1:11" x14ac:dyDescent="0.2">
      <c r="A40" s="50" t="s">
        <v>65</v>
      </c>
      <c r="B40" s="26">
        <v>79006</v>
      </c>
      <c r="G40" s="25" t="s">
        <v>65</v>
      </c>
      <c r="H40" s="26">
        <v>79006</v>
      </c>
    </row>
    <row r="41" spans="1:11" x14ac:dyDescent="0.2">
      <c r="A41" s="50" t="s">
        <v>29</v>
      </c>
      <c r="B41" s="26"/>
      <c r="G41" s="25" t="s">
        <v>29</v>
      </c>
      <c r="H41" s="26"/>
    </row>
    <row r="42" spans="1:11" x14ac:dyDescent="0.2">
      <c r="A42" s="50" t="s">
        <v>44</v>
      </c>
      <c r="B42" s="26">
        <v>4000</v>
      </c>
      <c r="G42" s="25" t="s">
        <v>44</v>
      </c>
      <c r="H42" s="26">
        <v>4000</v>
      </c>
    </row>
    <row r="43" spans="1:11" x14ac:dyDescent="0.2">
      <c r="A43" s="50" t="s">
        <v>45</v>
      </c>
      <c r="B43" s="26">
        <v>1000</v>
      </c>
      <c r="G43" s="25" t="s">
        <v>45</v>
      </c>
      <c r="H43" s="26">
        <v>1000</v>
      </c>
    </row>
    <row r="44" spans="1:11" x14ac:dyDescent="0.2">
      <c r="A44" s="50" t="s">
        <v>46</v>
      </c>
      <c r="B44" s="26"/>
      <c r="E44" s="12"/>
      <c r="G44" s="25" t="s">
        <v>46</v>
      </c>
      <c r="H44" s="26"/>
      <c r="K44" s="12"/>
    </row>
    <row r="45" spans="1:11" x14ac:dyDescent="0.2">
      <c r="A45" s="50" t="s">
        <v>61</v>
      </c>
      <c r="B45" s="26">
        <v>0</v>
      </c>
      <c r="E45" s="12"/>
      <c r="G45" s="25" t="s">
        <v>61</v>
      </c>
      <c r="H45" s="26">
        <v>0</v>
      </c>
      <c r="K45" s="12"/>
    </row>
    <row r="46" spans="1:11" x14ac:dyDescent="0.2">
      <c r="A46" s="50" t="s">
        <v>32</v>
      </c>
      <c r="B46" s="26">
        <v>0</v>
      </c>
      <c r="E46" s="12"/>
      <c r="G46" s="25" t="s">
        <v>32</v>
      </c>
      <c r="H46" s="26">
        <v>0</v>
      </c>
      <c r="K46" s="12"/>
    </row>
    <row r="47" spans="1:11" x14ac:dyDescent="0.2">
      <c r="A47" s="50" t="s">
        <v>34</v>
      </c>
      <c r="B47" s="26">
        <v>0</v>
      </c>
      <c r="E47" s="12"/>
      <c r="G47" s="25" t="s">
        <v>34</v>
      </c>
      <c r="H47" s="26">
        <v>0</v>
      </c>
      <c r="K47" s="12"/>
    </row>
    <row r="48" spans="1:11" x14ac:dyDescent="0.2">
      <c r="A48" s="50" t="s">
        <v>47</v>
      </c>
      <c r="B48" s="26">
        <v>0</v>
      </c>
      <c r="E48" s="12"/>
      <c r="G48" s="25" t="s">
        <v>47</v>
      </c>
      <c r="H48" s="26">
        <v>0</v>
      </c>
      <c r="K48" s="12"/>
    </row>
    <row r="49" spans="1:11" x14ac:dyDescent="0.2">
      <c r="A49" s="50" t="s">
        <v>48</v>
      </c>
      <c r="B49" s="26">
        <v>0</v>
      </c>
      <c r="C49" s="14"/>
      <c r="G49" s="25" t="s">
        <v>48</v>
      </c>
      <c r="H49" s="26">
        <v>0</v>
      </c>
      <c r="I49" s="14"/>
    </row>
    <row r="50" spans="1:11" x14ac:dyDescent="0.2">
      <c r="A50" s="50" t="s">
        <v>49</v>
      </c>
      <c r="B50" s="26">
        <v>25000</v>
      </c>
      <c r="E50" s="12"/>
      <c r="G50" s="25" t="s">
        <v>49</v>
      </c>
      <c r="H50" s="26">
        <v>25000</v>
      </c>
      <c r="K50" s="12"/>
    </row>
    <row r="51" spans="1:11" x14ac:dyDescent="0.2">
      <c r="A51" s="50" t="s">
        <v>35</v>
      </c>
      <c r="B51" s="41">
        <v>0</v>
      </c>
      <c r="E51" s="12"/>
      <c r="G51" s="25" t="s">
        <v>35</v>
      </c>
      <c r="H51" s="26">
        <v>0</v>
      </c>
      <c r="K51" s="12"/>
    </row>
    <row r="52" spans="1:11" x14ac:dyDescent="0.2">
      <c r="A52" s="50" t="s">
        <v>51</v>
      </c>
      <c r="B52" s="41">
        <v>0</v>
      </c>
      <c r="C52"/>
      <c r="E52" s="12"/>
      <c r="G52" s="25" t="s">
        <v>51</v>
      </c>
      <c r="H52" s="26">
        <v>0</v>
      </c>
      <c r="I52"/>
      <c r="K52" s="12"/>
    </row>
    <row r="53" spans="1:11" x14ac:dyDescent="0.2">
      <c r="A53" s="50" t="s">
        <v>50</v>
      </c>
      <c r="B53" s="41">
        <v>0</v>
      </c>
      <c r="C53"/>
      <c r="E53" s="12"/>
      <c r="G53" s="25" t="s">
        <v>50</v>
      </c>
      <c r="H53" s="26">
        <v>0</v>
      </c>
      <c r="I53"/>
      <c r="K53" s="12"/>
    </row>
    <row r="54" spans="1:11" x14ac:dyDescent="0.2">
      <c r="A54" s="50" t="s">
        <v>29</v>
      </c>
      <c r="B54" s="41">
        <v>0</v>
      </c>
      <c r="E54" s="12"/>
      <c r="G54" s="25" t="s">
        <v>29</v>
      </c>
      <c r="H54" s="41">
        <v>0</v>
      </c>
      <c r="K54" s="12"/>
    </row>
    <row r="55" spans="1:11" ht="13.5" thickBot="1" x14ac:dyDescent="0.25">
      <c r="A55" s="50" t="s">
        <v>42</v>
      </c>
      <c r="B55" s="51">
        <v>51411</v>
      </c>
      <c r="E55" s="12"/>
      <c r="G55" s="25" t="s">
        <v>42</v>
      </c>
      <c r="H55" s="26">
        <v>126411</v>
      </c>
      <c r="K55" s="12"/>
    </row>
    <row r="56" spans="1:11" ht="13.5" thickBot="1" x14ac:dyDescent="0.25">
      <c r="A56" s="52" t="s">
        <v>43</v>
      </c>
      <c r="B56" s="34">
        <f>SUM(B29:B55)</f>
        <v>590000</v>
      </c>
      <c r="E56" s="12"/>
      <c r="G56" s="33" t="s">
        <v>43</v>
      </c>
      <c r="H56" s="34">
        <f>SUM(H29:H55)</f>
        <v>665000</v>
      </c>
      <c r="K56" s="12"/>
    </row>
    <row r="57" spans="1:11" ht="13.5" thickBot="1" x14ac:dyDescent="0.25">
      <c r="A57" s="53"/>
      <c r="B57" s="54"/>
      <c r="E57" s="12"/>
      <c r="G57" s="30"/>
      <c r="H57" s="37"/>
      <c r="K57" s="12"/>
    </row>
    <row r="58" spans="1:11" x14ac:dyDescent="0.2">
      <c r="E58" s="12"/>
      <c r="K58" s="12"/>
    </row>
    <row r="59" spans="1:11" x14ac:dyDescent="0.2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/>
  </sheetViews>
  <sheetFormatPr defaultRowHeight="12.75" x14ac:dyDescent="0.2"/>
  <cols>
    <col min="1" max="1" width="30.42578125" style="2" bestFit="1" customWidth="1"/>
    <col min="2" max="3" width="11" style="2" bestFit="1" customWidth="1"/>
    <col min="4" max="4" width="26.42578125" style="2" bestFit="1" customWidth="1"/>
    <col min="5" max="5" width="10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4.57031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42578125" style="2" bestFit="1" customWidth="1"/>
    <col min="22" max="22" width="3.140625" style="2" customWidth="1"/>
    <col min="23" max="23" width="11.85546875" style="2" bestFit="1" customWidth="1"/>
    <col min="24" max="25" width="10.28515625" style="2" customWidth="1"/>
    <col min="26" max="26" width="9.28515625" style="2" bestFit="1" customWidth="1"/>
    <col min="27" max="27" width="1.7109375" style="2" customWidth="1"/>
    <col min="28" max="30" width="9.28515625" style="2" bestFit="1" customWidth="1"/>
    <col min="31" max="31" width="9.140625" style="2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39" thickBot="1" x14ac:dyDescent="0.25">
      <c r="A1" s="2" t="s">
        <v>0</v>
      </c>
      <c r="B1" s="3">
        <f ca="1">TODAY()</f>
        <v>37006</v>
      </c>
      <c r="F1" s="4" t="s">
        <v>1</v>
      </c>
      <c r="G1" s="5">
        <v>320000</v>
      </c>
      <c r="H1" s="6"/>
      <c r="I1" s="7" t="s">
        <v>2</v>
      </c>
      <c r="J1" s="8">
        <v>62000</v>
      </c>
      <c r="O1" s="44" t="s">
        <v>3</v>
      </c>
      <c r="P1" s="11">
        <f ca="1">TODAY()+2</f>
        <v>37008</v>
      </c>
      <c r="Q1" s="12">
        <v>240000</v>
      </c>
      <c r="S1" s="44" t="s">
        <v>4</v>
      </c>
      <c r="T1" s="11">
        <f ca="1">TODAY()+2</f>
        <v>37008</v>
      </c>
      <c r="U1" s="12">
        <v>41000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5" thickBot="1" x14ac:dyDescent="0.25">
      <c r="A2" s="2" t="s">
        <v>12</v>
      </c>
      <c r="B2" s="3">
        <f ca="1">TODAY()+1</f>
        <v>37007</v>
      </c>
      <c r="D2" s="14"/>
      <c r="P2" s="11">
        <f ca="1">TODAY()+3</f>
        <v>37009</v>
      </c>
      <c r="Q2" s="12">
        <v>230000</v>
      </c>
      <c r="T2" s="11">
        <f ca="1">TODAY()+3</f>
        <v>37009</v>
      </c>
      <c r="U2" s="12">
        <v>39000</v>
      </c>
      <c r="W2" s="11">
        <v>36982</v>
      </c>
      <c r="X2" s="14">
        <v>0</v>
      </c>
      <c r="Y2" s="14">
        <v>0</v>
      </c>
      <c r="Z2" s="13">
        <v>288516.4192</v>
      </c>
      <c r="AA2" s="13"/>
      <c r="AB2" s="14">
        <v>0</v>
      </c>
      <c r="AC2" s="14">
        <v>0</v>
      </c>
      <c r="AD2" s="14">
        <v>0</v>
      </c>
      <c r="AF2" s="11">
        <v>36982</v>
      </c>
      <c r="AG2" s="12">
        <f>690000+116000</f>
        <v>806000</v>
      </c>
      <c r="AH2" s="12">
        <f>703233+115874</f>
        <v>819107</v>
      </c>
      <c r="AI2" s="14"/>
      <c r="AJ2" s="15">
        <f>+AF2</f>
        <v>36982</v>
      </c>
      <c r="AK2" s="12">
        <f>270206+30823</f>
        <v>301029</v>
      </c>
      <c r="AL2" s="12"/>
      <c r="AM2" s="12"/>
    </row>
    <row r="3" spans="1:39" ht="25.5" customHeight="1" thickBot="1" x14ac:dyDescent="0.25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37005</v>
      </c>
      <c r="L3" s="23">
        <f ca="1">TODAY()</f>
        <v>37006</v>
      </c>
      <c r="M3" s="24" t="s">
        <v>20</v>
      </c>
      <c r="P3" s="11">
        <f ca="1">TODAY()+4</f>
        <v>37010</v>
      </c>
      <c r="Q3" s="12">
        <v>235000</v>
      </c>
      <c r="T3" s="11">
        <f ca="1">TODAY()+4</f>
        <v>37010</v>
      </c>
      <c r="U3" s="12">
        <v>41000</v>
      </c>
      <c r="W3" s="11">
        <v>36983</v>
      </c>
      <c r="X3" s="14">
        <v>0</v>
      </c>
      <c r="Y3" s="14">
        <v>0</v>
      </c>
      <c r="Z3" s="13">
        <f>Z2-X3+Y3</f>
        <v>288516.4192</v>
      </c>
      <c r="AA3" s="13"/>
      <c r="AB3" s="14">
        <v>0</v>
      </c>
      <c r="AC3" s="14">
        <v>0</v>
      </c>
      <c r="AD3" s="14">
        <v>0</v>
      </c>
      <c r="AF3" s="11">
        <v>36983</v>
      </c>
      <c r="AG3" s="12">
        <f>600000+98000</f>
        <v>698000</v>
      </c>
      <c r="AH3" s="12">
        <f>664075+117288</f>
        <v>781363</v>
      </c>
      <c r="AI3" s="14"/>
      <c r="AJ3" s="15">
        <f t="shared" ref="AJ3:AJ15" si="0">+AF3</f>
        <v>36983</v>
      </c>
      <c r="AK3" s="12">
        <f>268781+30823</f>
        <v>299604</v>
      </c>
      <c r="AL3" s="12"/>
      <c r="AM3" s="12"/>
    </row>
    <row r="4" spans="1:39" ht="13.5" thickBot="1" x14ac:dyDescent="0.25">
      <c r="A4" s="2" t="s">
        <v>16</v>
      </c>
      <c r="B4" s="16">
        <v>75</v>
      </c>
      <c r="C4" s="17">
        <v>52</v>
      </c>
      <c r="D4" s="18">
        <f>AVERAGE(B4,C4)</f>
        <v>63.5</v>
      </c>
      <c r="J4" s="25" t="s">
        <v>23</v>
      </c>
      <c r="K4" s="38">
        <v>0</v>
      </c>
      <c r="L4" s="9">
        <v>0</v>
      </c>
      <c r="M4" s="28">
        <f>+L4-K4</f>
        <v>0</v>
      </c>
      <c r="Q4" s="12"/>
      <c r="R4" s="11" t="s">
        <v>17</v>
      </c>
      <c r="W4" s="11">
        <v>36984</v>
      </c>
      <c r="X4" s="14">
        <v>0</v>
      </c>
      <c r="Y4" s="14">
        <v>0</v>
      </c>
      <c r="Z4" s="13">
        <f t="shared" ref="Z4:Z31" si="1">Z3-X4+Y4</f>
        <v>288516.4192</v>
      </c>
      <c r="AA4" s="13"/>
      <c r="AB4" s="14">
        <v>0</v>
      </c>
      <c r="AC4" s="14">
        <v>0</v>
      </c>
      <c r="AD4" s="14">
        <v>0</v>
      </c>
      <c r="AF4" s="11">
        <v>36984</v>
      </c>
      <c r="AG4" s="12">
        <f>750000+124000</f>
        <v>874000</v>
      </c>
      <c r="AH4" s="12">
        <f>765681+127934</f>
        <v>893615</v>
      </c>
      <c r="AI4" s="14"/>
      <c r="AJ4" s="15">
        <f t="shared" si="0"/>
        <v>36984</v>
      </c>
      <c r="AK4" s="12">
        <f>278111+30413</f>
        <v>308524</v>
      </c>
      <c r="AL4" s="12"/>
      <c r="AM4" s="12"/>
    </row>
    <row r="5" spans="1:39" x14ac:dyDescent="0.2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9">
        <f>3000*2</f>
        <v>6000</v>
      </c>
      <c r="L5" s="9">
        <f>10100*2</f>
        <v>20200</v>
      </c>
      <c r="M5" s="29">
        <f>+L5-K5</f>
        <v>14200</v>
      </c>
      <c r="W5" s="11">
        <v>36985</v>
      </c>
      <c r="X5" s="14">
        <v>0</v>
      </c>
      <c r="Y5" s="14">
        <v>0</v>
      </c>
      <c r="Z5" s="13">
        <f t="shared" si="1"/>
        <v>288516.4192</v>
      </c>
      <c r="AA5" s="13"/>
      <c r="AB5" s="14">
        <v>0</v>
      </c>
      <c r="AC5" s="14">
        <v>0</v>
      </c>
      <c r="AD5" s="14">
        <v>0</v>
      </c>
      <c r="AF5" s="11">
        <v>36985</v>
      </c>
      <c r="AG5" s="12">
        <f>650000+110000</f>
        <v>760000</v>
      </c>
      <c r="AH5" s="12">
        <f>656525+105281</f>
        <v>761806</v>
      </c>
      <c r="AI5" s="14"/>
      <c r="AJ5" s="15">
        <f t="shared" si="0"/>
        <v>36985</v>
      </c>
      <c r="AK5" s="12">
        <f>259763+30642</f>
        <v>290405</v>
      </c>
      <c r="AL5" s="12"/>
      <c r="AM5" s="12"/>
    </row>
    <row r="6" spans="1:39" ht="13.5" thickBot="1" x14ac:dyDescent="0.25">
      <c r="A6" s="25" t="s">
        <v>21</v>
      </c>
      <c r="B6" s="26">
        <v>-265000</v>
      </c>
      <c r="C6" s="12">
        <v>-344000</v>
      </c>
      <c r="D6" s="25" t="s">
        <v>22</v>
      </c>
      <c r="E6" s="26">
        <v>-46000</v>
      </c>
      <c r="F6" s="12">
        <v>-56000</v>
      </c>
      <c r="H6" s="12"/>
      <c r="J6" s="30" t="s">
        <v>28</v>
      </c>
      <c r="K6" s="40">
        <f>(+K4-K5)/2</f>
        <v>-3000</v>
      </c>
      <c r="L6" s="31">
        <f>(+L4-L5)/2</f>
        <v>-10100</v>
      </c>
      <c r="M6" s="32">
        <f>+L6-K6</f>
        <v>-7100</v>
      </c>
      <c r="W6" s="11">
        <v>36986</v>
      </c>
      <c r="X6" s="14">
        <v>0</v>
      </c>
      <c r="Y6" s="14">
        <v>0</v>
      </c>
      <c r="Z6" s="13">
        <f t="shared" si="1"/>
        <v>288516.4192</v>
      </c>
      <c r="AA6" s="13"/>
      <c r="AB6" s="14">
        <v>0</v>
      </c>
      <c r="AC6" s="14">
        <v>0</v>
      </c>
      <c r="AD6" s="14">
        <v>0</v>
      </c>
      <c r="AF6" s="11">
        <v>36986</v>
      </c>
      <c r="AG6" s="12">
        <f>525000+85000</f>
        <v>610000</v>
      </c>
      <c r="AH6" s="12">
        <f>504491+86579</f>
        <v>591070</v>
      </c>
      <c r="AJ6" s="15">
        <f t="shared" si="0"/>
        <v>36986</v>
      </c>
      <c r="AK6" s="12">
        <f>271436+30642</f>
        <v>302078</v>
      </c>
      <c r="AL6" s="12"/>
      <c r="AM6" s="12"/>
    </row>
    <row r="7" spans="1:39" x14ac:dyDescent="0.2">
      <c r="A7" s="25" t="s">
        <v>59</v>
      </c>
      <c r="B7" s="26"/>
      <c r="D7" s="25" t="s">
        <v>25</v>
      </c>
      <c r="E7" s="26">
        <v>0</v>
      </c>
      <c r="G7" s="12"/>
      <c r="H7" s="12"/>
      <c r="W7" s="11">
        <v>36987</v>
      </c>
      <c r="X7" s="14">
        <v>0</v>
      </c>
      <c r="Y7" s="14">
        <v>0</v>
      </c>
      <c r="Z7" s="13">
        <f t="shared" si="1"/>
        <v>288516.4192</v>
      </c>
      <c r="AA7" s="13"/>
      <c r="AB7" s="14">
        <v>0</v>
      </c>
      <c r="AC7" s="14">
        <v>0</v>
      </c>
      <c r="AD7" s="14">
        <v>0</v>
      </c>
      <c r="AF7" s="11">
        <v>36987</v>
      </c>
      <c r="AG7" s="12">
        <f>435000+65000</f>
        <v>500000</v>
      </c>
      <c r="AH7" s="56">
        <f>503378+87168</f>
        <v>590546</v>
      </c>
      <c r="AJ7" s="15">
        <f t="shared" si="0"/>
        <v>36987</v>
      </c>
      <c r="AK7" s="12">
        <f>294460+36339</f>
        <v>330799</v>
      </c>
      <c r="AL7" s="12"/>
      <c r="AM7" s="12"/>
    </row>
    <row r="8" spans="1:39" x14ac:dyDescent="0.2">
      <c r="A8" s="25" t="s">
        <v>63</v>
      </c>
      <c r="B8" s="26">
        <v>0</v>
      </c>
      <c r="D8" s="25" t="s">
        <v>27</v>
      </c>
      <c r="E8" s="26"/>
      <c r="G8" s="12"/>
      <c r="H8" s="12"/>
      <c r="W8" s="11">
        <v>36988</v>
      </c>
      <c r="X8" s="14">
        <v>0</v>
      </c>
      <c r="Y8" s="14">
        <v>0</v>
      </c>
      <c r="Z8" s="13">
        <f t="shared" si="1"/>
        <v>288516.4192</v>
      </c>
      <c r="AA8" s="13"/>
      <c r="AB8" s="14">
        <v>0</v>
      </c>
      <c r="AC8" s="14">
        <v>0</v>
      </c>
      <c r="AD8" s="14">
        <v>0</v>
      </c>
      <c r="AF8" s="11">
        <v>36988</v>
      </c>
      <c r="AG8" s="12">
        <f>250000+45000</f>
        <v>295000</v>
      </c>
      <c r="AH8" s="12">
        <f>268407+46727</f>
        <v>315134</v>
      </c>
      <c r="AJ8" s="15">
        <f t="shared" si="0"/>
        <v>36988</v>
      </c>
      <c r="AK8" s="12">
        <f>183724+29532</f>
        <v>213256</v>
      </c>
      <c r="AL8" s="12"/>
      <c r="AM8" s="12"/>
    </row>
    <row r="9" spans="1:39" x14ac:dyDescent="0.2">
      <c r="A9" s="25" t="s">
        <v>69</v>
      </c>
      <c r="B9" s="26">
        <v>-100000</v>
      </c>
      <c r="D9" s="25" t="s">
        <v>29</v>
      </c>
      <c r="E9" s="26">
        <v>0</v>
      </c>
      <c r="G9" s="12"/>
      <c r="H9" s="12"/>
      <c r="L9" s="12"/>
      <c r="W9" s="11">
        <v>36989</v>
      </c>
      <c r="X9" s="14">
        <v>0</v>
      </c>
      <c r="Y9" s="14">
        <v>0</v>
      </c>
      <c r="Z9" s="13">
        <f t="shared" si="1"/>
        <v>288516.4192</v>
      </c>
      <c r="AA9" s="13"/>
      <c r="AB9" s="14">
        <v>0</v>
      </c>
      <c r="AC9" s="14">
        <v>0</v>
      </c>
      <c r="AD9" s="14">
        <v>0</v>
      </c>
      <c r="AF9" s="11">
        <v>36989</v>
      </c>
      <c r="AG9" s="12">
        <f>300000+48000</f>
        <v>348000</v>
      </c>
      <c r="AH9" s="12">
        <f>319276+57943</f>
        <v>377219</v>
      </c>
      <c r="AJ9" s="15">
        <f t="shared" si="0"/>
        <v>36989</v>
      </c>
      <c r="AK9" s="12">
        <f>183724+29532</f>
        <v>213256</v>
      </c>
      <c r="AL9" s="12"/>
      <c r="AM9" s="12"/>
    </row>
    <row r="10" spans="1:39" x14ac:dyDescent="0.2">
      <c r="A10" s="43" t="s">
        <v>64</v>
      </c>
      <c r="B10" s="26">
        <v>0</v>
      </c>
      <c r="C10" s="14" t="s">
        <v>17</v>
      </c>
      <c r="D10" s="25" t="s">
        <v>52</v>
      </c>
      <c r="E10" s="26">
        <v>-7783</v>
      </c>
      <c r="G10" s="12"/>
      <c r="H10" s="12"/>
      <c r="W10" s="11">
        <v>36990</v>
      </c>
      <c r="X10" s="14">
        <v>0</v>
      </c>
      <c r="Y10" s="14">
        <v>0</v>
      </c>
      <c r="Z10" s="13">
        <f t="shared" si="1"/>
        <v>288516.4192</v>
      </c>
      <c r="AA10" s="13"/>
      <c r="AB10" s="14">
        <v>0</v>
      </c>
      <c r="AC10" s="14">
        <v>0</v>
      </c>
      <c r="AD10" s="14">
        <v>0</v>
      </c>
      <c r="AF10" s="11">
        <v>36990</v>
      </c>
      <c r="AG10" s="12">
        <f>375000+60000</f>
        <v>435000</v>
      </c>
      <c r="AH10" s="12">
        <f>481086+85895</f>
        <v>566981</v>
      </c>
      <c r="AJ10" s="15">
        <f t="shared" si="0"/>
        <v>36990</v>
      </c>
      <c r="AK10" s="12">
        <f>183724+29532</f>
        <v>213256</v>
      </c>
      <c r="AL10" s="12"/>
      <c r="AM10" s="12"/>
    </row>
    <row r="11" spans="1:39" x14ac:dyDescent="0.2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36991</v>
      </c>
      <c r="X11" s="14">
        <v>0</v>
      </c>
      <c r="Y11" s="14">
        <v>0</v>
      </c>
      <c r="Z11" s="13">
        <f t="shared" si="1"/>
        <v>288516.4192</v>
      </c>
      <c r="AA11" s="13"/>
      <c r="AB11" s="14">
        <v>0</v>
      </c>
      <c r="AC11" s="14">
        <v>0</v>
      </c>
      <c r="AD11" s="14">
        <v>0</v>
      </c>
      <c r="AF11" s="11">
        <v>36991</v>
      </c>
      <c r="AG11" s="12">
        <f>340000+63000</f>
        <v>403000</v>
      </c>
      <c r="AH11" s="12">
        <f>527236+97112</f>
        <v>624348</v>
      </c>
      <c r="AJ11" s="15">
        <f t="shared" si="0"/>
        <v>36991</v>
      </c>
      <c r="AK11" s="12">
        <f>167656+29732</f>
        <v>197388</v>
      </c>
      <c r="AL11" s="12"/>
      <c r="AM11" s="12"/>
    </row>
    <row r="12" spans="1:39" x14ac:dyDescent="0.2">
      <c r="A12" s="25" t="s">
        <v>29</v>
      </c>
      <c r="B12" s="26">
        <f>-84994-85006-80000</f>
        <v>-250000</v>
      </c>
      <c r="C12" s="14"/>
      <c r="D12" s="43" t="s">
        <v>56</v>
      </c>
      <c r="E12" s="41">
        <v>-15633</v>
      </c>
      <c r="G12" s="12" t="s">
        <v>17</v>
      </c>
      <c r="H12" s="12"/>
      <c r="R12" s="13"/>
      <c r="W12" s="11">
        <v>36992</v>
      </c>
      <c r="X12" s="14">
        <v>0</v>
      </c>
      <c r="Y12" s="14">
        <v>0</v>
      </c>
      <c r="Z12" s="13">
        <f t="shared" si="1"/>
        <v>288516.4192</v>
      </c>
      <c r="AA12" s="13"/>
      <c r="AB12" s="14">
        <v>0</v>
      </c>
      <c r="AC12" s="14">
        <v>0</v>
      </c>
      <c r="AD12" s="14">
        <v>0</v>
      </c>
      <c r="AF12" s="11">
        <v>36992</v>
      </c>
      <c r="AG12" s="12">
        <f>305000+56000</f>
        <v>361000</v>
      </c>
      <c r="AH12" s="12">
        <f>340222+59524</f>
        <v>399746</v>
      </c>
      <c r="AJ12" s="15">
        <f t="shared" si="0"/>
        <v>36992</v>
      </c>
      <c r="AK12" s="12">
        <f>182176+28744</f>
        <v>210920</v>
      </c>
      <c r="AL12" s="12"/>
      <c r="AM12" s="12"/>
    </row>
    <row r="13" spans="1:39" ht="13.5" thickBot="1" x14ac:dyDescent="0.25">
      <c r="A13" s="25" t="s">
        <v>62</v>
      </c>
      <c r="B13" s="26">
        <v>0</v>
      </c>
      <c r="C13" s="1"/>
      <c r="D13" s="25" t="s">
        <v>32</v>
      </c>
      <c r="E13" s="26">
        <v>-20000</v>
      </c>
      <c r="G13" s="12"/>
      <c r="H13" s="12"/>
      <c r="R13" s="13"/>
      <c r="W13" s="11">
        <v>36993</v>
      </c>
      <c r="X13" s="14">
        <v>0</v>
      </c>
      <c r="Y13" s="14">
        <v>0</v>
      </c>
      <c r="Z13" s="13">
        <f t="shared" si="1"/>
        <v>288516.4192</v>
      </c>
      <c r="AA13" s="13"/>
      <c r="AB13" s="14">
        <v>0</v>
      </c>
      <c r="AC13" s="14">
        <v>0</v>
      </c>
      <c r="AD13" s="14">
        <v>0</v>
      </c>
      <c r="AF13" s="11">
        <v>36993</v>
      </c>
      <c r="AG13" s="12">
        <f>520000+94000</f>
        <v>614000</v>
      </c>
      <c r="AH13" s="12">
        <f>510963+94475</f>
        <v>605438</v>
      </c>
      <c r="AJ13" s="15">
        <f t="shared" si="0"/>
        <v>36993</v>
      </c>
      <c r="AK13" s="12">
        <f>289014+29254</f>
        <v>318268</v>
      </c>
      <c r="AL13" s="12"/>
      <c r="AM13" s="12"/>
    </row>
    <row r="14" spans="1:39" ht="13.5" thickBot="1" x14ac:dyDescent="0.25">
      <c r="A14" s="25" t="s">
        <v>19</v>
      </c>
      <c r="B14" s="26">
        <v>0</v>
      </c>
      <c r="C14" s="14"/>
      <c r="D14" s="33" t="s">
        <v>33</v>
      </c>
      <c r="E14" s="34">
        <f>SUM(E6:E13)</f>
        <v>-109416</v>
      </c>
      <c r="G14" s="12"/>
      <c r="H14" s="12"/>
      <c r="L14" s="12"/>
      <c r="R14" s="13"/>
      <c r="W14" s="11">
        <v>36994</v>
      </c>
      <c r="X14" s="14">
        <v>0</v>
      </c>
      <c r="Y14" s="14">
        <v>0</v>
      </c>
      <c r="Z14" s="13">
        <f t="shared" si="1"/>
        <v>288516.4192</v>
      </c>
      <c r="AA14" s="13"/>
      <c r="AB14" s="14">
        <v>0</v>
      </c>
      <c r="AC14" s="14">
        <v>0</v>
      </c>
      <c r="AD14" s="14">
        <v>0</v>
      </c>
      <c r="AF14" s="11">
        <v>36994</v>
      </c>
      <c r="AG14" s="12">
        <f>570000+98000</f>
        <v>668000</v>
      </c>
      <c r="AH14" s="12">
        <f>427822+77860</f>
        <v>505682</v>
      </c>
      <c r="AJ14" s="15">
        <f t="shared" si="0"/>
        <v>36994</v>
      </c>
      <c r="AK14" s="12">
        <f>285191+39703</f>
        <v>324894</v>
      </c>
      <c r="AL14" s="12"/>
      <c r="AM14" s="12"/>
    </row>
    <row r="15" spans="1:39" x14ac:dyDescent="0.2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36995</v>
      </c>
      <c r="X15" s="14">
        <v>0</v>
      </c>
      <c r="Y15" s="14">
        <v>0</v>
      </c>
      <c r="Z15" s="13">
        <f t="shared" si="1"/>
        <v>288516.4192</v>
      </c>
      <c r="AA15" s="13"/>
      <c r="AB15" s="14">
        <v>0</v>
      </c>
      <c r="AC15" s="14">
        <v>0</v>
      </c>
      <c r="AD15" s="14">
        <v>0</v>
      </c>
      <c r="AF15" s="11">
        <v>36995</v>
      </c>
      <c r="AG15" s="12">
        <f>500000+90000</f>
        <v>590000</v>
      </c>
      <c r="AH15" s="12">
        <f>361867+62274</f>
        <v>424141</v>
      </c>
      <c r="AJ15" s="15">
        <f t="shared" si="0"/>
        <v>36995</v>
      </c>
      <c r="AK15" s="12">
        <f>298261+29703</f>
        <v>327964</v>
      </c>
      <c r="AL15" s="12"/>
      <c r="AM15" s="12"/>
    </row>
    <row r="16" spans="1:39" x14ac:dyDescent="0.2">
      <c r="A16" s="25" t="s">
        <v>61</v>
      </c>
      <c r="B16" s="26">
        <v>-40000</v>
      </c>
      <c r="C16" s="14"/>
      <c r="D16" s="25" t="s">
        <v>38</v>
      </c>
      <c r="E16" s="26">
        <v>39111</v>
      </c>
      <c r="G16" s="12"/>
      <c r="H16" s="12"/>
      <c r="L16" s="12"/>
      <c r="R16" s="13"/>
      <c r="W16" s="11">
        <v>36996</v>
      </c>
      <c r="X16" s="14">
        <v>0</v>
      </c>
      <c r="Y16" s="14">
        <v>0</v>
      </c>
      <c r="Z16" s="13">
        <f t="shared" si="1"/>
        <v>288516.4192</v>
      </c>
      <c r="AA16" s="13"/>
      <c r="AB16" s="14">
        <v>0</v>
      </c>
      <c r="AC16" s="14">
        <v>0</v>
      </c>
      <c r="AD16" s="14">
        <v>0</v>
      </c>
      <c r="AF16" s="11">
        <v>36996</v>
      </c>
      <c r="AG16" s="12">
        <f>540000+94000</f>
        <v>634000</v>
      </c>
      <c r="AH16" s="12">
        <f>506766+87067</f>
        <v>593833</v>
      </c>
      <c r="AJ16" s="15">
        <f t="shared" ref="AJ16:AJ31" si="2">+AF16</f>
        <v>36996</v>
      </c>
      <c r="AK16" s="12">
        <f>298041+29703</f>
        <v>327744</v>
      </c>
      <c r="AL16" s="12"/>
      <c r="AM16" s="12"/>
    </row>
    <row r="17" spans="1:39" x14ac:dyDescent="0.2">
      <c r="A17" s="25" t="s">
        <v>32</v>
      </c>
      <c r="B17" s="41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36997</v>
      </c>
      <c r="X17" s="14">
        <f>1005*2</f>
        <v>2010</v>
      </c>
      <c r="Y17" s="14">
        <v>0</v>
      </c>
      <c r="Z17" s="13">
        <f t="shared" si="1"/>
        <v>286506.4192</v>
      </c>
      <c r="AA17" s="13"/>
      <c r="AB17" s="14">
        <v>0</v>
      </c>
      <c r="AC17" s="14">
        <v>0</v>
      </c>
      <c r="AD17" s="14">
        <v>0</v>
      </c>
      <c r="AF17" s="11">
        <v>36997</v>
      </c>
      <c r="AG17" s="12">
        <f>600000+110000</f>
        <v>710000</v>
      </c>
      <c r="AH17" s="12">
        <f>849945+154491</f>
        <v>1004436</v>
      </c>
      <c r="AJ17" s="15">
        <f t="shared" si="2"/>
        <v>36997</v>
      </c>
      <c r="AK17" s="12">
        <f>291586+29703</f>
        <v>321289</v>
      </c>
      <c r="AL17" s="12"/>
      <c r="AM17" s="12"/>
    </row>
    <row r="18" spans="1:39" x14ac:dyDescent="0.2">
      <c r="A18" s="25" t="s">
        <v>34</v>
      </c>
      <c r="B18" s="26">
        <v>-25391</v>
      </c>
      <c r="D18" s="25" t="s">
        <v>40</v>
      </c>
      <c r="E18" s="26">
        <v>0</v>
      </c>
      <c r="F18" s="14" t="s">
        <v>17</v>
      </c>
      <c r="G18" s="12"/>
      <c r="H18" s="12"/>
      <c r="L18" s="12"/>
      <c r="R18" s="13"/>
      <c r="W18" s="11">
        <v>36998</v>
      </c>
      <c r="X18" s="14">
        <v>0</v>
      </c>
      <c r="Y18" s="14">
        <v>0</v>
      </c>
      <c r="Z18" s="13">
        <f t="shared" si="1"/>
        <v>286506.4192</v>
      </c>
      <c r="AA18" s="13"/>
      <c r="AB18" s="14">
        <v>0</v>
      </c>
      <c r="AC18" s="14">
        <v>0</v>
      </c>
      <c r="AD18" s="14">
        <v>0</v>
      </c>
      <c r="AF18" s="11">
        <v>36998</v>
      </c>
      <c r="AG18" s="12">
        <f>630000+117000</f>
        <v>747000</v>
      </c>
      <c r="AH18" s="12">
        <f>803766+132535</f>
        <v>936301</v>
      </c>
      <c r="AJ18" s="15">
        <f t="shared" si="2"/>
        <v>36998</v>
      </c>
      <c r="AK18" s="12">
        <f>236011+29703</f>
        <v>265714</v>
      </c>
      <c r="AL18" s="12"/>
      <c r="AM18" s="12"/>
    </row>
    <row r="19" spans="1:39" x14ac:dyDescent="0.2">
      <c r="A19" s="25" t="s">
        <v>30</v>
      </c>
      <c r="B19" s="26">
        <v>0</v>
      </c>
      <c r="C19" s="42"/>
      <c r="D19" s="25" t="s">
        <v>41</v>
      </c>
      <c r="E19" s="26">
        <v>28305</v>
      </c>
      <c r="G19" s="12"/>
      <c r="H19" s="12"/>
      <c r="L19" s="12"/>
      <c r="R19" s="13"/>
      <c r="W19" s="11">
        <v>36999</v>
      </c>
      <c r="X19" s="14">
        <v>0</v>
      </c>
      <c r="Y19" s="14">
        <v>0</v>
      </c>
      <c r="Z19" s="13">
        <f t="shared" si="1"/>
        <v>286506.4192</v>
      </c>
      <c r="AA19" s="13"/>
      <c r="AB19" s="14">
        <v>0</v>
      </c>
      <c r="AC19" s="14">
        <v>0</v>
      </c>
      <c r="AD19" s="14">
        <v>0</v>
      </c>
      <c r="AF19" s="11">
        <v>36999</v>
      </c>
      <c r="AG19" s="12">
        <f>630000+115000</f>
        <v>745000</v>
      </c>
      <c r="AH19" s="12">
        <f>604222+101616</f>
        <v>705838</v>
      </c>
      <c r="AJ19" s="15">
        <f t="shared" si="2"/>
        <v>36999</v>
      </c>
      <c r="AK19" s="12">
        <f>243044+29503</f>
        <v>272547</v>
      </c>
      <c r="AL19" s="12"/>
      <c r="AM19" s="12"/>
    </row>
    <row r="20" spans="1:39" x14ac:dyDescent="0.2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37000</v>
      </c>
      <c r="X20" s="14">
        <f>2840*2</f>
        <v>5680</v>
      </c>
      <c r="Y20" s="14">
        <v>0</v>
      </c>
      <c r="Z20" s="13">
        <f t="shared" si="1"/>
        <v>280826.4192</v>
      </c>
      <c r="AA20" s="13"/>
      <c r="AB20" s="14">
        <v>0</v>
      </c>
      <c r="AC20" s="14">
        <v>0</v>
      </c>
      <c r="AD20" s="14">
        <v>0</v>
      </c>
      <c r="AF20" s="11">
        <v>37000</v>
      </c>
      <c r="AG20" s="12">
        <f>430000+74000</f>
        <v>504000</v>
      </c>
      <c r="AH20" s="12">
        <f>366721+57986</f>
        <v>424707</v>
      </c>
      <c r="AJ20" s="15">
        <f t="shared" si="2"/>
        <v>37000</v>
      </c>
      <c r="AK20" s="12">
        <f>241966+29203</f>
        <v>271169</v>
      </c>
      <c r="AL20" s="12"/>
      <c r="AM20" s="12"/>
    </row>
    <row r="21" spans="1:39" x14ac:dyDescent="0.2">
      <c r="A21" s="25" t="s">
        <v>51</v>
      </c>
      <c r="B21" s="26">
        <v>0</v>
      </c>
      <c r="C21" s="14"/>
      <c r="D21" s="25" t="s">
        <v>60</v>
      </c>
      <c r="E21" s="26">
        <v>5000</v>
      </c>
      <c r="G21" s="12"/>
      <c r="H21" s="12"/>
      <c r="R21" s="13"/>
      <c r="W21" s="11">
        <v>37001</v>
      </c>
      <c r="X21" s="14">
        <f>2000*2</f>
        <v>4000</v>
      </c>
      <c r="Y21" s="14">
        <v>0</v>
      </c>
      <c r="Z21" s="13">
        <f t="shared" si="1"/>
        <v>276826.4192</v>
      </c>
      <c r="AA21" s="13"/>
      <c r="AB21" s="14">
        <v>0</v>
      </c>
      <c r="AC21" s="14">
        <v>0</v>
      </c>
      <c r="AD21" s="14">
        <v>0</v>
      </c>
      <c r="AF21" s="11">
        <v>37001</v>
      </c>
      <c r="AG21" s="12">
        <f>270000+42000</f>
        <v>312000</v>
      </c>
      <c r="AH21" s="12">
        <f>253698+41974</f>
        <v>295672</v>
      </c>
      <c r="AJ21" s="15">
        <f t="shared" si="2"/>
        <v>37001</v>
      </c>
      <c r="AK21" s="12">
        <f>240603+32948</f>
        <v>273551</v>
      </c>
      <c r="AL21" s="12"/>
      <c r="AM21" s="12"/>
    </row>
    <row r="22" spans="1:39" x14ac:dyDescent="0.2">
      <c r="A22" s="25" t="s">
        <v>35</v>
      </c>
      <c r="B22" s="26">
        <v>0</v>
      </c>
      <c r="D22" s="25" t="s">
        <v>70</v>
      </c>
      <c r="E22" s="26">
        <v>7000</v>
      </c>
      <c r="G22" s="12"/>
      <c r="H22" s="12"/>
      <c r="R22" s="13"/>
      <c r="W22" s="11">
        <v>37002</v>
      </c>
      <c r="X22" s="14">
        <f>4542*2</f>
        <v>9084</v>
      </c>
      <c r="Y22" s="14">
        <v>0</v>
      </c>
      <c r="Z22" s="13">
        <f t="shared" si="1"/>
        <v>267742.4192</v>
      </c>
      <c r="AA22" s="13"/>
      <c r="AB22" s="14">
        <v>0</v>
      </c>
      <c r="AC22" s="14">
        <v>0</v>
      </c>
      <c r="AD22" s="14">
        <v>0</v>
      </c>
      <c r="AF22" s="11">
        <v>37002</v>
      </c>
      <c r="AG22" s="12">
        <f>240000+36000</f>
        <v>276000</v>
      </c>
      <c r="AH22" s="12">
        <f>255864+42224</f>
        <v>298088</v>
      </c>
      <c r="AJ22" s="15">
        <f t="shared" si="2"/>
        <v>37002</v>
      </c>
      <c r="AK22" s="12">
        <f>240603+32878</f>
        <v>273481</v>
      </c>
      <c r="AL22" s="12"/>
      <c r="AM22" s="12"/>
    </row>
    <row r="23" spans="1:39" x14ac:dyDescent="0.2">
      <c r="A23" s="25" t="s">
        <v>29</v>
      </c>
      <c r="B23" s="41">
        <v>0</v>
      </c>
      <c r="C23" s="14" t="s">
        <v>17</v>
      </c>
      <c r="D23" s="25" t="s">
        <v>61</v>
      </c>
      <c r="E23" s="41">
        <v>0</v>
      </c>
      <c r="F23" s="14"/>
      <c r="G23" s="12"/>
      <c r="H23" s="12"/>
      <c r="L23" s="2">
        <v>0.32</v>
      </c>
      <c r="R23" s="13"/>
      <c r="W23" s="11">
        <v>37003</v>
      </c>
      <c r="X23" s="14">
        <f>10094*2</f>
        <v>20188</v>
      </c>
      <c r="Y23" s="14">
        <v>0</v>
      </c>
      <c r="Z23" s="13">
        <f t="shared" si="1"/>
        <v>247554.4192</v>
      </c>
      <c r="AA23" s="13"/>
      <c r="AB23" s="14">
        <v>0</v>
      </c>
      <c r="AC23" s="14">
        <v>0</v>
      </c>
      <c r="AD23" s="14">
        <v>0</v>
      </c>
      <c r="AF23" s="11">
        <v>37003</v>
      </c>
      <c r="AG23" s="12">
        <f>330000+58000</f>
        <v>388000</v>
      </c>
      <c r="AH23" s="12">
        <f>249190+52777</f>
        <v>301967</v>
      </c>
      <c r="AJ23" s="15">
        <f t="shared" si="2"/>
        <v>37003</v>
      </c>
      <c r="AK23" s="12">
        <f>240603+32878</f>
        <v>273481</v>
      </c>
      <c r="AL23" s="12"/>
      <c r="AM23" s="12"/>
    </row>
    <row r="24" spans="1:39" x14ac:dyDescent="0.2">
      <c r="A24" s="25" t="s">
        <v>68</v>
      </c>
      <c r="B24" s="41">
        <v>0</v>
      </c>
      <c r="D24" s="25" t="s">
        <v>32</v>
      </c>
      <c r="E24" s="41">
        <v>0</v>
      </c>
      <c r="G24" s="12"/>
      <c r="H24" s="12"/>
      <c r="R24" s="13"/>
      <c r="W24" s="11">
        <v>37004</v>
      </c>
      <c r="X24" s="14">
        <f>3000*2</f>
        <v>6000</v>
      </c>
      <c r="Y24" s="14">
        <v>0</v>
      </c>
      <c r="Z24" s="13">
        <f t="shared" si="1"/>
        <v>241554.4192</v>
      </c>
      <c r="AA24" s="13"/>
      <c r="AB24" s="14">
        <v>0</v>
      </c>
      <c r="AC24" s="14">
        <v>0</v>
      </c>
      <c r="AD24" s="14">
        <v>0</v>
      </c>
      <c r="AF24" s="11">
        <v>37004</v>
      </c>
      <c r="AG24" s="12">
        <f>360000+63000</f>
        <v>423000</v>
      </c>
      <c r="AH24" s="12">
        <f>356754+67022</f>
        <v>423776</v>
      </c>
      <c r="AJ24" s="15">
        <f t="shared" si="2"/>
        <v>37004</v>
      </c>
      <c r="AK24" s="12">
        <f>240603+32878</f>
        <v>273481</v>
      </c>
      <c r="AL24" s="12"/>
      <c r="AM24" s="12"/>
    </row>
    <row r="25" spans="1:39" x14ac:dyDescent="0.2">
      <c r="A25" s="25" t="s">
        <v>36</v>
      </c>
      <c r="B25" s="26">
        <v>0</v>
      </c>
      <c r="D25" s="25" t="s">
        <v>29</v>
      </c>
      <c r="E25" s="41">
        <v>0</v>
      </c>
      <c r="G25" s="12"/>
      <c r="H25" s="12"/>
      <c r="R25" s="13"/>
      <c r="W25" s="11">
        <v>37005</v>
      </c>
      <c r="X25" s="14">
        <f>10100*2</f>
        <v>20200</v>
      </c>
      <c r="Y25" s="14">
        <v>0</v>
      </c>
      <c r="Z25" s="13">
        <f t="shared" si="1"/>
        <v>221354.4192</v>
      </c>
      <c r="AA25" s="13"/>
      <c r="AB25" s="14">
        <v>0</v>
      </c>
      <c r="AC25" s="14">
        <v>0</v>
      </c>
      <c r="AD25" s="14">
        <v>0</v>
      </c>
      <c r="AF25" s="11">
        <v>37005</v>
      </c>
      <c r="AG25" s="12">
        <f>400000+76000</f>
        <v>476000</v>
      </c>
      <c r="AH25" s="12"/>
      <c r="AJ25" s="15">
        <f t="shared" si="2"/>
        <v>37005</v>
      </c>
      <c r="AK25" s="12"/>
      <c r="AL25" s="12"/>
      <c r="AM25" s="12"/>
    </row>
    <row r="26" spans="1:39" x14ac:dyDescent="0.2">
      <c r="A26" s="25" t="s">
        <v>37</v>
      </c>
      <c r="B26" s="26">
        <v>0</v>
      </c>
      <c r="D26" s="25" t="s">
        <v>56</v>
      </c>
      <c r="E26" s="41">
        <v>0</v>
      </c>
      <c r="G26" s="12"/>
      <c r="H26" s="12"/>
      <c r="R26" s="13"/>
      <c r="W26" s="11">
        <v>37006</v>
      </c>
      <c r="X26" s="14">
        <v>0</v>
      </c>
      <c r="Y26" s="14">
        <v>0</v>
      </c>
      <c r="Z26" s="13">
        <f t="shared" si="1"/>
        <v>221354.4192</v>
      </c>
      <c r="AA26" s="13"/>
      <c r="AB26" s="14">
        <v>0</v>
      </c>
      <c r="AC26" s="14">
        <v>0</v>
      </c>
      <c r="AD26" s="14">
        <v>0</v>
      </c>
      <c r="AF26" s="11">
        <v>37006</v>
      </c>
      <c r="AG26" s="12">
        <f>370000+72000</f>
        <v>442000</v>
      </c>
      <c r="AH26" s="12"/>
      <c r="AJ26" s="15">
        <f t="shared" si="2"/>
        <v>37006</v>
      </c>
      <c r="AK26" s="12"/>
      <c r="AL26" s="12"/>
      <c r="AM26" s="12"/>
    </row>
    <row r="27" spans="1:39" ht="13.5" thickBot="1" x14ac:dyDescent="0.25">
      <c r="A27" s="25" t="s">
        <v>67</v>
      </c>
      <c r="B27" s="26">
        <v>0</v>
      </c>
      <c r="C27" s="14"/>
      <c r="D27" s="25" t="s">
        <v>58</v>
      </c>
      <c r="E27" s="41">
        <v>20000</v>
      </c>
      <c r="G27" s="12"/>
      <c r="H27" s="12"/>
      <c r="R27" s="13"/>
      <c r="W27" s="11">
        <v>37007</v>
      </c>
      <c r="X27" s="14">
        <v>0</v>
      </c>
      <c r="Y27" s="14">
        <v>0</v>
      </c>
      <c r="Z27" s="13">
        <f t="shared" si="1"/>
        <v>221354.4192</v>
      </c>
      <c r="AA27" s="13"/>
      <c r="AB27" s="14">
        <v>0</v>
      </c>
      <c r="AC27" s="14">
        <v>0</v>
      </c>
      <c r="AD27" s="14">
        <v>0</v>
      </c>
      <c r="AF27" s="11">
        <v>37007</v>
      </c>
      <c r="AG27" s="12">
        <f>265000+46000</f>
        <v>311000</v>
      </c>
      <c r="AH27" s="12"/>
      <c r="AJ27" s="15">
        <f t="shared" si="2"/>
        <v>37007</v>
      </c>
      <c r="AK27" s="12"/>
      <c r="AL27" s="12"/>
      <c r="AM27" s="12"/>
    </row>
    <row r="28" spans="1:39" ht="13.5" thickBot="1" x14ac:dyDescent="0.25">
      <c r="A28" s="33" t="s">
        <v>33</v>
      </c>
      <c r="B28" s="34">
        <f>SUM(B6:B27)</f>
        <v>-680391</v>
      </c>
      <c r="C28" s="14">
        <f>SUM(B28,B57)</f>
        <v>0</v>
      </c>
      <c r="D28" s="25" t="s">
        <v>42</v>
      </c>
      <c r="E28" s="26">
        <v>0</v>
      </c>
      <c r="G28" s="12"/>
      <c r="H28" s="12"/>
      <c r="R28" s="13"/>
      <c r="W28" s="11">
        <v>37008</v>
      </c>
      <c r="X28" s="14">
        <v>0</v>
      </c>
      <c r="Y28" s="14">
        <v>0</v>
      </c>
      <c r="Z28" s="13">
        <f t="shared" si="1"/>
        <v>221354.4192</v>
      </c>
      <c r="AA28" s="13"/>
      <c r="AB28" s="14">
        <v>0</v>
      </c>
      <c r="AC28" s="14">
        <v>0</v>
      </c>
      <c r="AD28" s="14">
        <v>0</v>
      </c>
      <c r="AF28" s="11">
        <v>37008</v>
      </c>
      <c r="AG28" s="12">
        <f>240000+41000</f>
        <v>281000</v>
      </c>
      <c r="AH28" s="12"/>
      <c r="AJ28" s="15">
        <f t="shared" si="2"/>
        <v>37008</v>
      </c>
      <c r="AK28" s="12"/>
      <c r="AL28" s="12"/>
      <c r="AM28" s="12"/>
    </row>
    <row r="29" spans="1:39" ht="13.5" thickBot="1" x14ac:dyDescent="0.25">
      <c r="A29" s="25"/>
      <c r="B29" s="41"/>
      <c r="C29" s="14"/>
      <c r="D29" s="33" t="s">
        <v>43</v>
      </c>
      <c r="E29" s="34">
        <f>SUM(E16:E28)</f>
        <v>109416</v>
      </c>
      <c r="G29" s="12"/>
      <c r="H29" s="12"/>
      <c r="R29" s="13"/>
      <c r="W29" s="11">
        <v>37009</v>
      </c>
      <c r="X29" s="14">
        <v>0</v>
      </c>
      <c r="Y29" s="14">
        <v>0</v>
      </c>
      <c r="Z29" s="13">
        <f t="shared" si="1"/>
        <v>221354.4192</v>
      </c>
      <c r="AA29" s="13"/>
      <c r="AB29" s="14">
        <v>0</v>
      </c>
      <c r="AC29" s="14">
        <v>0</v>
      </c>
      <c r="AD29" s="14">
        <v>0</v>
      </c>
      <c r="AF29" s="11">
        <v>37009</v>
      </c>
      <c r="AG29" s="12">
        <f>230000+39000</f>
        <v>269000</v>
      </c>
      <c r="AH29" s="12"/>
      <c r="AJ29" s="15">
        <f t="shared" si="2"/>
        <v>37009</v>
      </c>
      <c r="AK29" s="12"/>
      <c r="AL29" s="12"/>
      <c r="AM29" s="12"/>
    </row>
    <row r="30" spans="1:39" ht="13.5" thickBot="1" x14ac:dyDescent="0.25">
      <c r="A30" s="25" t="s">
        <v>38</v>
      </c>
      <c r="B30" s="41">
        <v>187907</v>
      </c>
      <c r="C30" s="14"/>
      <c r="D30" s="30"/>
      <c r="E30" s="36"/>
      <c r="F30" s="14"/>
      <c r="G30" s="12"/>
      <c r="H30" s="12"/>
      <c r="W30" s="11">
        <v>37010</v>
      </c>
      <c r="X30" s="14">
        <v>0</v>
      </c>
      <c r="Y30" s="14">
        <v>0</v>
      </c>
      <c r="Z30" s="13">
        <f t="shared" si="1"/>
        <v>221354.4192</v>
      </c>
      <c r="AA30" s="13"/>
      <c r="AB30" s="14">
        <v>0</v>
      </c>
      <c r="AC30" s="14">
        <v>0</v>
      </c>
      <c r="AD30" s="14">
        <v>0</v>
      </c>
      <c r="AF30" s="11">
        <v>37010</v>
      </c>
      <c r="AG30" s="12">
        <f>235000+41000</f>
        <v>276000</v>
      </c>
      <c r="AH30" s="12"/>
      <c r="AJ30" s="15">
        <f t="shared" si="2"/>
        <v>37010</v>
      </c>
      <c r="AK30" s="12"/>
      <c r="AL30" s="12"/>
      <c r="AM30" s="12"/>
    </row>
    <row r="31" spans="1:39" x14ac:dyDescent="0.2">
      <c r="A31" s="25" t="s">
        <v>39</v>
      </c>
      <c r="B31" s="41">
        <v>125000</v>
      </c>
      <c r="C31" s="14"/>
      <c r="E31" s="12"/>
      <c r="G31" s="12"/>
      <c r="H31" s="12"/>
      <c r="W31" s="11">
        <v>37011</v>
      </c>
      <c r="X31" s="14">
        <v>0</v>
      </c>
      <c r="Y31" s="14">
        <v>0</v>
      </c>
      <c r="Z31" s="13">
        <f t="shared" si="1"/>
        <v>221354.4192</v>
      </c>
      <c r="AA31" s="13"/>
      <c r="AB31" s="14">
        <v>0</v>
      </c>
      <c r="AC31" s="14">
        <v>0</v>
      </c>
      <c r="AD31" s="14">
        <v>0</v>
      </c>
      <c r="AF31" s="11">
        <v>37011</v>
      </c>
      <c r="AG31" s="12"/>
      <c r="AH31" s="58"/>
      <c r="AJ31" s="15">
        <f t="shared" si="2"/>
        <v>37011</v>
      </c>
      <c r="AK31" s="12"/>
      <c r="AL31" s="12"/>
      <c r="AM31" s="12"/>
    </row>
    <row r="32" spans="1:39" x14ac:dyDescent="0.2">
      <c r="A32" s="25" t="s">
        <v>40</v>
      </c>
      <c r="B32" s="41">
        <v>0</v>
      </c>
      <c r="E32" s="12"/>
      <c r="G32" s="12"/>
      <c r="H32" s="12"/>
      <c r="W32" s="11"/>
      <c r="X32" s="14"/>
      <c r="Y32" s="14"/>
      <c r="Z32" s="13"/>
      <c r="AA32" s="13"/>
      <c r="AB32" s="14"/>
      <c r="AC32" s="14"/>
      <c r="AD32" s="14"/>
      <c r="AF32" s="11"/>
      <c r="AG32" s="12"/>
      <c r="AH32" s="12"/>
      <c r="AJ32" s="15"/>
      <c r="AK32" s="12"/>
      <c r="AL32" s="12"/>
      <c r="AM32" s="12"/>
    </row>
    <row r="33" spans="1:39" x14ac:dyDescent="0.2">
      <c r="A33" s="25" t="s">
        <v>41</v>
      </c>
      <c r="B33" s="41">
        <v>227478</v>
      </c>
      <c r="D33" s="61"/>
      <c r="G33" s="12"/>
      <c r="H33" s="12"/>
      <c r="AF33" s="11"/>
      <c r="AG33" s="12"/>
      <c r="AJ33" s="15"/>
      <c r="AK33" s="12"/>
      <c r="AL33" s="12"/>
      <c r="AM33" s="12"/>
    </row>
    <row r="34" spans="1:39" x14ac:dyDescent="0.2">
      <c r="A34" s="25" t="s">
        <v>72</v>
      </c>
      <c r="B34" s="41">
        <v>0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">
      <c r="A35" s="25" t="s">
        <v>66</v>
      </c>
      <c r="B35" s="41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">
      <c r="A36" s="25" t="s">
        <v>73</v>
      </c>
      <c r="B36" s="41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">
      <c r="A37" s="25" t="s">
        <v>57</v>
      </c>
      <c r="B37" s="41">
        <v>0</v>
      </c>
      <c r="D37" s="60"/>
      <c r="G37" s="12"/>
      <c r="H37" s="12"/>
      <c r="W37" s="11"/>
      <c r="AL37" s="12"/>
      <c r="AM37" s="12"/>
    </row>
    <row r="38" spans="1:39" x14ac:dyDescent="0.2">
      <c r="A38" s="25" t="s">
        <v>58</v>
      </c>
      <c r="B38" s="41">
        <v>50000</v>
      </c>
      <c r="D38" s="59"/>
      <c r="E38" s="14"/>
      <c r="G38" s="12"/>
      <c r="H38" s="12"/>
      <c r="AL38" s="12"/>
      <c r="AM38" s="12"/>
    </row>
    <row r="39" spans="1:39" x14ac:dyDescent="0.2">
      <c r="A39" s="25" t="s">
        <v>19</v>
      </c>
      <c r="B39" s="41">
        <v>0</v>
      </c>
      <c r="G39" s="12"/>
      <c r="H39" s="12"/>
      <c r="AJ39" s="12"/>
      <c r="AK39" s="12"/>
      <c r="AL39" s="12"/>
      <c r="AM39" s="12"/>
    </row>
    <row r="40" spans="1:39" x14ac:dyDescent="0.2">
      <c r="A40" s="25" t="s">
        <v>24</v>
      </c>
      <c r="B40" s="57"/>
      <c r="G40" s="12"/>
      <c r="H40" s="12"/>
      <c r="AJ40" s="12"/>
      <c r="AK40" s="12"/>
      <c r="AL40" s="12"/>
      <c r="AM40" s="12"/>
    </row>
    <row r="41" spans="1:39" x14ac:dyDescent="0.2">
      <c r="A41" s="25" t="s">
        <v>65</v>
      </c>
      <c r="B41" s="41">
        <v>0</v>
      </c>
      <c r="G41" s="12"/>
      <c r="H41" s="12"/>
      <c r="AJ41" s="12"/>
      <c r="AK41" s="12"/>
      <c r="AL41" s="12"/>
      <c r="AM41" s="12"/>
    </row>
    <row r="42" spans="1:39" x14ac:dyDescent="0.2">
      <c r="A42" s="25" t="s">
        <v>29</v>
      </c>
      <c r="B42" s="41">
        <v>79006</v>
      </c>
      <c r="AJ42" s="12"/>
      <c r="AK42" s="12"/>
      <c r="AL42" s="12"/>
      <c r="AM42" s="12"/>
    </row>
    <row r="43" spans="1:39" x14ac:dyDescent="0.2">
      <c r="A43" s="25" t="s">
        <v>44</v>
      </c>
      <c r="B43" s="41">
        <v>10000</v>
      </c>
      <c r="E43" s="12"/>
      <c r="AJ43" s="12"/>
      <c r="AK43" s="12"/>
      <c r="AL43" s="12"/>
      <c r="AM43" s="12"/>
    </row>
    <row r="44" spans="1:39" x14ac:dyDescent="0.2">
      <c r="A44" s="25" t="s">
        <v>45</v>
      </c>
      <c r="B44" s="41">
        <v>1000</v>
      </c>
      <c r="C44" s="14"/>
      <c r="E44" s="12"/>
    </row>
    <row r="45" spans="1:39" x14ac:dyDescent="0.2">
      <c r="A45" s="25" t="s">
        <v>46</v>
      </c>
      <c r="B45" s="41"/>
      <c r="E45" s="12"/>
    </row>
    <row r="46" spans="1:39" x14ac:dyDescent="0.2">
      <c r="A46" s="25" t="s">
        <v>61</v>
      </c>
      <c r="B46" s="41">
        <v>0</v>
      </c>
      <c r="C46" s="14"/>
      <c r="E46" s="12"/>
    </row>
    <row r="47" spans="1:39" x14ac:dyDescent="0.2">
      <c r="A47" s="25" t="s">
        <v>32</v>
      </c>
      <c r="B47" s="41">
        <v>0</v>
      </c>
    </row>
    <row r="48" spans="1:39" x14ac:dyDescent="0.2">
      <c r="A48" s="25" t="s">
        <v>34</v>
      </c>
      <c r="B48" s="41">
        <v>0</v>
      </c>
      <c r="E48" s="12"/>
    </row>
    <row r="49" spans="1:5" x14ac:dyDescent="0.2">
      <c r="A49" s="25" t="s">
        <v>47</v>
      </c>
      <c r="B49" s="41">
        <v>0</v>
      </c>
      <c r="C49" s="14" t="s">
        <v>17</v>
      </c>
      <c r="E49" s="12"/>
    </row>
    <row r="50" spans="1:5" x14ac:dyDescent="0.2">
      <c r="A50" s="25" t="s">
        <v>48</v>
      </c>
      <c r="B50" s="41">
        <v>0</v>
      </c>
      <c r="E50" s="12"/>
    </row>
    <row r="51" spans="1:5" x14ac:dyDescent="0.2">
      <c r="A51" s="25" t="s">
        <v>49</v>
      </c>
      <c r="B51" s="41">
        <v>0</v>
      </c>
      <c r="E51" s="12"/>
    </row>
    <row r="52" spans="1:5" x14ac:dyDescent="0.2">
      <c r="A52" s="25" t="s">
        <v>35</v>
      </c>
      <c r="B52" s="41">
        <v>0</v>
      </c>
      <c r="C52" s="14"/>
      <c r="E52" s="12"/>
    </row>
    <row r="53" spans="1:5" x14ac:dyDescent="0.2">
      <c r="A53" s="25" t="s">
        <v>51</v>
      </c>
      <c r="B53" s="41">
        <v>0</v>
      </c>
      <c r="E53" s="12"/>
    </row>
    <row r="54" spans="1:5" x14ac:dyDescent="0.2">
      <c r="A54" s="25" t="s">
        <v>50</v>
      </c>
      <c r="B54" s="41">
        <v>0</v>
      </c>
      <c r="C54" s="14"/>
      <c r="E54" s="12"/>
    </row>
    <row r="55" spans="1:5" x14ac:dyDescent="0.2">
      <c r="A55" s="25" t="s">
        <v>29</v>
      </c>
      <c r="B55" s="41">
        <v>0</v>
      </c>
      <c r="C55" s="14"/>
      <c r="E55" s="12"/>
    </row>
    <row r="56" spans="1:5" ht="13.5" thickBot="1" x14ac:dyDescent="0.25">
      <c r="A56" s="25" t="s">
        <v>42</v>
      </c>
      <c r="B56" s="41">
        <v>0</v>
      </c>
      <c r="C56" s="14"/>
      <c r="E56" s="12"/>
    </row>
    <row r="57" spans="1:5" ht="13.5" thickBot="1" x14ac:dyDescent="0.25">
      <c r="A57" s="33" t="s">
        <v>43</v>
      </c>
      <c r="B57" s="34">
        <f>SUM(B30:B56)</f>
        <v>680391</v>
      </c>
      <c r="C57" s="14"/>
      <c r="E57" s="12"/>
    </row>
    <row r="58" spans="1:5" ht="13.5" thickBot="1" x14ac:dyDescent="0.25">
      <c r="A58" s="30"/>
      <c r="B58" s="37"/>
    </row>
    <row r="59" spans="1:5" x14ac:dyDescent="0.2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2000-11-30T23:59:26Z</cp:lastPrinted>
  <dcterms:created xsi:type="dcterms:W3CDTF">2000-09-26T13:26:15Z</dcterms:created>
  <dcterms:modified xsi:type="dcterms:W3CDTF">2023-09-10T17:19:50Z</dcterms:modified>
</cp:coreProperties>
</file>