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4C9758-3C5C-4064-93DD-B51AC8877F73}" xr6:coauthVersionLast="47" xr6:coauthVersionMax="47" xr10:uidLastSave="{00000000-0000-0000-0000-000000000000}"/>
  <bookViews>
    <workbookView xWindow="-120" yWindow="-120" windowWidth="38640" windowHeight="15720" activeTab="1"/>
  </bookViews>
  <sheets>
    <sheet name="WEEKEND" sheetId="11" r:id="rId1"/>
    <sheet name="DAILY" sheetId="9" r:id="rId2"/>
  </sheets>
  <externalReferences>
    <externalReference r:id="rId3"/>
  </externalReferences>
  <definedNames>
    <definedName name="_xlnm.Print_Area" localSheetId="1">DAILY!$A$1:$V$76</definedName>
    <definedName name="_xlnm.Print_Area" localSheetId="0">WEEKEND!$A$1:$L$54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X2" i="9"/>
  <c r="Y2" i="9"/>
  <c r="AH2" i="9"/>
  <c r="AJ2" i="9"/>
  <c r="AK2" i="9"/>
  <c r="K3" i="9"/>
  <c r="L3" i="9"/>
  <c r="P3" i="9"/>
  <c r="T3" i="9"/>
  <c r="X3" i="9"/>
  <c r="Y3" i="9"/>
  <c r="Z3" i="9"/>
  <c r="AH3" i="9"/>
  <c r="AJ3" i="9"/>
  <c r="AK3" i="9"/>
  <c r="D4" i="9"/>
  <c r="K4" i="9"/>
  <c r="M4" i="9"/>
  <c r="X4" i="9"/>
  <c r="Y4" i="9"/>
  <c r="Z4" i="9"/>
  <c r="AG4" i="9"/>
  <c r="AH4" i="9"/>
  <c r="AJ4" i="9"/>
  <c r="AK4" i="9"/>
  <c r="M5" i="9"/>
  <c r="X5" i="9"/>
  <c r="Y5" i="9"/>
  <c r="Z5" i="9"/>
  <c r="AG5" i="9"/>
  <c r="AH5" i="9"/>
  <c r="AJ5" i="9"/>
  <c r="AK5" i="9"/>
  <c r="K6" i="9"/>
  <c r="L6" i="9"/>
  <c r="M6" i="9"/>
  <c r="X6" i="9"/>
  <c r="Y6" i="9"/>
  <c r="Z6" i="9"/>
  <c r="AG6" i="9"/>
  <c r="AH6" i="9"/>
  <c r="AJ6" i="9"/>
  <c r="AK6" i="9"/>
  <c r="X7" i="9"/>
  <c r="Y7" i="9"/>
  <c r="Z7" i="9"/>
  <c r="AG7" i="9"/>
  <c r="AH7" i="9"/>
  <c r="AJ7" i="9"/>
  <c r="AK7" i="9"/>
  <c r="X8" i="9"/>
  <c r="Z8" i="9"/>
  <c r="AG8" i="9"/>
  <c r="AH8" i="9"/>
  <c r="AJ8" i="9"/>
  <c r="AK8" i="9"/>
  <c r="Y9" i="9"/>
  <c r="Z9" i="9"/>
  <c r="AG9" i="9"/>
  <c r="AH9" i="9"/>
  <c r="AJ9" i="9"/>
  <c r="AK9" i="9"/>
  <c r="X10" i="9"/>
  <c r="Z10" i="9"/>
  <c r="AG10" i="9"/>
  <c r="AJ10" i="9"/>
  <c r="Z11" i="9"/>
  <c r="AG11" i="9"/>
  <c r="AJ11" i="9"/>
  <c r="B12" i="9"/>
  <c r="Z12" i="9"/>
  <c r="AG12" i="9"/>
  <c r="AJ12" i="9"/>
  <c r="Z13" i="9"/>
  <c r="AG13" i="9"/>
  <c r="AJ13" i="9"/>
  <c r="E14" i="9"/>
  <c r="Z14" i="9"/>
  <c r="AG14" i="9"/>
  <c r="AJ14" i="9"/>
  <c r="F15" i="9"/>
  <c r="Z15" i="9"/>
  <c r="AG15" i="9"/>
  <c r="AJ15" i="9"/>
  <c r="Z16" i="9"/>
  <c r="AJ16" i="9"/>
  <c r="Z17" i="9"/>
  <c r="AJ17" i="9"/>
  <c r="Z18" i="9"/>
  <c r="AJ18" i="9"/>
  <c r="Z19" i="9"/>
  <c r="AJ19" i="9"/>
  <c r="Z20" i="9"/>
  <c r="AJ20" i="9"/>
  <c r="Z21" i="9"/>
  <c r="AJ21" i="9"/>
  <c r="Z22" i="9"/>
  <c r="AJ22" i="9"/>
  <c r="Z23" i="9"/>
  <c r="AJ23" i="9"/>
  <c r="Z24" i="9"/>
  <c r="AJ24" i="9"/>
  <c r="Z25" i="9"/>
  <c r="AJ25" i="9"/>
  <c r="Z26" i="9"/>
  <c r="AJ26" i="9"/>
  <c r="Z27" i="9"/>
  <c r="AJ27" i="9"/>
  <c r="B28" i="9"/>
  <c r="C28" i="9"/>
  <c r="Z28" i="9"/>
  <c r="AJ28" i="9"/>
  <c r="E29" i="9"/>
  <c r="Z29" i="9"/>
  <c r="AJ29" i="9"/>
  <c r="Z30" i="9"/>
  <c r="AJ30" i="9"/>
  <c r="Z31" i="9"/>
  <c r="AJ31" i="9"/>
  <c r="Z32" i="9"/>
  <c r="AJ32" i="9"/>
  <c r="B57" i="9"/>
  <c r="B1" i="11"/>
  <c r="H1" i="11"/>
  <c r="B2" i="11"/>
  <c r="H2" i="11"/>
  <c r="D4" i="11"/>
  <c r="J4" i="11"/>
  <c r="E14" i="11"/>
  <c r="K14" i="11"/>
  <c r="F15" i="11"/>
  <c r="L15" i="11"/>
  <c r="B27" i="11"/>
  <c r="C27" i="11"/>
  <c r="H27" i="11"/>
  <c r="I27" i="11"/>
  <c r="E29" i="11"/>
  <c r="K29" i="11"/>
  <c r="B32" i="11"/>
  <c r="H32" i="11"/>
  <c r="B56" i="11"/>
  <c r="H56" i="11"/>
</calcChain>
</file>

<file path=xl/sharedStrings.xml><?xml version="1.0" encoding="utf-8"?>
<sst xmlns="http://schemas.openxmlformats.org/spreadsheetml/2006/main" count="279" uniqueCount="76">
  <si>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</si>
  <si>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</si>
  <si>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</si>
  <si>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</si>
  <si>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</si>
  <si>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</si>
  <si>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</si>
  <si>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Wilton Burn</t>
  </si>
  <si>
    <t>Wilton OBA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</si>
  <si>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</si>
  <si>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</si>
  <si>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</si>
  <si>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</si>
  <si>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</si>
  <si>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</si>
  <si>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</si>
  <si>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</si>
  <si>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</si>
  <si>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Ketra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</si>
  <si>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</si>
  <si>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</si>
  <si>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</si>
  <si>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</si>
  <si>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</si>
  <si>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</si>
  <si>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</si>
  <si>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KN Nomination:</t>
  </si>
  <si>
    <t>INJECTIONS:</t>
  </si>
  <si>
    <t>PGL Balancing:</t>
  </si>
  <si>
    <t xml:space="preserve">     MANLOVE</t>
  </si>
  <si>
    <t xml:space="preserve">     NGPL</t>
  </si>
  <si>
    <t xml:space="preserve">     ANR </t>
  </si>
  <si>
    <t xml:space="preserve">     ANR (NO-NOTICE)</t>
  </si>
  <si>
    <t>TOTAL REQUIREMENTS</t>
  </si>
  <si>
    <t xml:space="preserve">     NGPL (NO-NOTICE)</t>
  </si>
  <si>
    <t xml:space="preserve">     PANHANDLE</t>
  </si>
  <si>
    <t xml:space="preserve">     FUEL</t>
  </si>
  <si>
    <t>LNG LIQUIFACTION</t>
  </si>
  <si>
    <t>ENA BASELOAD</t>
  </si>
  <si>
    <t>ENA SIQ</t>
  </si>
  <si>
    <t>ENA DIQ</t>
  </si>
  <si>
    <t>RIDER GAS</t>
  </si>
  <si>
    <t>IMBALANCES</t>
  </si>
  <si>
    <t>TOTAL SOURCES</t>
  </si>
  <si>
    <t>RFG</t>
  </si>
  <si>
    <t>LNG VAPORIZE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</si>
  <si>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</si>
  <si>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</si>
  <si>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</si>
  <si>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</si>
  <si>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</si>
  <si>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</si>
  <si>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</si>
  <si>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</si>
  <si>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>Wilton Injection</t>
  </si>
  <si>
    <t>TRUNKLINE QNT</t>
  </si>
  <si>
    <t xml:space="preserve">     NICOR BALANCING</t>
  </si>
  <si>
    <t>TRUNKLINE IMBALANCE</t>
  </si>
  <si>
    <t>CITYGATE PURCHASES</t>
  </si>
  <si>
    <t>OFF SYSTEM SALES:</t>
  </si>
  <si>
    <t xml:space="preserve">     NGPL DSS</t>
  </si>
  <si>
    <t xml:space="preserve">     ANR</t>
  </si>
  <si>
    <t xml:space="preserve">     ENOVATE</t>
  </si>
  <si>
    <t xml:space="preserve">    ENOVATE</t>
  </si>
  <si>
    <t xml:space="preserve">    MISC</t>
  </si>
  <si>
    <t xml:space="preserve">     MISC</t>
  </si>
  <si>
    <t>ENOVATE</t>
  </si>
  <si>
    <t>LINE PACK / IMBALANCE</t>
  </si>
  <si>
    <t xml:space="preserve">     ALLIANCE UNDER DELIVERY</t>
  </si>
  <si>
    <t xml:space="preserve">    ENA SELL BACK</t>
  </si>
  <si>
    <t xml:space="preserve">     NGPL FT - AMR</t>
  </si>
  <si>
    <t>ENA SELL-BACK</t>
  </si>
  <si>
    <t>ANR IMBALANCE</t>
  </si>
  <si>
    <t xml:space="preserve">     NGPL AM (DSS REFILL)</t>
  </si>
  <si>
    <t xml:space="preserve">     NGPL GS (DSS REFILL)</t>
  </si>
  <si>
    <t>SOUTH TX (REFILL)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</si>
</sst>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0" fontId="2" fillId="0" borderId="9" xfId="0" applyFont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0" xfId="0" quotePrefix="1" applyFont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0" fontId="4" fillId="0" borderId="5" xfId="0" applyFont="1" applyFill="1" applyBorder="1"/>
    <xf numFmtId="0" fontId="4" fillId="0" borderId="6" xfId="0" applyFont="1" applyFill="1" applyBorder="1"/>
    <xf numFmtId="0" fontId="4" fillId="0" borderId="8" xfId="0" applyFont="1" applyFill="1" applyBorder="1"/>
    <xf numFmtId="176" fontId="4" fillId="0" borderId="9" xfId="1" applyNumberFormat="1" applyFont="1" applyFill="1" applyBorder="1"/>
    <xf numFmtId="0" fontId="5" fillId="0" borderId="8" xfId="0" applyFont="1" applyFill="1" applyBorder="1"/>
    <xf numFmtId="0" fontId="4" fillId="0" borderId="11" xfId="0" applyFont="1" applyFill="1" applyBorder="1"/>
    <xf numFmtId="0" fontId="4" fillId="0" borderId="14" xfId="0" applyFont="1" applyFill="1" applyBorder="1"/>
    <xf numFmtId="0" fontId="2" fillId="2" borderId="1" xfId="0" applyFont="1" applyFill="1" applyBorder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6-4C98-8707-350E70F90918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6-4C98-8707-350E70F9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18559"/>
        <c:axId val="1"/>
      </c:lineChart>
      <c:catAx>
        <c:axId val="9759185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18559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7CB-49FB-AC46-9D69790EC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16655"/>
        <c:axId val="1"/>
      </c:lineChart>
      <c:catAx>
        <c:axId val="977116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16655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C6-40B1-B8A7-C7F5EA7D4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18975"/>
        <c:axId val="1"/>
      </c:lineChart>
      <c:catAx>
        <c:axId val="977118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1897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A8E-4A9D-8332-2708BFFFC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19903"/>
        <c:axId val="1"/>
      </c:lineChart>
      <c:catAx>
        <c:axId val="9771199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199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D-4F52-830E-98A5D3EB881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D-4F52-830E-98A5D3EB8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13407"/>
        <c:axId val="1"/>
      </c:lineChart>
      <c:catAx>
        <c:axId val="97711340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13407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6-48F8-A4D5-32598CF26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75535"/>
        <c:axId val="1"/>
      </c:lineChart>
      <c:dateAx>
        <c:axId val="97767553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7553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6-495E-B961-DAC2B6207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76927"/>
        <c:axId val="1"/>
      </c:lineChart>
      <c:catAx>
        <c:axId val="97767692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7692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86B-44E4-B422-0F654EE98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80639"/>
        <c:axId val="1"/>
      </c:lineChart>
      <c:catAx>
        <c:axId val="977680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80639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B7-4324-8CE5-9D5626A7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81567"/>
        <c:axId val="1"/>
      </c:lineChart>
      <c:catAx>
        <c:axId val="977681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815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EE7-4235-B032-EE1B8EF7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81103"/>
        <c:axId val="1"/>
      </c:lineChart>
      <c:catAx>
        <c:axId val="9776811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811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9-4DE8-8AEF-F9352F312FB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9-4DE8-8AEF-F9352F31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682031"/>
        <c:axId val="1"/>
      </c:lineChart>
      <c:catAx>
        <c:axId val="977682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68203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E-4068-B63F-9F3A98B8B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917631"/>
        <c:axId val="1"/>
      </c:lineChart>
      <c:dateAx>
        <c:axId val="975917631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91763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591-A4BC-1AB10D731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8527"/>
        <c:axId val="1"/>
      </c:lineChart>
      <c:dateAx>
        <c:axId val="97810852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852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1-4C26-9924-55E2A5078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2959"/>
        <c:axId val="1"/>
      </c:lineChart>
      <c:catAx>
        <c:axId val="978102959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2959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EB3-412E-9F65-3D56016E5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4351"/>
        <c:axId val="1"/>
      </c:lineChart>
      <c:catAx>
        <c:axId val="978104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435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03A-4790-9C53-37FD0FBBC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6207"/>
        <c:axId val="1"/>
      </c:lineChart>
      <c:catAx>
        <c:axId val="9781062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620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110-4E16-8407-6EE229120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5279"/>
        <c:axId val="1"/>
      </c:lineChart>
      <c:catAx>
        <c:axId val="9781052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52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20-4E3F-BE85-7E1162779D49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20-4E3F-BE85-7E1162779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102031"/>
        <c:axId val="1"/>
      </c:lineChart>
      <c:catAx>
        <c:axId val="978102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10203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2-4851-99B4-0D4D6517F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93247"/>
        <c:axId val="1"/>
      </c:lineChart>
      <c:dateAx>
        <c:axId val="978793247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9324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8-4B89-A710-E0F41C15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96031"/>
        <c:axId val="1"/>
      </c:lineChart>
      <c:catAx>
        <c:axId val="978796031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96031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F25-4CB5-B84B-DDE08FA2A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91391"/>
        <c:axId val="1"/>
      </c:lineChart>
      <c:catAx>
        <c:axId val="978791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9139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27F-4C8A-A653-2DAF64FC4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96959"/>
        <c:axId val="1"/>
      </c:lineChart>
      <c:catAx>
        <c:axId val="9787969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969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6-41C0-879F-8F8CC76F3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31375"/>
        <c:axId val="1"/>
      </c:lineChart>
      <c:catAx>
        <c:axId val="976531375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31375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BAD-4BAF-A1B0-4EBB57DCF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8789999"/>
        <c:axId val="1"/>
      </c:lineChart>
      <c:catAx>
        <c:axId val="978789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878999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092536467735378"/>
          <c:y val="1.404539011048171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8796356281903992E-2"/>
          <c:y val="8.1463262640793954E-2"/>
          <c:w val="0.9353614800543284"/>
          <c:h val="0.60114269672861742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250000</c:v>
                </c:pt>
                <c:pt idx="1">
                  <c:v>250000</c:v>
                </c:pt>
                <c:pt idx="2">
                  <c:v>268000</c:v>
                </c:pt>
                <c:pt idx="3">
                  <c:v>264000</c:v>
                </c:pt>
                <c:pt idx="4">
                  <c:v>262000</c:v>
                </c:pt>
                <c:pt idx="5">
                  <c:v>262000</c:v>
                </c:pt>
                <c:pt idx="6">
                  <c:v>282000</c:v>
                </c:pt>
                <c:pt idx="7">
                  <c:v>283700</c:v>
                </c:pt>
                <c:pt idx="8">
                  <c:v>278000</c:v>
                </c:pt>
                <c:pt idx="9">
                  <c:v>278000</c:v>
                </c:pt>
                <c:pt idx="10">
                  <c:v>252000</c:v>
                </c:pt>
                <c:pt idx="11">
                  <c:v>246000</c:v>
                </c:pt>
                <c:pt idx="12">
                  <c:v>252000</c:v>
                </c:pt>
                <c:pt idx="13">
                  <c:v>258000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3A-4F11-A823-658EED9A789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264954</c:v>
                </c:pt>
                <c:pt idx="1">
                  <c:v>273967</c:v>
                </c:pt>
                <c:pt idx="2">
                  <c:v>278797</c:v>
                </c:pt>
                <c:pt idx="3">
                  <c:v>316170</c:v>
                </c:pt>
                <c:pt idx="4">
                  <c:v>303968</c:v>
                </c:pt>
                <c:pt idx="5">
                  <c:v>275357</c:v>
                </c:pt>
                <c:pt idx="6">
                  <c:v>309413</c:v>
                </c:pt>
                <c:pt idx="7">
                  <c:v>282740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3A-4F11-A823-658EED9A7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30207"/>
        <c:axId val="1"/>
      </c:lineChart>
      <c:catAx>
        <c:axId val="979430207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050000"/>
          <c:min val="5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30207"/>
        <c:crosses val="autoZero"/>
        <c:crossBetween val="between"/>
        <c:majorUnit val="100000"/>
        <c:minorUnit val="10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18009865949171"/>
          <c:y val="0.86238695278357735"/>
          <c:w val="5.2323803723969345E-2"/>
          <c:h val="0.1292175890164317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8958292753754703"/>
          <c:y val="1.59241085599664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5074037434712"/>
          <c:y val="9.2359829647805453E-2"/>
          <c:w val="0.82057821351412463"/>
          <c:h val="0.58282237329477227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DAILY!$X$2:$X$32</c:f>
              <c:numCache>
                <c:formatCode>_(* #,##0_);_(* \(#,##0\);_(* "-"??_);_(@_)</c:formatCode>
                <c:ptCount val="31"/>
                <c:pt idx="0">
                  <c:v>66800</c:v>
                </c:pt>
                <c:pt idx="1">
                  <c:v>74000</c:v>
                </c:pt>
                <c:pt idx="2">
                  <c:v>22200</c:v>
                </c:pt>
                <c:pt idx="3">
                  <c:v>17000</c:v>
                </c:pt>
                <c:pt idx="4">
                  <c:v>11400</c:v>
                </c:pt>
                <c:pt idx="5">
                  <c:v>24800</c:v>
                </c:pt>
                <c:pt idx="6">
                  <c:v>23640</c:v>
                </c:pt>
                <c:pt idx="7">
                  <c:v>0</c:v>
                </c:pt>
                <c:pt idx="8">
                  <c:v>41600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9-4FC4-B1DB-0073FA7C5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25103"/>
        <c:axId val="1"/>
      </c:lineChart>
      <c:dateAx>
        <c:axId val="979425103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25103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677409403444778"/>
          <c:y val="0.93633758332602768"/>
          <c:w val="0.18558871744898894"/>
          <c:h val="5.414196910388595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515504509586278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1864509758545068E-2"/>
          <c:y val="0.10057780555495467"/>
          <c:w val="0.94696341791863903"/>
          <c:h val="0.663813516662700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199681</c:v>
                </c:pt>
                <c:pt idx="1">
                  <c:v>194490</c:v>
                </c:pt>
                <c:pt idx="2">
                  <c:v>194490</c:v>
                </c:pt>
                <c:pt idx="3">
                  <c:v>198035</c:v>
                </c:pt>
                <c:pt idx="4">
                  <c:v>201435</c:v>
                </c:pt>
                <c:pt idx="5">
                  <c:v>201435</c:v>
                </c:pt>
                <c:pt idx="6">
                  <c:v>201435</c:v>
                </c:pt>
                <c:pt idx="7">
                  <c:v>198400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B6-4348-BBB1-3040DAE0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26031"/>
        <c:axId val="1"/>
      </c:lineChart>
      <c:catAx>
        <c:axId val="979426031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00000"/>
          <c:min val="1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26031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227018676127151"/>
          <c:y val="0.93106311428015176"/>
          <c:w val="4.3043791723574504E-2"/>
          <c:h val="6.034668333297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044521775775759"/>
          <c:y val="3.21554388891614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35112139718662"/>
          <c:y val="0.1157595800009813"/>
          <c:w val="0.85799810926575659"/>
          <c:h val="0.588444531671655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DAILY!$Z$2:$Z$32</c:f>
              <c:numCache>
                <c:formatCode>0</c:formatCode>
                <c:ptCount val="31"/>
                <c:pt idx="0">
                  <c:v>252500.4192</c:v>
                </c:pt>
                <c:pt idx="1">
                  <c:v>203500.4192</c:v>
                </c:pt>
                <c:pt idx="2">
                  <c:v>216300.4192</c:v>
                </c:pt>
                <c:pt idx="3">
                  <c:v>222944.4192</c:v>
                </c:pt>
                <c:pt idx="4">
                  <c:v>235188.4192</c:v>
                </c:pt>
                <c:pt idx="5">
                  <c:v>230388.4192</c:v>
                </c:pt>
                <c:pt idx="6">
                  <c:v>206748.4192</c:v>
                </c:pt>
                <c:pt idx="7">
                  <c:v>227948.4192</c:v>
                </c:pt>
                <c:pt idx="8">
                  <c:v>186348.4192</c:v>
                </c:pt>
                <c:pt idx="9">
                  <c:v>186348.4192</c:v>
                </c:pt>
                <c:pt idx="10">
                  <c:v>186348.4192</c:v>
                </c:pt>
                <c:pt idx="11">
                  <c:v>186348.4192</c:v>
                </c:pt>
                <c:pt idx="12">
                  <c:v>186348.4192</c:v>
                </c:pt>
                <c:pt idx="13">
                  <c:v>186348.4192</c:v>
                </c:pt>
                <c:pt idx="14">
                  <c:v>186348.4192</c:v>
                </c:pt>
                <c:pt idx="15">
                  <c:v>186348.4192</c:v>
                </c:pt>
                <c:pt idx="16">
                  <c:v>186348.4192</c:v>
                </c:pt>
                <c:pt idx="17">
                  <c:v>186348.4192</c:v>
                </c:pt>
                <c:pt idx="18">
                  <c:v>186348.4192</c:v>
                </c:pt>
                <c:pt idx="19">
                  <c:v>186348.4192</c:v>
                </c:pt>
                <c:pt idx="20">
                  <c:v>186348.4192</c:v>
                </c:pt>
                <c:pt idx="21">
                  <c:v>186348.4192</c:v>
                </c:pt>
                <c:pt idx="22">
                  <c:v>186348.4192</c:v>
                </c:pt>
                <c:pt idx="23">
                  <c:v>186348.4192</c:v>
                </c:pt>
                <c:pt idx="24">
                  <c:v>186348.4192</c:v>
                </c:pt>
                <c:pt idx="25">
                  <c:v>186348.4192</c:v>
                </c:pt>
                <c:pt idx="26">
                  <c:v>186348.4192</c:v>
                </c:pt>
                <c:pt idx="27">
                  <c:v>186348.4192</c:v>
                </c:pt>
                <c:pt idx="28">
                  <c:v>186348.4192</c:v>
                </c:pt>
                <c:pt idx="29">
                  <c:v>186348.4192</c:v>
                </c:pt>
                <c:pt idx="30">
                  <c:v>186348.4192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95-4FAA-8464-A44F2F810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23711"/>
        <c:axId val="1"/>
      </c:lineChart>
      <c:catAx>
        <c:axId val="9794237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2371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31575987232808"/>
          <c:y val="0.93250772778568269"/>
          <c:w val="0.12319229609390087"/>
          <c:h val="5.787979000049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layout>
        <c:manualLayout>
          <c:xMode val="edge"/>
          <c:yMode val="edge"/>
          <c:x val="0.40215373369963081"/>
          <c:y val="1.58735295137782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56621708240985"/>
          <c:y val="9.2066471179913623E-2"/>
          <c:w val="0.85323872016879854"/>
          <c:h val="0.61906765103735029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DAILY!$AB$2:$AB$32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52D-4063-BC8F-263881B6F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29279"/>
        <c:axId val="1"/>
      </c:lineChart>
      <c:catAx>
        <c:axId val="97942927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2927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93715974595111"/>
          <c:y val="0.93336353541015882"/>
          <c:w val="0.10244981048621774"/>
          <c:h val="5.71447062496015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layout>
        <c:manualLayout>
          <c:xMode val="edge"/>
          <c:yMode val="edge"/>
          <c:x val="0.45284481739858756"/>
          <c:y val="1.577340416389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69694738174345E-2"/>
          <c:y val="9.1485744150583637E-2"/>
          <c:w val="0.86504971528704544"/>
          <c:h val="0.61831744322463422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DAILY!$W$2:$W$32</c:f>
              <c:numCache>
                <c:formatCode>m/d/yyyy</c:formatCode>
                <c:ptCount val="31"/>
                <c:pt idx="0">
                  <c:v>37012</c:v>
                </c:pt>
                <c:pt idx="1">
                  <c:v>37013</c:v>
                </c:pt>
                <c:pt idx="2">
                  <c:v>37014</c:v>
                </c:pt>
                <c:pt idx="3">
                  <c:v>37015</c:v>
                </c:pt>
                <c:pt idx="4">
                  <c:v>37016</c:v>
                </c:pt>
                <c:pt idx="5">
                  <c:v>37017</c:v>
                </c:pt>
                <c:pt idx="6">
                  <c:v>37018</c:v>
                </c:pt>
                <c:pt idx="7">
                  <c:v>37019</c:v>
                </c:pt>
                <c:pt idx="8">
                  <c:v>37020</c:v>
                </c:pt>
                <c:pt idx="9">
                  <c:v>37021</c:v>
                </c:pt>
                <c:pt idx="10">
                  <c:v>37022</c:v>
                </c:pt>
                <c:pt idx="11">
                  <c:v>37023</c:v>
                </c:pt>
                <c:pt idx="12">
                  <c:v>37024</c:v>
                </c:pt>
                <c:pt idx="13">
                  <c:v>37025</c:v>
                </c:pt>
                <c:pt idx="14">
                  <c:v>37026</c:v>
                </c:pt>
                <c:pt idx="15">
                  <c:v>37027</c:v>
                </c:pt>
                <c:pt idx="16">
                  <c:v>37028</c:v>
                </c:pt>
                <c:pt idx="17">
                  <c:v>37029</c:v>
                </c:pt>
                <c:pt idx="18">
                  <c:v>37030</c:v>
                </c:pt>
                <c:pt idx="19">
                  <c:v>37031</c:v>
                </c:pt>
                <c:pt idx="20">
                  <c:v>37032</c:v>
                </c:pt>
                <c:pt idx="21">
                  <c:v>37033</c:v>
                </c:pt>
                <c:pt idx="22">
                  <c:v>37034</c:v>
                </c:pt>
                <c:pt idx="23">
                  <c:v>37035</c:v>
                </c:pt>
                <c:pt idx="24">
                  <c:v>37036</c:v>
                </c:pt>
                <c:pt idx="25">
                  <c:v>37037</c:v>
                </c:pt>
                <c:pt idx="26">
                  <c:v>37038</c:v>
                </c:pt>
                <c:pt idx="27">
                  <c:v>37039</c:v>
                </c:pt>
                <c:pt idx="28">
                  <c:v>37040</c:v>
                </c:pt>
                <c:pt idx="29">
                  <c:v>37041</c:v>
                </c:pt>
                <c:pt idx="30">
                  <c:v>37042</c:v>
                </c:pt>
              </c:numCache>
            </c:numRef>
          </c:cat>
          <c:val>
            <c:numRef>
              <c:f>DAILY!$AD$2:$AD$32</c:f>
              <c:numCache>
                <c:formatCode>_(* #,##0_);_(* \(#,##0\);_(* "-"??_);_(@_)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3D-4B23-8D4F-00201973F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9430671"/>
        <c:axId val="1"/>
      </c:lineChart>
      <c:catAx>
        <c:axId val="97943067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9430671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4981589938339"/>
          <c:y val="0.9369402073352876"/>
          <c:w val="0.13498258980150207"/>
          <c:h val="5.04748933244599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228-425C-A7F7-170033A76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33231"/>
        <c:axId val="1"/>
      </c:lineChart>
      <c:catAx>
        <c:axId val="976533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33231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9F2-4BA5-90F7-FAA09A0DB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32767"/>
        <c:axId val="1"/>
      </c:lineChart>
      <c:catAx>
        <c:axId val="9765327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32767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7B8-4767-A814-72EE5405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34159"/>
        <c:axId val="1"/>
      </c:lineChart>
      <c:catAx>
        <c:axId val="9765341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34159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2A-4F9D-AA27-3C518E7E185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A-4F9D-AA27-3C518E7E1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27663"/>
        <c:axId val="1"/>
      </c:lineChart>
      <c:catAx>
        <c:axId val="976527663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3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27663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C-4200-B55F-6AE81281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529055"/>
        <c:axId val="1"/>
      </c:lineChart>
      <c:dateAx>
        <c:axId val="976529055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6529055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37-4C7E-AB1E-0D80D8D5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118047"/>
        <c:axId val="1"/>
      </c:lineChart>
      <c:catAx>
        <c:axId val="977118047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118047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C8AF12D4-8F34-FC71-AE8E-357BA7E97A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4C65C30-7860-4BAC-7292-4DB4596B82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CF37526E-EBFB-79F0-127E-1F6F8B96B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35BB830C-672A-94BA-F80C-A7C88EC46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2F34961B-C1E8-BF6C-623B-93867F85D8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ABAD79BF-72C6-19D1-7168-AAA9EF49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AF1BCE5C-6518-940A-AA1E-AC8B1E896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AB4C0938-F7FA-FFB8-991E-CE86A2CDDA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D847F9A8-2651-2C51-163B-7D8A30394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4A8F5967-8DF8-3679-5891-6AB9D8E7C2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6CA846ED-0820-45EA-22E4-216B2EA36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A12464F2-E250-3DF6-FE87-CC0841A99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3437F1A6-FE9D-6154-34CC-975828E053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FE86494F-7C13-B42A-4A83-C9EE630740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39" name="Chart 15">
          <a:extLst>
            <a:ext uri="{FF2B5EF4-FFF2-40B4-BE49-F238E27FC236}">
              <a16:creationId xmlns:a16="http://schemas.microsoft.com/office/drawing/2014/main" id="{92CB2E02-DDDF-C4DE-90CC-5B1327DAC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B3BE6CF0-A2FD-D3D2-5E14-F498BDC8D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1" name="Chart 17">
          <a:extLst>
            <a:ext uri="{FF2B5EF4-FFF2-40B4-BE49-F238E27FC236}">
              <a16:creationId xmlns:a16="http://schemas.microsoft.com/office/drawing/2014/main" id="{3AC3CFC0-64C5-6E1E-8EF3-6513D6D33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7E8F5084-0376-F4BB-06D0-4928C6E88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0</xdr:col>
      <xdr:colOff>0</xdr:colOff>
      <xdr:row>58</xdr:row>
      <xdr:rowOff>95250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2B10A0EE-6550-E7E3-2B1E-47A423EED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F6779994-227B-0615-BEEE-79712CD90C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59</xdr:row>
      <xdr:rowOff>28575</xdr:rowOff>
    </xdr:from>
    <xdr:to>
      <xdr:col>0</xdr:col>
      <xdr:colOff>0</xdr:colOff>
      <xdr:row>76</xdr:row>
      <xdr:rowOff>47625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C8FCA9AE-0747-2043-A3CD-997094262D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26</xdr:row>
      <xdr:rowOff>219075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A904B7DF-FDA0-F480-B823-4A6994E75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38100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7FBB46EA-DB9C-D57E-719C-A27810E57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0</xdr:col>
      <xdr:colOff>0</xdr:colOff>
      <xdr:row>40</xdr:row>
      <xdr:rowOff>28575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A2918071-1913-6A33-BB7F-039BFFC2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0</xdr:col>
      <xdr:colOff>0</xdr:colOff>
      <xdr:row>60</xdr:row>
      <xdr:rowOff>95250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9FCD4928-9DBA-CF47-B1CE-6B24915DF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F0142194-B79B-3170-F97D-42948988C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61</xdr:row>
      <xdr:rowOff>28575</xdr:rowOff>
    </xdr:from>
    <xdr:to>
      <xdr:col>0</xdr:col>
      <xdr:colOff>0</xdr:colOff>
      <xdr:row>78</xdr:row>
      <xdr:rowOff>47625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13EDFF55-3D36-4C78-3437-C1D903C53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0</xdr:col>
      <xdr:colOff>0</xdr:colOff>
      <xdr:row>28</xdr:row>
      <xdr:rowOff>219075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4E1129A6-E062-35B3-55A1-DF1EB4FF1A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38100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70439218-2326-9BC2-F25F-C56DEDF2F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0</xdr:col>
      <xdr:colOff>0</xdr:colOff>
      <xdr:row>42</xdr:row>
      <xdr:rowOff>28575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2C6EEE9F-DA1F-0DCA-5426-70C678973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45</xdr:row>
      <xdr:rowOff>19050</xdr:rowOff>
    </xdr:from>
    <xdr:to>
      <xdr:col>21</xdr:col>
      <xdr:colOff>9525</xdr:colOff>
      <xdr:row>65</xdr:row>
      <xdr:rowOff>142875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1018C568-9275-568A-5C3F-6E4FC6865F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19050</xdr:colOff>
      <xdr:row>7</xdr:row>
      <xdr:rowOff>19050</xdr:rowOff>
    </xdr:from>
    <xdr:to>
      <xdr:col>13</xdr:col>
      <xdr:colOff>142875</xdr:colOff>
      <xdr:row>25</xdr:row>
      <xdr:rowOff>76200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15A657B2-240D-D895-443A-F5413F113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723900</xdr:colOff>
      <xdr:row>66</xdr:row>
      <xdr:rowOff>114300</xdr:rowOff>
    </xdr:from>
    <xdr:to>
      <xdr:col>20</xdr:col>
      <xdr:colOff>647700</xdr:colOff>
      <xdr:row>87</xdr:row>
      <xdr:rowOff>28575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B9346DE9-E740-6600-BD78-9FCDD6D94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276225</xdr:colOff>
      <xdr:row>7</xdr:row>
      <xdr:rowOff>19050</xdr:rowOff>
    </xdr:from>
    <xdr:to>
      <xdr:col>21</xdr:col>
      <xdr:colOff>9525</xdr:colOff>
      <xdr:row>25</xdr:row>
      <xdr:rowOff>47625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73556846-771F-2E98-A43B-E60B6AA36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104775</xdr:rowOff>
    </xdr:from>
    <xdr:to>
      <xdr:col>13</xdr:col>
      <xdr:colOff>142875</xdr:colOff>
      <xdr:row>43</xdr:row>
      <xdr:rowOff>152400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C6B190D2-652F-A570-44C0-4C6E7AEE30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304800</xdr:colOff>
      <xdr:row>25</xdr:row>
      <xdr:rowOff>76200</xdr:rowOff>
    </xdr:from>
    <xdr:to>
      <xdr:col>21</xdr:col>
      <xdr:colOff>28575</xdr:colOff>
      <xdr:row>43</xdr:row>
      <xdr:rowOff>142875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DA962991-147E-2935-DCDB-7B771696B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381000</xdr:colOff>
      <xdr:row>30</xdr:row>
      <xdr:rowOff>38100</xdr:rowOff>
    </xdr:from>
    <xdr:ext cx="104775" cy="212725"/>
    <xdr:sp macro="" textlink="">
      <xdr:nvSpPr>
        <xdr:cNvPr id="1061" name="Text Box 37">
          <a:extLst>
            <a:ext uri="{FF2B5EF4-FFF2-40B4-BE49-F238E27FC236}">
              <a16:creationId xmlns:a16="http://schemas.microsoft.com/office/drawing/2014/main" id="{25FADCEF-CE6D-A5A1-4DD0-F99C60686B84}"/>
            </a:ext>
          </a:extLst>
        </xdr:cNvPr>
        <xdr:cNvSpPr txBox="1">
          <a:spLocks noChangeArrowheads="1"/>
        </xdr:cNvSpPr>
      </xdr:nvSpPr>
      <xdr:spPr bwMode="auto">
        <a:xfrm>
          <a:off x="3143250" y="5476875"/>
          <a:ext cx="10477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9"/>
  <sheetViews>
    <sheetView zoomScale="75" workbookViewId="0">
      <selection activeCell="A22" sqref="A22"/>
    </sheetView>
  </sheetViews>
  <sheetFormatPr defaultRowHeight="12.75" x14ac:dyDescent="0.2"/>
  <cols>
    <col min="1" max="1" width="30.42578125" style="45" bestFit="1" customWidth="1"/>
    <col min="2" max="2" width="11" style="45" bestFit="1" customWidth="1"/>
    <col min="3" max="3" width="11" style="2" bestFit="1" customWidth="1"/>
    <col min="4" max="4" width="26.42578125" style="2" bestFit="1" customWidth="1"/>
    <col min="5" max="5" width="11" style="2" bestFit="1" customWidth="1"/>
    <col min="6" max="6" width="9.28515625" style="2" bestFit="1" customWidth="1"/>
    <col min="7" max="7" width="30.42578125" style="2" bestFit="1" customWidth="1"/>
    <col min="8" max="9" width="11" style="2" bestFit="1" customWidth="1"/>
    <col min="10" max="10" width="26.42578125" style="2" bestFit="1" customWidth="1"/>
    <col min="11" max="11" width="9.28515625" style="2" bestFit="1" customWidth="1"/>
    <col min="12" max="12" width="11.140625" style="2" customWidth="1"/>
    <col min="13" max="16384" width="9.140625" style="2"/>
  </cols>
  <sheetData>
    <row r="1" spans="1:12" ht="27.75" customHeight="1" thickBot="1" x14ac:dyDescent="0.25">
      <c r="A1" s="45" t="s">
        <v>0</v>
      </c>
      <c r="B1" s="46">
        <f ca="1">TODAY()</f>
        <v>37021</v>
      </c>
      <c r="G1" s="2" t="s">
        <v>0</v>
      </c>
      <c r="H1" s="3">
        <f ca="1">TODAY()</f>
        <v>37021</v>
      </c>
    </row>
    <row r="2" spans="1:12" ht="13.5" thickBot="1" x14ac:dyDescent="0.25">
      <c r="A2" s="45" t="s">
        <v>12</v>
      </c>
      <c r="B2" s="46">
        <f ca="1">TODAY()+2</f>
        <v>37023</v>
      </c>
      <c r="G2" s="2" t="s">
        <v>12</v>
      </c>
      <c r="H2" s="3">
        <f ca="1">TODAY()+3</f>
        <v>37024</v>
      </c>
    </row>
    <row r="3" spans="1:12" ht="25.5" customHeight="1" thickBot="1" x14ac:dyDescent="0.25">
      <c r="B3" s="47" t="s">
        <v>13</v>
      </c>
      <c r="C3" s="1" t="s">
        <v>14</v>
      </c>
      <c r="D3" s="1" t="s">
        <v>15</v>
      </c>
      <c r="H3" s="1" t="s">
        <v>13</v>
      </c>
      <c r="I3" s="1" t="s">
        <v>14</v>
      </c>
      <c r="J3" s="1" t="s">
        <v>15</v>
      </c>
    </row>
    <row r="4" spans="1:12" ht="13.5" thickBot="1" x14ac:dyDescent="0.25">
      <c r="A4" s="45" t="s">
        <v>16</v>
      </c>
      <c r="B4" s="55">
        <v>70</v>
      </c>
      <c r="C4" s="17">
        <v>52</v>
      </c>
      <c r="D4" s="18">
        <f>AVERAGE(B4,C4)</f>
        <v>61</v>
      </c>
      <c r="G4" s="2" t="s">
        <v>16</v>
      </c>
      <c r="H4" s="16">
        <v>70</v>
      </c>
      <c r="I4" s="17">
        <v>45</v>
      </c>
      <c r="J4" s="18">
        <f>AVERAGE(H4,I4)</f>
        <v>57.5</v>
      </c>
    </row>
    <row r="5" spans="1:12" x14ac:dyDescent="0.2">
      <c r="A5" s="48"/>
      <c r="B5" s="49"/>
      <c r="C5" s="1" t="s">
        <v>18</v>
      </c>
      <c r="D5" s="19"/>
      <c r="E5" s="20"/>
      <c r="F5" s="1" t="s">
        <v>18</v>
      </c>
      <c r="G5" s="19"/>
      <c r="H5" s="20"/>
      <c r="I5" s="1" t="s">
        <v>18</v>
      </c>
      <c r="J5" s="19"/>
      <c r="K5" s="20"/>
      <c r="L5" s="1" t="s">
        <v>18</v>
      </c>
    </row>
    <row r="6" spans="1:12" x14ac:dyDescent="0.2">
      <c r="A6" s="50" t="s">
        <v>21</v>
      </c>
      <c r="B6" s="26">
        <v>-300000</v>
      </c>
      <c r="C6" s="12">
        <v>-292000</v>
      </c>
      <c r="D6" s="25" t="s">
        <v>22</v>
      </c>
      <c r="E6" s="26">
        <v>-48000</v>
      </c>
      <c r="F6" s="12">
        <v>-52000</v>
      </c>
      <c r="G6" s="25" t="s">
        <v>21</v>
      </c>
      <c r="H6" s="26">
        <v>-375000</v>
      </c>
      <c r="I6" s="12">
        <v>-326000</v>
      </c>
      <c r="J6" s="25" t="s">
        <v>22</v>
      </c>
      <c r="K6" s="26">
        <v>-60000</v>
      </c>
      <c r="L6" s="12">
        <v>-64000</v>
      </c>
    </row>
    <row r="7" spans="1:12" x14ac:dyDescent="0.2">
      <c r="A7" s="50" t="s">
        <v>59</v>
      </c>
      <c r="B7" s="26"/>
      <c r="D7" s="25" t="s">
        <v>25</v>
      </c>
      <c r="E7" s="26">
        <v>0</v>
      </c>
      <c r="G7" s="25" t="s">
        <v>59</v>
      </c>
      <c r="H7" s="26"/>
      <c r="J7" s="25" t="s">
        <v>25</v>
      </c>
      <c r="K7" s="26">
        <v>0</v>
      </c>
    </row>
    <row r="8" spans="1:12" x14ac:dyDescent="0.2">
      <c r="A8" s="50" t="s">
        <v>63</v>
      </c>
      <c r="B8" s="26">
        <v>0</v>
      </c>
      <c r="D8" s="25" t="s">
        <v>27</v>
      </c>
      <c r="E8" s="26"/>
      <c r="G8" s="25" t="s">
        <v>63</v>
      </c>
      <c r="H8" s="26">
        <v>0</v>
      </c>
      <c r="J8" s="25" t="s">
        <v>27</v>
      </c>
      <c r="K8" s="26"/>
    </row>
    <row r="9" spans="1:12" x14ac:dyDescent="0.2">
      <c r="A9" s="50" t="s">
        <v>69</v>
      </c>
      <c r="B9" s="26">
        <v>0</v>
      </c>
      <c r="D9" s="25" t="s">
        <v>29</v>
      </c>
      <c r="E9" s="26">
        <v>0</v>
      </c>
      <c r="G9" s="43" t="s">
        <v>69</v>
      </c>
      <c r="H9" s="26">
        <v>0</v>
      </c>
      <c r="J9" s="25" t="s">
        <v>29</v>
      </c>
      <c r="K9" s="26">
        <v>0</v>
      </c>
    </row>
    <row r="10" spans="1:12" x14ac:dyDescent="0.2">
      <c r="A10" s="50" t="s">
        <v>64</v>
      </c>
      <c r="B10" s="26">
        <v>0</v>
      </c>
      <c r="C10" s="14"/>
      <c r="D10" s="25" t="s">
        <v>52</v>
      </c>
      <c r="E10" s="26">
        <v>-17281</v>
      </c>
      <c r="G10" s="25" t="s">
        <v>64</v>
      </c>
      <c r="H10" s="26">
        <v>0</v>
      </c>
      <c r="I10" s="14"/>
      <c r="J10" s="25" t="s">
        <v>52</v>
      </c>
      <c r="K10" s="26">
        <v>-7281</v>
      </c>
    </row>
    <row r="11" spans="1:12" x14ac:dyDescent="0.2">
      <c r="A11" s="50" t="s">
        <v>24</v>
      </c>
      <c r="B11" s="26">
        <v>0</v>
      </c>
      <c r="C11" s="14"/>
      <c r="D11" s="25" t="s">
        <v>31</v>
      </c>
      <c r="E11" s="26">
        <v>-20000</v>
      </c>
      <c r="G11" s="25" t="s">
        <v>24</v>
      </c>
      <c r="H11" s="26">
        <v>0</v>
      </c>
      <c r="I11" s="14"/>
      <c r="J11" s="25" t="s">
        <v>31</v>
      </c>
      <c r="K11" s="26">
        <v>-20000</v>
      </c>
    </row>
    <row r="12" spans="1:12" x14ac:dyDescent="0.2">
      <c r="A12" s="50" t="s">
        <v>29</v>
      </c>
      <c r="B12" s="26">
        <v>-250000</v>
      </c>
      <c r="D12" s="43" t="s">
        <v>56</v>
      </c>
      <c r="E12" s="41">
        <v>-15633</v>
      </c>
      <c r="G12" s="25" t="s">
        <v>29</v>
      </c>
      <c r="H12" s="26">
        <v>-250000</v>
      </c>
      <c r="J12" s="43" t="s">
        <v>56</v>
      </c>
      <c r="K12" s="41">
        <v>-15633</v>
      </c>
    </row>
    <row r="13" spans="1:12" ht="13.5" thickBot="1" x14ac:dyDescent="0.25">
      <c r="A13" s="50" t="s">
        <v>62</v>
      </c>
      <c r="B13" s="26">
        <v>0</v>
      </c>
      <c r="D13" s="25" t="s">
        <v>32</v>
      </c>
      <c r="E13" s="26">
        <v>-2000</v>
      </c>
      <c r="G13" s="25" t="s">
        <v>62</v>
      </c>
      <c r="H13" s="26">
        <v>0</v>
      </c>
      <c r="J13" s="25" t="s">
        <v>32</v>
      </c>
      <c r="K13" s="26">
        <v>0</v>
      </c>
    </row>
    <row r="14" spans="1:12" ht="13.5" thickBot="1" x14ac:dyDescent="0.25">
      <c r="A14" s="50" t="s">
        <v>19</v>
      </c>
      <c r="B14" s="51">
        <v>0</v>
      </c>
      <c r="C14" s="2" t="s">
        <v>17</v>
      </c>
      <c r="D14" s="33" t="s">
        <v>33</v>
      </c>
      <c r="E14" s="34">
        <f>SUM(E6:E13)</f>
        <v>-102914</v>
      </c>
      <c r="G14" s="25" t="s">
        <v>19</v>
      </c>
      <c r="H14" s="26">
        <v>0</v>
      </c>
      <c r="I14" s="2" t="s">
        <v>17</v>
      </c>
      <c r="J14" s="33" t="s">
        <v>33</v>
      </c>
      <c r="K14" s="34">
        <f>SUM(K6:K13)</f>
        <v>-102914</v>
      </c>
    </row>
    <row r="15" spans="1:12" x14ac:dyDescent="0.2">
      <c r="A15" s="50" t="s">
        <v>27</v>
      </c>
      <c r="B15" s="51"/>
      <c r="C15" s="14"/>
      <c r="D15" s="25"/>
      <c r="E15" s="26"/>
      <c r="F15" s="14">
        <f>SUM(E29,E14)</f>
        <v>0.39999999999417923</v>
      </c>
      <c r="G15" s="25" t="s">
        <v>27</v>
      </c>
      <c r="H15" s="26"/>
      <c r="I15" s="14"/>
      <c r="J15" s="25"/>
      <c r="K15" s="26"/>
      <c r="L15" s="14">
        <f>SUM(K29,K14)</f>
        <v>0.39999999999417923</v>
      </c>
    </row>
    <row r="16" spans="1:12" x14ac:dyDescent="0.2">
      <c r="A16" s="50" t="s">
        <v>32</v>
      </c>
      <c r="B16" s="51">
        <v>-40000</v>
      </c>
      <c r="C16" s="14"/>
      <c r="D16" s="25" t="s">
        <v>38</v>
      </c>
      <c r="E16" s="26">
        <v>39111</v>
      </c>
      <c r="G16" s="25" t="s">
        <v>32</v>
      </c>
      <c r="H16" s="41">
        <v>-40000</v>
      </c>
      <c r="I16" s="14"/>
      <c r="J16" s="25" t="s">
        <v>38</v>
      </c>
      <c r="K16" s="26">
        <v>39111</v>
      </c>
    </row>
    <row r="17" spans="1:11" x14ac:dyDescent="0.2">
      <c r="A17" s="50" t="s">
        <v>34</v>
      </c>
      <c r="B17" s="51">
        <v>0</v>
      </c>
      <c r="C17" s="14"/>
      <c r="D17" s="25" t="s">
        <v>39</v>
      </c>
      <c r="E17" s="26">
        <v>10000</v>
      </c>
      <c r="G17" s="25" t="s">
        <v>34</v>
      </c>
      <c r="H17" s="26">
        <v>0</v>
      </c>
      <c r="I17" s="14"/>
      <c r="J17" s="25" t="s">
        <v>39</v>
      </c>
      <c r="K17" s="26">
        <v>10000</v>
      </c>
    </row>
    <row r="18" spans="1:11" x14ac:dyDescent="0.2">
      <c r="A18" s="50" t="s">
        <v>30</v>
      </c>
      <c r="B18" s="51">
        <v>0</v>
      </c>
      <c r="C18" s="2" t="s">
        <v>17</v>
      </c>
      <c r="D18" s="25" t="s">
        <v>40</v>
      </c>
      <c r="E18" s="26">
        <v>0</v>
      </c>
      <c r="F18" s="14" t="s">
        <v>17</v>
      </c>
      <c r="G18" s="25" t="s">
        <v>30</v>
      </c>
      <c r="H18" s="26">
        <v>0</v>
      </c>
      <c r="I18" s="2" t="s">
        <v>17</v>
      </c>
      <c r="J18" s="25" t="s">
        <v>40</v>
      </c>
      <c r="K18" s="26">
        <v>0</v>
      </c>
    </row>
    <row r="19" spans="1:11" x14ac:dyDescent="0.2">
      <c r="A19" s="50" t="s">
        <v>50</v>
      </c>
      <c r="B19" s="51">
        <v>0</v>
      </c>
      <c r="C19" s="42"/>
      <c r="D19" s="25" t="s">
        <v>41</v>
      </c>
      <c r="E19" s="26">
        <v>21803.4</v>
      </c>
      <c r="G19" s="25" t="s">
        <v>50</v>
      </c>
      <c r="H19" s="26">
        <v>0</v>
      </c>
      <c r="I19" s="42"/>
      <c r="J19" s="25" t="s">
        <v>41</v>
      </c>
      <c r="K19" s="26">
        <v>21803.4</v>
      </c>
    </row>
    <row r="20" spans="1:11" x14ac:dyDescent="0.2">
      <c r="A20" s="50" t="s">
        <v>51</v>
      </c>
      <c r="B20" s="51">
        <v>0</v>
      </c>
      <c r="C20" s="14"/>
      <c r="D20" s="25" t="s">
        <v>46</v>
      </c>
      <c r="E20" s="26">
        <v>0</v>
      </c>
      <c r="G20" s="25" t="s">
        <v>51</v>
      </c>
      <c r="H20" s="26">
        <v>0</v>
      </c>
      <c r="I20" s="14"/>
      <c r="J20" s="25" t="s">
        <v>46</v>
      </c>
      <c r="K20" s="26">
        <v>0</v>
      </c>
    </row>
    <row r="21" spans="1:11" x14ac:dyDescent="0.2">
      <c r="A21" s="50" t="s">
        <v>35</v>
      </c>
      <c r="B21" s="51">
        <v>0</v>
      </c>
      <c r="C21" s="14"/>
      <c r="D21" s="25" t="s">
        <v>60</v>
      </c>
      <c r="E21" s="26">
        <v>5000</v>
      </c>
      <c r="G21" s="25" t="s">
        <v>35</v>
      </c>
      <c r="H21" s="26">
        <v>0</v>
      </c>
      <c r="I21" s="14"/>
      <c r="J21" s="25" t="s">
        <v>60</v>
      </c>
      <c r="K21" s="26">
        <v>5000</v>
      </c>
    </row>
    <row r="22" spans="1:11" x14ac:dyDescent="0.2">
      <c r="A22" s="50" t="s">
        <v>29</v>
      </c>
      <c r="B22" s="51">
        <v>0</v>
      </c>
      <c r="C22" s="14"/>
      <c r="D22" s="25" t="s">
        <v>70</v>
      </c>
      <c r="E22" s="26">
        <v>7000</v>
      </c>
      <c r="G22" s="25" t="s">
        <v>29</v>
      </c>
      <c r="H22" s="26">
        <v>0</v>
      </c>
      <c r="I22" s="14"/>
      <c r="J22" s="25" t="s">
        <v>70</v>
      </c>
      <c r="K22" s="41">
        <v>7000</v>
      </c>
    </row>
    <row r="23" spans="1:11" x14ac:dyDescent="0.2">
      <c r="A23" s="50" t="s">
        <v>68</v>
      </c>
      <c r="B23" s="51">
        <v>0</v>
      </c>
      <c r="C23" s="14" t="s">
        <v>17</v>
      </c>
      <c r="D23" s="25" t="s">
        <v>61</v>
      </c>
      <c r="E23" s="41">
        <v>0</v>
      </c>
      <c r="G23" s="25" t="s">
        <v>68</v>
      </c>
      <c r="H23" s="41">
        <v>0</v>
      </c>
      <c r="I23" s="14" t="s">
        <v>17</v>
      </c>
      <c r="J23" s="25" t="s">
        <v>61</v>
      </c>
      <c r="K23" s="41">
        <v>0</v>
      </c>
    </row>
    <row r="24" spans="1:11" x14ac:dyDescent="0.2">
      <c r="A24" s="50" t="s">
        <v>36</v>
      </c>
      <c r="B24" s="51">
        <v>0</v>
      </c>
      <c r="D24" s="25" t="s">
        <v>32</v>
      </c>
      <c r="E24" s="41">
        <v>0</v>
      </c>
      <c r="G24" s="25" t="s">
        <v>36</v>
      </c>
      <c r="H24" s="26">
        <v>0</v>
      </c>
      <c r="J24" s="25" t="s">
        <v>32</v>
      </c>
      <c r="K24" s="41">
        <v>0</v>
      </c>
    </row>
    <row r="25" spans="1:11" x14ac:dyDescent="0.2">
      <c r="A25" s="50" t="s">
        <v>37</v>
      </c>
      <c r="B25" s="51">
        <v>0</v>
      </c>
      <c r="D25" s="25" t="s">
        <v>29</v>
      </c>
      <c r="E25" s="41">
        <v>0</v>
      </c>
      <c r="G25" s="25" t="s">
        <v>37</v>
      </c>
      <c r="H25" s="26">
        <v>0</v>
      </c>
      <c r="J25" s="25" t="s">
        <v>29</v>
      </c>
      <c r="K25" s="41">
        <v>0</v>
      </c>
    </row>
    <row r="26" spans="1:11" ht="13.5" thickBot="1" x14ac:dyDescent="0.25">
      <c r="A26" s="50" t="s">
        <v>67</v>
      </c>
      <c r="B26" s="51">
        <v>0</v>
      </c>
      <c r="D26" s="25" t="s">
        <v>56</v>
      </c>
      <c r="E26" s="41">
        <v>0</v>
      </c>
      <c r="G26" s="25" t="s">
        <v>67</v>
      </c>
      <c r="H26" s="26">
        <v>0</v>
      </c>
      <c r="J26" s="25" t="s">
        <v>56</v>
      </c>
      <c r="K26" s="41">
        <v>0</v>
      </c>
    </row>
    <row r="27" spans="1:11" ht="13.5" thickBot="1" x14ac:dyDescent="0.25">
      <c r="A27" s="52" t="s">
        <v>33</v>
      </c>
      <c r="B27" s="34">
        <f>SUM(B6:B26)</f>
        <v>-590000</v>
      </c>
      <c r="C27" s="14">
        <f>SUM(B27,B56)</f>
        <v>0</v>
      </c>
      <c r="D27" s="25" t="s">
        <v>58</v>
      </c>
      <c r="E27" s="41">
        <v>20000</v>
      </c>
      <c r="G27" s="33" t="s">
        <v>33</v>
      </c>
      <c r="H27" s="34">
        <f>SUM(H6:H26)</f>
        <v>-665000</v>
      </c>
      <c r="I27" s="14">
        <f>SUM(H27,H56)</f>
        <v>0</v>
      </c>
      <c r="J27" s="25" t="s">
        <v>58</v>
      </c>
      <c r="K27" s="41">
        <v>20000</v>
      </c>
    </row>
    <row r="28" spans="1:11" ht="13.5" thickBot="1" x14ac:dyDescent="0.25">
      <c r="A28" s="50"/>
      <c r="B28" s="51"/>
      <c r="D28" s="25" t="s">
        <v>42</v>
      </c>
      <c r="E28" s="26">
        <v>0</v>
      </c>
      <c r="G28" s="25"/>
      <c r="H28" s="26"/>
      <c r="J28" s="25" t="s">
        <v>42</v>
      </c>
      <c r="K28" s="26">
        <v>0</v>
      </c>
    </row>
    <row r="29" spans="1:11" ht="13.5" thickBot="1" x14ac:dyDescent="0.25">
      <c r="A29" s="50" t="s">
        <v>38</v>
      </c>
      <c r="B29" s="41">
        <v>187907</v>
      </c>
      <c r="C29" s="14" t="s">
        <v>17</v>
      </c>
      <c r="D29" s="33" t="s">
        <v>43</v>
      </c>
      <c r="E29" s="34">
        <f>SUM(E16:E28)</f>
        <v>102914.4</v>
      </c>
      <c r="G29" s="25" t="s">
        <v>38</v>
      </c>
      <c r="H29" s="26">
        <v>187907</v>
      </c>
      <c r="I29" s="14" t="s">
        <v>17</v>
      </c>
      <c r="J29" s="33" t="s">
        <v>43</v>
      </c>
      <c r="K29" s="34">
        <f>SUM(K16:K28)</f>
        <v>102914.4</v>
      </c>
    </row>
    <row r="30" spans="1:11" ht="13.5" thickBot="1" x14ac:dyDescent="0.25">
      <c r="A30" s="50" t="s">
        <v>39</v>
      </c>
      <c r="B30" s="41">
        <v>125000</v>
      </c>
      <c r="D30" s="30"/>
      <c r="E30" s="36"/>
      <c r="F30" s="14"/>
      <c r="G30" s="25" t="s">
        <v>39</v>
      </c>
      <c r="H30" s="26">
        <v>125000</v>
      </c>
      <c r="J30" s="30"/>
      <c r="K30" s="36"/>
    </row>
    <row r="31" spans="1:11" x14ac:dyDescent="0.2">
      <c r="A31" s="50" t="s">
        <v>40</v>
      </c>
      <c r="B31" s="41">
        <v>0</v>
      </c>
      <c r="C31" s="14" t="s">
        <v>17</v>
      </c>
      <c r="D31"/>
      <c r="E31"/>
      <c r="G31" s="25" t="s">
        <v>40</v>
      </c>
      <c r="H31" s="26">
        <v>0</v>
      </c>
      <c r="I31" s="14" t="s">
        <v>17</v>
      </c>
      <c r="J31"/>
      <c r="K31"/>
    </row>
    <row r="32" spans="1:11" x14ac:dyDescent="0.2">
      <c r="A32" s="50" t="s">
        <v>41</v>
      </c>
      <c r="B32" s="41">
        <f>294460*0.6</f>
        <v>176676</v>
      </c>
      <c r="E32" s="12"/>
      <c r="G32" s="25" t="s">
        <v>41</v>
      </c>
      <c r="H32" s="26">
        <f>294460*0.6</f>
        <v>176676</v>
      </c>
      <c r="I32" s="14"/>
      <c r="K32" s="12"/>
    </row>
    <row r="33" spans="1:11" x14ac:dyDescent="0.2">
      <c r="A33" s="50" t="s">
        <v>71</v>
      </c>
      <c r="B33" s="41">
        <v>-100000</v>
      </c>
      <c r="E33" s="12"/>
      <c r="G33" s="50" t="s">
        <v>71</v>
      </c>
      <c r="H33" s="26">
        <v>-100000</v>
      </c>
      <c r="K33" s="12"/>
    </row>
    <row r="34" spans="1:11" x14ac:dyDescent="0.2">
      <c r="A34" s="50" t="s">
        <v>66</v>
      </c>
      <c r="B34" s="41">
        <v>0</v>
      </c>
      <c r="G34" s="25" t="s">
        <v>66</v>
      </c>
      <c r="H34" s="26">
        <v>0</v>
      </c>
    </row>
    <row r="35" spans="1:11" x14ac:dyDescent="0.2">
      <c r="A35" s="50" t="s">
        <v>55</v>
      </c>
      <c r="B35" s="41">
        <v>0</v>
      </c>
      <c r="G35" s="25" t="s">
        <v>55</v>
      </c>
      <c r="H35" s="26">
        <v>0</v>
      </c>
    </row>
    <row r="36" spans="1:11" x14ac:dyDescent="0.2">
      <c r="A36" s="50" t="s">
        <v>57</v>
      </c>
      <c r="B36" s="41">
        <v>0</v>
      </c>
      <c r="G36" s="25" t="s">
        <v>57</v>
      </c>
      <c r="H36" s="41">
        <v>0</v>
      </c>
    </row>
    <row r="37" spans="1:11" x14ac:dyDescent="0.2">
      <c r="A37" s="50" t="s">
        <v>58</v>
      </c>
      <c r="B37" s="41">
        <v>40000</v>
      </c>
      <c r="G37" s="25" t="s">
        <v>58</v>
      </c>
      <c r="H37" s="26">
        <v>40000</v>
      </c>
    </row>
    <row r="38" spans="1:11" x14ac:dyDescent="0.2">
      <c r="A38" s="50" t="s">
        <v>19</v>
      </c>
      <c r="B38" s="26">
        <v>0</v>
      </c>
      <c r="G38" s="25" t="s">
        <v>19</v>
      </c>
      <c r="H38" s="26">
        <v>0</v>
      </c>
    </row>
    <row r="39" spans="1:11" x14ac:dyDescent="0.2">
      <c r="A39" s="50" t="s">
        <v>24</v>
      </c>
      <c r="B39" s="35"/>
      <c r="G39" s="25" t="s">
        <v>24</v>
      </c>
      <c r="H39" s="35"/>
    </row>
    <row r="40" spans="1:11" x14ac:dyDescent="0.2">
      <c r="A40" s="50" t="s">
        <v>65</v>
      </c>
      <c r="B40" s="26">
        <v>79006</v>
      </c>
      <c r="G40" s="25" t="s">
        <v>65</v>
      </c>
      <c r="H40" s="26">
        <v>79006</v>
      </c>
    </row>
    <row r="41" spans="1:11" x14ac:dyDescent="0.2">
      <c r="A41" s="50" t="s">
        <v>29</v>
      </c>
      <c r="B41" s="26"/>
      <c r="G41" s="25" t="s">
        <v>29</v>
      </c>
      <c r="H41" s="26"/>
    </row>
    <row r="42" spans="1:11" x14ac:dyDescent="0.2">
      <c r="A42" s="50" t="s">
        <v>44</v>
      </c>
      <c r="B42" s="26">
        <v>4000</v>
      </c>
      <c r="G42" s="25" t="s">
        <v>44</v>
      </c>
      <c r="H42" s="26">
        <v>4000</v>
      </c>
    </row>
    <row r="43" spans="1:11" x14ac:dyDescent="0.2">
      <c r="A43" s="50" t="s">
        <v>45</v>
      </c>
      <c r="B43" s="26">
        <v>1000</v>
      </c>
      <c r="G43" s="25" t="s">
        <v>45</v>
      </c>
      <c r="H43" s="26">
        <v>1000</v>
      </c>
    </row>
    <row r="44" spans="1:11" x14ac:dyDescent="0.2">
      <c r="A44" s="50" t="s">
        <v>46</v>
      </c>
      <c r="B44" s="26"/>
      <c r="E44" s="12"/>
      <c r="G44" s="25" t="s">
        <v>46</v>
      </c>
      <c r="H44" s="26"/>
      <c r="K44" s="12"/>
    </row>
    <row r="45" spans="1:11" x14ac:dyDescent="0.2">
      <c r="A45" s="50" t="s">
        <v>61</v>
      </c>
      <c r="B45" s="26">
        <v>0</v>
      </c>
      <c r="E45" s="12"/>
      <c r="G45" s="25" t="s">
        <v>61</v>
      </c>
      <c r="H45" s="26">
        <v>0</v>
      </c>
      <c r="K45" s="12"/>
    </row>
    <row r="46" spans="1:11" x14ac:dyDescent="0.2">
      <c r="A46" s="50" t="s">
        <v>32</v>
      </c>
      <c r="B46" s="26">
        <v>0</v>
      </c>
      <c r="E46" s="12"/>
      <c r="G46" s="25" t="s">
        <v>32</v>
      </c>
      <c r="H46" s="26">
        <v>0</v>
      </c>
      <c r="K46" s="12"/>
    </row>
    <row r="47" spans="1:11" x14ac:dyDescent="0.2">
      <c r="A47" s="50" t="s">
        <v>34</v>
      </c>
      <c r="B47" s="26">
        <v>0</v>
      </c>
      <c r="E47" s="12"/>
      <c r="G47" s="25" t="s">
        <v>34</v>
      </c>
      <c r="H47" s="26">
        <v>0</v>
      </c>
      <c r="K47" s="12"/>
    </row>
    <row r="48" spans="1:11" x14ac:dyDescent="0.2">
      <c r="A48" s="50" t="s">
        <v>47</v>
      </c>
      <c r="B48" s="26">
        <v>0</v>
      </c>
      <c r="E48" s="12"/>
      <c r="G48" s="25" t="s">
        <v>47</v>
      </c>
      <c r="H48" s="26">
        <v>0</v>
      </c>
      <c r="K48" s="12"/>
    </row>
    <row r="49" spans="1:11" x14ac:dyDescent="0.2">
      <c r="A49" s="50" t="s">
        <v>48</v>
      </c>
      <c r="B49" s="26">
        <v>0</v>
      </c>
      <c r="C49" s="14"/>
      <c r="G49" s="25" t="s">
        <v>48</v>
      </c>
      <c r="H49" s="26">
        <v>0</v>
      </c>
      <c r="I49" s="14"/>
    </row>
    <row r="50" spans="1:11" x14ac:dyDescent="0.2">
      <c r="A50" s="50" t="s">
        <v>49</v>
      </c>
      <c r="B50" s="26">
        <v>25000</v>
      </c>
      <c r="E50" s="12"/>
      <c r="G50" s="25" t="s">
        <v>49</v>
      </c>
      <c r="H50" s="26">
        <v>25000</v>
      </c>
      <c r="K50" s="12"/>
    </row>
    <row r="51" spans="1:11" x14ac:dyDescent="0.2">
      <c r="A51" s="50" t="s">
        <v>35</v>
      </c>
      <c r="B51" s="41">
        <v>0</v>
      </c>
      <c r="E51" s="12"/>
      <c r="G51" s="25" t="s">
        <v>35</v>
      </c>
      <c r="H51" s="26">
        <v>0</v>
      </c>
      <c r="K51" s="12"/>
    </row>
    <row r="52" spans="1:11" x14ac:dyDescent="0.2">
      <c r="A52" s="50" t="s">
        <v>51</v>
      </c>
      <c r="B52" s="41">
        <v>0</v>
      </c>
      <c r="C52"/>
      <c r="E52" s="12"/>
      <c r="G52" s="25" t="s">
        <v>51</v>
      </c>
      <c r="H52" s="26">
        <v>0</v>
      </c>
      <c r="I52"/>
      <c r="K52" s="12"/>
    </row>
    <row r="53" spans="1:11" x14ac:dyDescent="0.2">
      <c r="A53" s="50" t="s">
        <v>50</v>
      </c>
      <c r="B53" s="41">
        <v>0</v>
      </c>
      <c r="C53"/>
      <c r="E53" s="12"/>
      <c r="G53" s="25" t="s">
        <v>50</v>
      </c>
      <c r="H53" s="26">
        <v>0</v>
      </c>
      <c r="I53"/>
      <c r="K53" s="12"/>
    </row>
    <row r="54" spans="1:11" x14ac:dyDescent="0.2">
      <c r="A54" s="50" t="s">
        <v>29</v>
      </c>
      <c r="B54" s="41">
        <v>0</v>
      </c>
      <c r="E54" s="12"/>
      <c r="G54" s="25" t="s">
        <v>29</v>
      </c>
      <c r="H54" s="41">
        <v>0</v>
      </c>
      <c r="K54" s="12"/>
    </row>
    <row r="55" spans="1:11" ht="13.5" thickBot="1" x14ac:dyDescent="0.25">
      <c r="A55" s="50" t="s">
        <v>42</v>
      </c>
      <c r="B55" s="51">
        <v>51411</v>
      </c>
      <c r="E55" s="12"/>
      <c r="G55" s="25" t="s">
        <v>42</v>
      </c>
      <c r="H55" s="26">
        <v>126411</v>
      </c>
      <c r="K55" s="12"/>
    </row>
    <row r="56" spans="1:11" ht="13.5" thickBot="1" x14ac:dyDescent="0.25">
      <c r="A56" s="52" t="s">
        <v>43</v>
      </c>
      <c r="B56" s="34">
        <f>SUM(B29:B55)</f>
        <v>590000</v>
      </c>
      <c r="E56" s="12"/>
      <c r="G56" s="33" t="s">
        <v>43</v>
      </c>
      <c r="H56" s="34">
        <f>SUM(H29:H55)</f>
        <v>665000</v>
      </c>
      <c r="K56" s="12"/>
    </row>
    <row r="57" spans="1:11" ht="13.5" thickBot="1" x14ac:dyDescent="0.25">
      <c r="A57" s="53"/>
      <c r="B57" s="54"/>
      <c r="E57" s="12"/>
      <c r="G57" s="30"/>
      <c r="H57" s="37"/>
      <c r="K57" s="12"/>
    </row>
    <row r="58" spans="1:11" x14ac:dyDescent="0.2">
      <c r="E58" s="12"/>
      <c r="K58" s="12"/>
    </row>
    <row r="59" spans="1:11" x14ac:dyDescent="0.2">
      <c r="E59" s="12"/>
      <c r="K59" s="12"/>
    </row>
  </sheetData>
  <phoneticPr fontId="0" type="noConversion"/>
  <pageMargins left="0.55000000000000004" right="0.3" top="1" bottom="0.5" header="0.5" footer="0.5"/>
  <pageSetup scale="6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59"/>
  <sheetViews>
    <sheetView tabSelected="1" zoomScale="75" workbookViewId="0">
      <selection activeCell="A9" sqref="A9"/>
    </sheetView>
  </sheetViews>
  <sheetFormatPr defaultRowHeight="12.75" x14ac:dyDescent="0.2"/>
  <cols>
    <col min="1" max="1" width="30.42578125" style="2" bestFit="1" customWidth="1"/>
    <col min="2" max="3" width="11" style="2" bestFit="1" customWidth="1"/>
    <col min="4" max="4" width="26.42578125" style="2" bestFit="1" customWidth="1"/>
    <col min="5" max="5" width="10.42578125" style="2" bestFit="1" customWidth="1"/>
    <col min="6" max="6" width="12.140625" style="2" customWidth="1"/>
    <col min="7" max="7" width="12.28515625" style="2" bestFit="1" customWidth="1"/>
    <col min="8" max="8" width="11.5703125" style="2" customWidth="1"/>
    <col min="9" max="9" width="11.85546875" style="2" customWidth="1"/>
    <col min="10" max="10" width="14.5703125" style="2" bestFit="1" customWidth="1"/>
    <col min="11" max="12" width="13.7109375" style="2" customWidth="1"/>
    <col min="13" max="13" width="13.5703125" style="2" customWidth="1"/>
    <col min="14" max="14" width="9.140625" style="2"/>
    <col min="15" max="15" width="19" style="2" customWidth="1"/>
    <col min="16" max="16" width="10.7109375" style="2" bestFit="1" customWidth="1"/>
    <col min="17" max="17" width="11.85546875" style="2" bestFit="1" customWidth="1"/>
    <col min="18" max="18" width="10" style="2" bestFit="1" customWidth="1"/>
    <col min="19" max="19" width="20.7109375" style="2" customWidth="1"/>
    <col min="20" max="20" width="10.7109375" style="2" bestFit="1" customWidth="1"/>
    <col min="21" max="21" width="10.42578125" style="2" bestFit="1" customWidth="1"/>
    <col min="22" max="22" width="3.140625" style="2" customWidth="1"/>
    <col min="23" max="23" width="11.85546875" style="2" bestFit="1" customWidth="1"/>
    <col min="24" max="25" width="10.28515625" style="2" customWidth="1"/>
    <col min="26" max="26" width="9.28515625" style="2" bestFit="1" customWidth="1"/>
    <col min="27" max="27" width="1.7109375" style="2" customWidth="1"/>
    <col min="28" max="30" width="9.28515625" style="2" bestFit="1" customWidth="1"/>
    <col min="31" max="31" width="9.140625" style="2"/>
    <col min="32" max="32" width="13.7109375" style="2" customWidth="1"/>
    <col min="33" max="33" width="17" style="2" customWidth="1"/>
    <col min="34" max="34" width="20.140625" style="2" customWidth="1"/>
    <col min="35" max="35" width="9.140625" style="2"/>
    <col min="36" max="36" width="15.42578125" style="2" customWidth="1"/>
    <col min="37" max="37" width="14.7109375" style="2" customWidth="1"/>
    <col min="38" max="38" width="16.5703125" style="2" customWidth="1"/>
    <col min="39" max="16384" width="9.140625" style="2"/>
  </cols>
  <sheetData>
    <row r="1" spans="1:39" ht="39" thickBot="1" x14ac:dyDescent="0.25">
      <c r="A1" s="2" t="s">
        <v>0</v>
      </c>
      <c r="B1" s="3">
        <f ca="1">TODAY()</f>
        <v>37021</v>
      </c>
      <c r="F1" s="4" t="s">
        <v>1</v>
      </c>
      <c r="G1" s="5">
        <v>220000</v>
      </c>
      <c r="H1" s="6"/>
      <c r="I1" s="7" t="s">
        <v>2</v>
      </c>
      <c r="J1" s="8">
        <v>38000</v>
      </c>
      <c r="O1" s="44" t="s">
        <v>3</v>
      </c>
      <c r="P1" s="11">
        <f ca="1">TODAY()+2</f>
        <v>37023</v>
      </c>
      <c r="Q1" s="12">
        <v>210000</v>
      </c>
      <c r="S1" s="44" t="s">
        <v>4</v>
      </c>
      <c r="T1" s="11">
        <f ca="1">TODAY()+2</f>
        <v>37023</v>
      </c>
      <c r="U1" s="12">
        <v>36000</v>
      </c>
      <c r="X1" s="10" t="s">
        <v>5</v>
      </c>
      <c r="Y1" s="10" t="s">
        <v>53</v>
      </c>
      <c r="Z1" s="10" t="s">
        <v>6</v>
      </c>
      <c r="AA1" s="10"/>
      <c r="AB1" s="10" t="s">
        <v>7</v>
      </c>
      <c r="AC1" s="10" t="s">
        <v>54</v>
      </c>
      <c r="AD1" s="10" t="s">
        <v>8</v>
      </c>
      <c r="AG1" s="10" t="s">
        <v>9</v>
      </c>
      <c r="AH1" s="10" t="s">
        <v>10</v>
      </c>
      <c r="AK1" s="1" t="s">
        <v>11</v>
      </c>
    </row>
    <row r="2" spans="1:39" ht="13.5" thickBot="1" x14ac:dyDescent="0.25">
      <c r="A2" s="2" t="s">
        <v>12</v>
      </c>
      <c r="B2" s="3">
        <f ca="1">TODAY()+1</f>
        <v>37022</v>
      </c>
      <c r="D2" s="14"/>
      <c r="P2" s="11">
        <f ca="1">TODAY()+3</f>
        <v>37024</v>
      </c>
      <c r="Q2" s="12">
        <v>215000</v>
      </c>
      <c r="T2" s="11">
        <f ca="1">TODAY()+3</f>
        <v>37024</v>
      </c>
      <c r="U2" s="12">
        <v>37000</v>
      </c>
      <c r="W2" s="11">
        <v>37012</v>
      </c>
      <c r="X2" s="14">
        <f>33400*2</f>
        <v>66800</v>
      </c>
      <c r="Y2" s="14">
        <f>18258*2</f>
        <v>36516</v>
      </c>
      <c r="Z2" s="13">
        <v>252500.4192</v>
      </c>
      <c r="AA2" s="13"/>
      <c r="AB2" s="14">
        <v>0</v>
      </c>
      <c r="AC2" s="14">
        <v>0</v>
      </c>
      <c r="AD2" s="14">
        <v>0</v>
      </c>
      <c r="AF2" s="11">
        <v>37012</v>
      </c>
      <c r="AG2" s="12">
        <v>250000</v>
      </c>
      <c r="AH2" s="12">
        <f>228194+36760</f>
        <v>264954</v>
      </c>
      <c r="AI2" s="14"/>
      <c r="AJ2" s="15">
        <f>+AF2</f>
        <v>37012</v>
      </c>
      <c r="AK2" s="12">
        <f>179124+20557</f>
        <v>199681</v>
      </c>
      <c r="AL2" s="12"/>
      <c r="AM2" s="12"/>
    </row>
    <row r="3" spans="1:39" ht="25.5" customHeight="1" thickBot="1" x14ac:dyDescent="0.25">
      <c r="B3" s="1" t="s">
        <v>13</v>
      </c>
      <c r="C3" s="1" t="s">
        <v>14</v>
      </c>
      <c r="D3" s="1" t="s">
        <v>15</v>
      </c>
      <c r="J3" s="21" t="s">
        <v>19</v>
      </c>
      <c r="K3" s="22">
        <f ca="1">TODAY()-1</f>
        <v>37020</v>
      </c>
      <c r="L3" s="23">
        <f ca="1">TODAY()</f>
        <v>37021</v>
      </c>
      <c r="M3" s="24" t="s">
        <v>20</v>
      </c>
      <c r="P3" s="11">
        <f ca="1">TODAY()+4</f>
        <v>37025</v>
      </c>
      <c r="Q3" s="12">
        <v>220000</v>
      </c>
      <c r="T3" s="11">
        <f ca="1">TODAY()+4</f>
        <v>37025</v>
      </c>
      <c r="U3" s="12">
        <v>38000</v>
      </c>
      <c r="W3" s="11">
        <v>37013</v>
      </c>
      <c r="X3" s="14">
        <f>37000*2</f>
        <v>74000</v>
      </c>
      <c r="Y3" s="14">
        <f>12500*2</f>
        <v>25000</v>
      </c>
      <c r="Z3" s="13">
        <f>Z2-X3+Y3</f>
        <v>203500.4192</v>
      </c>
      <c r="AA3" s="13"/>
      <c r="AB3" s="14">
        <v>0</v>
      </c>
      <c r="AC3" s="14">
        <v>0</v>
      </c>
      <c r="AD3" s="14">
        <v>0</v>
      </c>
      <c r="AF3" s="11">
        <v>37013</v>
      </c>
      <c r="AG3" s="12">
        <v>250000</v>
      </c>
      <c r="AH3" s="12">
        <f>236301+37666</f>
        <v>273967</v>
      </c>
      <c r="AI3" s="14"/>
      <c r="AJ3" s="15">
        <f t="shared" ref="AJ3:AJ15" si="0">+AF3</f>
        <v>37013</v>
      </c>
      <c r="AK3" s="12">
        <f>173899+20591</f>
        <v>194490</v>
      </c>
      <c r="AL3" s="12"/>
      <c r="AM3" s="12"/>
    </row>
    <row r="4" spans="1:39" ht="13.5" thickBot="1" x14ac:dyDescent="0.25">
      <c r="A4" s="2" t="s">
        <v>16</v>
      </c>
      <c r="B4" s="16">
        <v>67</v>
      </c>
      <c r="C4" s="17">
        <v>46</v>
      </c>
      <c r="D4" s="18">
        <f>AVERAGE(B4,C4)</f>
        <v>56.5</v>
      </c>
      <c r="J4" s="25" t="s">
        <v>23</v>
      </c>
      <c r="K4" s="38">
        <f>20800*2</f>
        <v>41600</v>
      </c>
      <c r="L4" s="9">
        <v>0</v>
      </c>
      <c r="M4" s="28">
        <f>+L4-K4</f>
        <v>-41600</v>
      </c>
      <c r="Q4" s="12"/>
      <c r="R4" s="11" t="s">
        <v>17</v>
      </c>
      <c r="W4" s="11">
        <v>37014</v>
      </c>
      <c r="X4" s="14">
        <f>11100*2</f>
        <v>22200</v>
      </c>
      <c r="Y4" s="14">
        <f>17500*2</f>
        <v>35000</v>
      </c>
      <c r="Z4" s="13">
        <f t="shared" ref="Z4:Z32" si="1">Z3-X4+Y4</f>
        <v>216300.4192</v>
      </c>
      <c r="AA4" s="13"/>
      <c r="AB4" s="14">
        <v>0</v>
      </c>
      <c r="AC4" s="14">
        <v>0</v>
      </c>
      <c r="AD4" s="14">
        <v>0</v>
      </c>
      <c r="AF4" s="11">
        <v>37014</v>
      </c>
      <c r="AG4" s="12">
        <f>230000+38000</f>
        <v>268000</v>
      </c>
      <c r="AH4" s="12">
        <f>240298+38499</f>
        <v>278797</v>
      </c>
      <c r="AI4" s="14"/>
      <c r="AJ4" s="15">
        <f t="shared" si="0"/>
        <v>37014</v>
      </c>
      <c r="AK4" s="12">
        <f>173899+20591</f>
        <v>194490</v>
      </c>
      <c r="AL4" s="12"/>
      <c r="AM4" s="12"/>
    </row>
    <row r="5" spans="1:39" x14ac:dyDescent="0.2">
      <c r="A5" s="19"/>
      <c r="B5" s="20"/>
      <c r="C5" s="1" t="s">
        <v>18</v>
      </c>
      <c r="D5" s="19"/>
      <c r="E5" s="20"/>
      <c r="F5" s="1" t="s">
        <v>18</v>
      </c>
      <c r="H5" s="1"/>
      <c r="J5" s="25" t="s">
        <v>26</v>
      </c>
      <c r="K5" s="39">
        <v>0</v>
      </c>
      <c r="L5" s="9">
        <v>0</v>
      </c>
      <c r="M5" s="29">
        <f>+L5-K5</f>
        <v>0</v>
      </c>
      <c r="W5" s="11">
        <v>37015</v>
      </c>
      <c r="X5" s="14">
        <f>8500*2</f>
        <v>17000</v>
      </c>
      <c r="Y5" s="14">
        <f>11822*2</f>
        <v>23644</v>
      </c>
      <c r="Z5" s="13">
        <f t="shared" si="1"/>
        <v>222944.4192</v>
      </c>
      <c r="AA5" s="13"/>
      <c r="AB5" s="14">
        <v>0</v>
      </c>
      <c r="AC5" s="14">
        <v>0</v>
      </c>
      <c r="AD5" s="14">
        <v>0</v>
      </c>
      <c r="AF5" s="11">
        <v>37015</v>
      </c>
      <c r="AG5" s="12">
        <f>220000+44000</f>
        <v>264000</v>
      </c>
      <c r="AH5" s="12">
        <f>262301+53869</f>
        <v>316170</v>
      </c>
      <c r="AI5" s="14"/>
      <c r="AJ5" s="15">
        <f t="shared" si="0"/>
        <v>37015</v>
      </c>
      <c r="AK5" s="12">
        <f>177444+20591</f>
        <v>198035</v>
      </c>
      <c r="AL5" s="12"/>
      <c r="AM5" s="12"/>
    </row>
    <row r="6" spans="1:39" ht="13.5" thickBot="1" x14ac:dyDescent="0.25">
      <c r="A6" s="25" t="s">
        <v>21</v>
      </c>
      <c r="B6" s="26">
        <v>-215000</v>
      </c>
      <c r="C6" s="12">
        <v>-240000</v>
      </c>
      <c r="D6" s="25" t="s">
        <v>22</v>
      </c>
      <c r="E6" s="26">
        <v>-37000</v>
      </c>
      <c r="F6" s="12">
        <v>-43000</v>
      </c>
      <c r="H6" s="12"/>
      <c r="J6" s="30" t="s">
        <v>28</v>
      </c>
      <c r="K6" s="40">
        <f>(+K4-K5)/2</f>
        <v>20800</v>
      </c>
      <c r="L6" s="31">
        <f>(+L4-L5)/2</f>
        <v>0</v>
      </c>
      <c r="M6" s="32">
        <f>+L6-K6</f>
        <v>-20800</v>
      </c>
      <c r="W6" s="11">
        <v>37016</v>
      </c>
      <c r="X6" s="14">
        <f>5700*2</f>
        <v>11400</v>
      </c>
      <c r="Y6" s="14">
        <f>11822*2</f>
        <v>23644</v>
      </c>
      <c r="Z6" s="13">
        <f t="shared" si="1"/>
        <v>235188.4192</v>
      </c>
      <c r="AA6" s="13"/>
      <c r="AB6" s="14">
        <v>0</v>
      </c>
      <c r="AC6" s="14">
        <v>0</v>
      </c>
      <c r="AD6" s="14">
        <v>0</v>
      </c>
      <c r="AF6" s="11">
        <v>37016</v>
      </c>
      <c r="AG6" s="12">
        <f>220000+42000</f>
        <v>262000</v>
      </c>
      <c r="AH6" s="12">
        <f>249943+54025</f>
        <v>303968</v>
      </c>
      <c r="AJ6" s="15">
        <f t="shared" si="0"/>
        <v>37016</v>
      </c>
      <c r="AK6" s="12">
        <f>180844+20591</f>
        <v>201435</v>
      </c>
      <c r="AL6" s="12"/>
      <c r="AM6" s="12"/>
    </row>
    <row r="7" spans="1:39" x14ac:dyDescent="0.2">
      <c r="A7" s="25" t="s">
        <v>59</v>
      </c>
      <c r="B7" s="26"/>
      <c r="D7" s="25" t="s">
        <v>25</v>
      </c>
      <c r="E7" s="26">
        <v>0</v>
      </c>
      <c r="G7" s="12"/>
      <c r="H7" s="12"/>
      <c r="W7" s="11">
        <v>37017</v>
      </c>
      <c r="X7" s="14">
        <f>12400*2</f>
        <v>24800</v>
      </c>
      <c r="Y7" s="14">
        <f>10000*2</f>
        <v>20000</v>
      </c>
      <c r="Z7" s="13">
        <f t="shared" si="1"/>
        <v>230388.4192</v>
      </c>
      <c r="AA7" s="13"/>
      <c r="AB7" s="14">
        <v>0</v>
      </c>
      <c r="AC7" s="14">
        <v>0</v>
      </c>
      <c r="AD7" s="14">
        <v>0</v>
      </c>
      <c r="AF7" s="11">
        <v>37017</v>
      </c>
      <c r="AG7" s="12">
        <f>220000+42000</f>
        <v>262000</v>
      </c>
      <c r="AH7" s="56">
        <f>232606+42751</f>
        <v>275357</v>
      </c>
      <c r="AJ7" s="15">
        <f t="shared" si="0"/>
        <v>37017</v>
      </c>
      <c r="AK7" s="12">
        <f>180844+20591</f>
        <v>201435</v>
      </c>
      <c r="AL7" s="12"/>
      <c r="AM7" s="12"/>
    </row>
    <row r="8" spans="1:39" x14ac:dyDescent="0.2">
      <c r="A8" s="25" t="s">
        <v>63</v>
      </c>
      <c r="B8" s="26">
        <v>0</v>
      </c>
      <c r="D8" s="25" t="s">
        <v>27</v>
      </c>
      <c r="E8" s="26"/>
      <c r="G8" s="12"/>
      <c r="H8" s="12"/>
      <c r="W8" s="11">
        <v>37018</v>
      </c>
      <c r="X8" s="14">
        <f>11820*2</f>
        <v>23640</v>
      </c>
      <c r="Y8" s="14">
        <v>0</v>
      </c>
      <c r="Z8" s="13">
        <f t="shared" si="1"/>
        <v>206748.4192</v>
      </c>
      <c r="AA8" s="13"/>
      <c r="AB8" s="14">
        <v>0</v>
      </c>
      <c r="AC8" s="14">
        <v>0</v>
      </c>
      <c r="AD8" s="14">
        <v>0</v>
      </c>
      <c r="AF8" s="11">
        <v>37018</v>
      </c>
      <c r="AG8" s="12">
        <f>240000+42000</f>
        <v>282000</v>
      </c>
      <c r="AH8" s="12">
        <f>260414+48999</f>
        <v>309413</v>
      </c>
      <c r="AJ8" s="15">
        <f t="shared" si="0"/>
        <v>37018</v>
      </c>
      <c r="AK8" s="12">
        <f>180844+20591</f>
        <v>201435</v>
      </c>
      <c r="AL8" s="12"/>
      <c r="AM8" s="12"/>
    </row>
    <row r="9" spans="1:39" x14ac:dyDescent="0.2">
      <c r="A9" s="25" t="s">
        <v>69</v>
      </c>
      <c r="B9" s="26">
        <v>-50000</v>
      </c>
      <c r="D9" s="25" t="s">
        <v>29</v>
      </c>
      <c r="E9" s="26">
        <v>0</v>
      </c>
      <c r="G9" s="12"/>
      <c r="H9" s="12"/>
      <c r="L9" s="12"/>
      <c r="W9" s="11">
        <v>37019</v>
      </c>
      <c r="X9" s="14">
        <v>0</v>
      </c>
      <c r="Y9" s="14">
        <f>10600*2</f>
        <v>21200</v>
      </c>
      <c r="Z9" s="13">
        <f t="shared" si="1"/>
        <v>227948.4192</v>
      </c>
      <c r="AA9" s="13"/>
      <c r="AB9" s="14">
        <v>0</v>
      </c>
      <c r="AC9" s="14">
        <v>0</v>
      </c>
      <c r="AD9" s="14">
        <v>0</v>
      </c>
      <c r="AF9" s="11">
        <v>37019</v>
      </c>
      <c r="AG9" s="12">
        <f>240000+43700</f>
        <v>283700</v>
      </c>
      <c r="AH9" s="12">
        <f>238983+43757</f>
        <v>282740</v>
      </c>
      <c r="AJ9" s="15">
        <f t="shared" si="0"/>
        <v>37019</v>
      </c>
      <c r="AK9" s="12">
        <f>177809+20591</f>
        <v>198400</v>
      </c>
      <c r="AL9" s="12"/>
      <c r="AM9" s="12"/>
    </row>
    <row r="10" spans="1:39" x14ac:dyDescent="0.2">
      <c r="A10" s="43" t="s">
        <v>64</v>
      </c>
      <c r="B10" s="26">
        <v>0</v>
      </c>
      <c r="C10" s="14" t="s">
        <v>17</v>
      </c>
      <c r="D10" s="25" t="s">
        <v>52</v>
      </c>
      <c r="E10" s="26">
        <v>-8340</v>
      </c>
      <c r="G10" s="12"/>
      <c r="H10" s="12"/>
      <c r="W10" s="11">
        <v>37020</v>
      </c>
      <c r="X10" s="14">
        <f>20800*2</f>
        <v>41600</v>
      </c>
      <c r="Y10" s="14">
        <v>0</v>
      </c>
      <c r="Z10" s="13">
        <f t="shared" si="1"/>
        <v>186348.4192</v>
      </c>
      <c r="AA10" s="13"/>
      <c r="AB10" s="14">
        <v>0</v>
      </c>
      <c r="AC10" s="14">
        <v>0</v>
      </c>
      <c r="AD10" s="14">
        <v>0</v>
      </c>
      <c r="AF10" s="11">
        <v>37020</v>
      </c>
      <c r="AG10" s="12">
        <f>240000+38000</f>
        <v>278000</v>
      </c>
      <c r="AH10" s="12"/>
      <c r="AJ10" s="15">
        <f t="shared" si="0"/>
        <v>37020</v>
      </c>
      <c r="AK10" s="12"/>
      <c r="AL10" s="12"/>
      <c r="AM10" s="12"/>
    </row>
    <row r="11" spans="1:39" x14ac:dyDescent="0.2">
      <c r="A11" s="25" t="s">
        <v>24</v>
      </c>
      <c r="B11" s="26">
        <v>0</v>
      </c>
      <c r="C11" s="14"/>
      <c r="D11" s="25" t="s">
        <v>31</v>
      </c>
      <c r="E11" s="26">
        <v>-20000</v>
      </c>
      <c r="G11" s="12"/>
      <c r="H11" s="12"/>
      <c r="R11" s="13"/>
      <c r="W11" s="11">
        <v>37021</v>
      </c>
      <c r="X11" s="14">
        <v>0</v>
      </c>
      <c r="Y11" s="14">
        <v>0</v>
      </c>
      <c r="Z11" s="13">
        <f t="shared" si="1"/>
        <v>186348.4192</v>
      </c>
      <c r="AA11" s="13"/>
      <c r="AB11" s="14">
        <v>0</v>
      </c>
      <c r="AC11" s="14">
        <v>0</v>
      </c>
      <c r="AD11" s="14">
        <v>0</v>
      </c>
      <c r="AF11" s="11">
        <v>37021</v>
      </c>
      <c r="AG11" s="12">
        <f>240000+38000</f>
        <v>278000</v>
      </c>
      <c r="AH11" s="12"/>
      <c r="AJ11" s="15">
        <f t="shared" si="0"/>
        <v>37021</v>
      </c>
      <c r="AK11" s="12"/>
      <c r="AL11" s="12"/>
      <c r="AM11" s="12"/>
    </row>
    <row r="12" spans="1:39" x14ac:dyDescent="0.2">
      <c r="A12" s="25" t="s">
        <v>29</v>
      </c>
      <c r="B12" s="26">
        <f>-103082-54918+8000</f>
        <v>-150000</v>
      </c>
      <c r="C12" s="14"/>
      <c r="D12" s="43" t="s">
        <v>56</v>
      </c>
      <c r="E12" s="41">
        <v>0</v>
      </c>
      <c r="G12" s="12" t="s">
        <v>17</v>
      </c>
      <c r="H12" s="12"/>
      <c r="R12" s="13"/>
      <c r="W12" s="11">
        <v>37022</v>
      </c>
      <c r="X12" s="14">
        <v>0</v>
      </c>
      <c r="Y12" s="14">
        <v>0</v>
      </c>
      <c r="Z12" s="13">
        <f t="shared" si="1"/>
        <v>186348.4192</v>
      </c>
      <c r="AA12" s="13"/>
      <c r="AB12" s="14">
        <v>0</v>
      </c>
      <c r="AC12" s="14">
        <v>0</v>
      </c>
      <c r="AD12" s="14">
        <v>0</v>
      </c>
      <c r="AF12" s="11">
        <v>37022</v>
      </c>
      <c r="AG12" s="12">
        <f>215000+37000</f>
        <v>252000</v>
      </c>
      <c r="AH12" s="12"/>
      <c r="AJ12" s="15">
        <f t="shared" si="0"/>
        <v>37022</v>
      </c>
      <c r="AK12" s="12"/>
      <c r="AL12" s="12"/>
      <c r="AM12" s="12"/>
    </row>
    <row r="13" spans="1:39" ht="13.5" thickBot="1" x14ac:dyDescent="0.25">
      <c r="A13" s="25" t="s">
        <v>62</v>
      </c>
      <c r="B13" s="26">
        <v>0</v>
      </c>
      <c r="C13" s="1"/>
      <c r="D13" s="25" t="s">
        <v>32</v>
      </c>
      <c r="E13" s="26">
        <v>-15254</v>
      </c>
      <c r="G13" s="12"/>
      <c r="H13" s="12"/>
      <c r="R13" s="13"/>
      <c r="W13" s="11">
        <v>37023</v>
      </c>
      <c r="X13" s="14">
        <v>0</v>
      </c>
      <c r="Y13" s="14">
        <v>0</v>
      </c>
      <c r="Z13" s="13">
        <f t="shared" si="1"/>
        <v>186348.4192</v>
      </c>
      <c r="AA13" s="13"/>
      <c r="AB13" s="14">
        <v>0</v>
      </c>
      <c r="AC13" s="14">
        <v>0</v>
      </c>
      <c r="AD13" s="14">
        <v>0</v>
      </c>
      <c r="AF13" s="11">
        <v>37023</v>
      </c>
      <c r="AG13" s="12">
        <f>210000+36000</f>
        <v>246000</v>
      </c>
      <c r="AH13" s="12"/>
      <c r="AJ13" s="15">
        <f t="shared" si="0"/>
        <v>37023</v>
      </c>
      <c r="AK13" s="12"/>
      <c r="AL13" s="12"/>
      <c r="AM13" s="12"/>
    </row>
    <row r="14" spans="1:39" ht="13.5" thickBot="1" x14ac:dyDescent="0.25">
      <c r="A14" s="25" t="s">
        <v>19</v>
      </c>
      <c r="B14" s="26">
        <v>0</v>
      </c>
      <c r="C14" s="14"/>
      <c r="D14" s="33" t="s">
        <v>33</v>
      </c>
      <c r="E14" s="34">
        <f>SUM(E6:E13)</f>
        <v>-80594</v>
      </c>
      <c r="G14" s="12"/>
      <c r="H14" s="12"/>
      <c r="L14" s="12"/>
      <c r="R14" s="13"/>
      <c r="W14" s="11">
        <v>37024</v>
      </c>
      <c r="X14" s="14">
        <v>0</v>
      </c>
      <c r="Y14" s="14">
        <v>0</v>
      </c>
      <c r="Z14" s="13">
        <f t="shared" si="1"/>
        <v>186348.4192</v>
      </c>
      <c r="AA14" s="13"/>
      <c r="AB14" s="14">
        <v>0</v>
      </c>
      <c r="AC14" s="14">
        <v>0</v>
      </c>
      <c r="AD14" s="14">
        <v>0</v>
      </c>
      <c r="AF14" s="11">
        <v>37024</v>
      </c>
      <c r="AG14" s="12">
        <f>215000+37000</f>
        <v>252000</v>
      </c>
      <c r="AH14" s="12"/>
      <c r="AJ14" s="15">
        <f t="shared" si="0"/>
        <v>37024</v>
      </c>
      <c r="AK14" s="12"/>
      <c r="AL14" s="12"/>
      <c r="AM14" s="12"/>
    </row>
    <row r="15" spans="1:39" x14ac:dyDescent="0.2">
      <c r="A15" s="25" t="s">
        <v>27</v>
      </c>
      <c r="B15" s="26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v>37025</v>
      </c>
      <c r="X15" s="14">
        <v>0</v>
      </c>
      <c r="Y15" s="14">
        <v>0</v>
      </c>
      <c r="Z15" s="13">
        <f t="shared" si="1"/>
        <v>186348.4192</v>
      </c>
      <c r="AA15" s="13"/>
      <c r="AB15" s="14">
        <v>0</v>
      </c>
      <c r="AC15" s="14">
        <v>0</v>
      </c>
      <c r="AD15" s="14">
        <v>0</v>
      </c>
      <c r="AF15" s="11">
        <v>37025</v>
      </c>
      <c r="AG15" s="12">
        <f>220000+38000</f>
        <v>258000</v>
      </c>
      <c r="AH15" s="12"/>
      <c r="AJ15" s="15">
        <f t="shared" si="0"/>
        <v>37025</v>
      </c>
      <c r="AK15" s="12"/>
      <c r="AL15" s="12"/>
      <c r="AM15" s="12"/>
    </row>
    <row r="16" spans="1:39" x14ac:dyDescent="0.2">
      <c r="A16" s="25" t="s">
        <v>61</v>
      </c>
      <c r="B16" s="26">
        <v>-40000</v>
      </c>
      <c r="C16" s="14"/>
      <c r="D16" s="25" t="s">
        <v>38</v>
      </c>
      <c r="E16" s="26">
        <v>22875</v>
      </c>
      <c r="G16" s="12"/>
      <c r="H16" s="12"/>
      <c r="L16" s="12"/>
      <c r="R16" s="13"/>
      <c r="W16" s="11">
        <v>37026</v>
      </c>
      <c r="X16" s="14">
        <v>0</v>
      </c>
      <c r="Y16" s="14">
        <v>0</v>
      </c>
      <c r="Z16" s="13">
        <f t="shared" si="1"/>
        <v>186348.4192</v>
      </c>
      <c r="AA16" s="13"/>
      <c r="AB16" s="14">
        <v>0</v>
      </c>
      <c r="AC16" s="14">
        <v>0</v>
      </c>
      <c r="AD16" s="14">
        <v>0</v>
      </c>
      <c r="AF16" s="11">
        <v>37026</v>
      </c>
      <c r="AG16" s="12"/>
      <c r="AH16" s="12"/>
      <c r="AJ16" s="15">
        <f t="shared" ref="AJ16:AJ32" si="2">+AF16</f>
        <v>37026</v>
      </c>
      <c r="AK16" s="12"/>
      <c r="AL16" s="12"/>
      <c r="AM16" s="12"/>
    </row>
    <row r="17" spans="1:39" x14ac:dyDescent="0.2">
      <c r="A17" s="25" t="s">
        <v>32</v>
      </c>
      <c r="B17" s="41">
        <v>0</v>
      </c>
      <c r="C17" s="14"/>
      <c r="D17" s="25" t="s">
        <v>39</v>
      </c>
      <c r="E17" s="26">
        <v>10000</v>
      </c>
      <c r="G17" s="12"/>
      <c r="H17" s="12"/>
      <c r="L17" s="12"/>
      <c r="R17" s="13"/>
      <c r="W17" s="11">
        <v>37027</v>
      </c>
      <c r="X17" s="14">
        <v>0</v>
      </c>
      <c r="Y17" s="14">
        <v>0</v>
      </c>
      <c r="Z17" s="13">
        <f t="shared" si="1"/>
        <v>186348.4192</v>
      </c>
      <c r="AA17" s="13"/>
      <c r="AB17" s="14">
        <v>0</v>
      </c>
      <c r="AC17" s="14">
        <v>0</v>
      </c>
      <c r="AD17" s="14">
        <v>0</v>
      </c>
      <c r="AF17" s="11">
        <v>37027</v>
      </c>
      <c r="AG17" s="12"/>
      <c r="AH17" s="12"/>
      <c r="AJ17" s="15">
        <f t="shared" si="2"/>
        <v>37027</v>
      </c>
      <c r="AK17" s="12"/>
      <c r="AL17" s="12"/>
      <c r="AM17" s="12"/>
    </row>
    <row r="18" spans="1:39" x14ac:dyDescent="0.2">
      <c r="A18" s="25" t="s">
        <v>34</v>
      </c>
      <c r="B18" s="26">
        <v>0</v>
      </c>
      <c r="D18" s="25" t="s">
        <v>40</v>
      </c>
      <c r="E18" s="26">
        <v>7603</v>
      </c>
      <c r="F18" s="14" t="s">
        <v>17</v>
      </c>
      <c r="G18" s="12"/>
      <c r="H18" s="12"/>
      <c r="L18" s="12"/>
      <c r="R18" s="13"/>
      <c r="W18" s="11">
        <v>37028</v>
      </c>
      <c r="X18" s="14">
        <v>0</v>
      </c>
      <c r="Y18" s="14">
        <v>0</v>
      </c>
      <c r="Z18" s="13">
        <f t="shared" si="1"/>
        <v>186348.4192</v>
      </c>
      <c r="AA18" s="13"/>
      <c r="AB18" s="14">
        <v>0</v>
      </c>
      <c r="AC18" s="14">
        <v>0</v>
      </c>
      <c r="AD18" s="14">
        <v>0</v>
      </c>
      <c r="AF18" s="11">
        <v>37028</v>
      </c>
      <c r="AG18" s="12"/>
      <c r="AH18" s="12"/>
      <c r="AJ18" s="15">
        <f t="shared" si="2"/>
        <v>37028</v>
      </c>
      <c r="AK18" s="12"/>
      <c r="AL18" s="12"/>
      <c r="AM18" s="12"/>
    </row>
    <row r="19" spans="1:39" x14ac:dyDescent="0.2">
      <c r="A19" s="25" t="s">
        <v>30</v>
      </c>
      <c r="B19" s="26">
        <v>-70000</v>
      </c>
      <c r="C19" s="42"/>
      <c r="D19" s="25" t="s">
        <v>41</v>
      </c>
      <c r="E19" s="26">
        <v>20831</v>
      </c>
      <c r="G19" s="12"/>
      <c r="H19" s="12"/>
      <c r="L19" s="12"/>
      <c r="R19" s="13"/>
      <c r="W19" s="11">
        <v>37029</v>
      </c>
      <c r="X19" s="14">
        <v>0</v>
      </c>
      <c r="Y19" s="14">
        <v>0</v>
      </c>
      <c r="Z19" s="13">
        <f t="shared" si="1"/>
        <v>186348.4192</v>
      </c>
      <c r="AA19" s="13"/>
      <c r="AB19" s="14">
        <v>0</v>
      </c>
      <c r="AC19" s="14">
        <v>0</v>
      </c>
      <c r="AD19" s="14">
        <v>0</v>
      </c>
      <c r="AF19" s="11">
        <v>37029</v>
      </c>
      <c r="AG19" s="12"/>
      <c r="AH19" s="12"/>
      <c r="AJ19" s="15">
        <f t="shared" si="2"/>
        <v>37029</v>
      </c>
      <c r="AK19" s="12"/>
      <c r="AL19" s="12"/>
      <c r="AM19" s="12"/>
    </row>
    <row r="20" spans="1:39" x14ac:dyDescent="0.2">
      <c r="A20" s="25" t="s">
        <v>50</v>
      </c>
      <c r="B20" s="26">
        <v>0</v>
      </c>
      <c r="C20" s="14"/>
      <c r="D20" s="25" t="s">
        <v>46</v>
      </c>
      <c r="E20" s="26">
        <v>0</v>
      </c>
      <c r="G20" s="12"/>
      <c r="H20" s="12"/>
      <c r="R20" s="13"/>
      <c r="W20" s="11">
        <v>37030</v>
      </c>
      <c r="X20" s="14">
        <v>0</v>
      </c>
      <c r="Y20" s="14">
        <v>0</v>
      </c>
      <c r="Z20" s="13">
        <f t="shared" si="1"/>
        <v>186348.4192</v>
      </c>
      <c r="AA20" s="13"/>
      <c r="AB20" s="14">
        <v>0</v>
      </c>
      <c r="AC20" s="14">
        <v>0</v>
      </c>
      <c r="AD20" s="14">
        <v>0</v>
      </c>
      <c r="AF20" s="11">
        <v>37030</v>
      </c>
      <c r="AG20" s="12"/>
      <c r="AH20" s="12"/>
      <c r="AJ20" s="15">
        <f t="shared" si="2"/>
        <v>37030</v>
      </c>
      <c r="AK20" s="12"/>
      <c r="AL20" s="12"/>
      <c r="AM20" s="12"/>
    </row>
    <row r="21" spans="1:39" x14ac:dyDescent="0.2">
      <c r="A21" s="25" t="s">
        <v>51</v>
      </c>
      <c r="B21" s="26">
        <v>0</v>
      </c>
      <c r="C21" s="14"/>
      <c r="D21" s="25" t="s">
        <v>60</v>
      </c>
      <c r="E21" s="26">
        <v>4340</v>
      </c>
      <c r="G21" s="12"/>
      <c r="H21" s="12"/>
      <c r="R21" s="13"/>
      <c r="W21" s="11">
        <v>37031</v>
      </c>
      <c r="X21" s="14">
        <v>0</v>
      </c>
      <c r="Y21" s="14">
        <v>0</v>
      </c>
      <c r="Z21" s="13">
        <f t="shared" si="1"/>
        <v>186348.4192</v>
      </c>
      <c r="AA21" s="13"/>
      <c r="AB21" s="14">
        <v>0</v>
      </c>
      <c r="AC21" s="14">
        <v>0</v>
      </c>
      <c r="AD21" s="14">
        <v>0</v>
      </c>
      <c r="AF21" s="11">
        <v>37031</v>
      </c>
      <c r="AG21" s="12"/>
      <c r="AH21" s="12"/>
      <c r="AJ21" s="15">
        <f t="shared" si="2"/>
        <v>37031</v>
      </c>
      <c r="AK21" s="12"/>
      <c r="AL21" s="12"/>
      <c r="AM21" s="12"/>
    </row>
    <row r="22" spans="1:39" x14ac:dyDescent="0.2">
      <c r="A22" s="25" t="s">
        <v>35</v>
      </c>
      <c r="B22" s="26">
        <v>-29198</v>
      </c>
      <c r="D22" s="25" t="s">
        <v>70</v>
      </c>
      <c r="E22" s="26">
        <v>6945</v>
      </c>
      <c r="G22" s="12"/>
      <c r="H22" s="12"/>
      <c r="R22" s="13"/>
      <c r="W22" s="11">
        <v>37032</v>
      </c>
      <c r="X22" s="14">
        <v>0</v>
      </c>
      <c r="Y22" s="14">
        <v>0</v>
      </c>
      <c r="Z22" s="13">
        <f t="shared" si="1"/>
        <v>186348.4192</v>
      </c>
      <c r="AA22" s="13"/>
      <c r="AB22" s="14">
        <v>0</v>
      </c>
      <c r="AC22" s="14">
        <v>0</v>
      </c>
      <c r="AD22" s="14">
        <v>0</v>
      </c>
      <c r="AF22" s="11">
        <v>37032</v>
      </c>
      <c r="AG22" s="12"/>
      <c r="AH22" s="12"/>
      <c r="AJ22" s="15">
        <f t="shared" si="2"/>
        <v>37032</v>
      </c>
      <c r="AK22" s="12"/>
      <c r="AL22" s="12"/>
      <c r="AM22" s="12"/>
    </row>
    <row r="23" spans="1:39" x14ac:dyDescent="0.2">
      <c r="A23" s="25" t="s">
        <v>29</v>
      </c>
      <c r="B23" s="41">
        <v>0</v>
      </c>
      <c r="C23" s="14" t="s">
        <v>17</v>
      </c>
      <c r="D23" s="25" t="s">
        <v>61</v>
      </c>
      <c r="E23" s="41">
        <v>0</v>
      </c>
      <c r="F23" s="14"/>
      <c r="G23" s="12"/>
      <c r="H23" s="12"/>
      <c r="L23" s="2">
        <v>0.32</v>
      </c>
      <c r="R23" s="13"/>
      <c r="W23" s="11">
        <v>37033</v>
      </c>
      <c r="X23" s="14">
        <v>0</v>
      </c>
      <c r="Y23" s="14">
        <v>0</v>
      </c>
      <c r="Z23" s="13">
        <f t="shared" si="1"/>
        <v>186348.4192</v>
      </c>
      <c r="AA23" s="13"/>
      <c r="AB23" s="14">
        <v>0</v>
      </c>
      <c r="AC23" s="14">
        <v>0</v>
      </c>
      <c r="AD23" s="14">
        <v>0</v>
      </c>
      <c r="AF23" s="11">
        <v>37033</v>
      </c>
      <c r="AG23" s="12"/>
      <c r="AH23" s="12"/>
      <c r="AJ23" s="15">
        <f t="shared" si="2"/>
        <v>37033</v>
      </c>
      <c r="AK23" s="12"/>
      <c r="AL23" s="12"/>
      <c r="AM23" s="12"/>
    </row>
    <row r="24" spans="1:39" x14ac:dyDescent="0.2">
      <c r="A24" s="25" t="s">
        <v>68</v>
      </c>
      <c r="B24" s="41">
        <v>0</v>
      </c>
      <c r="D24" s="25" t="s">
        <v>32</v>
      </c>
      <c r="E24" s="41">
        <v>0</v>
      </c>
      <c r="G24" s="12"/>
      <c r="H24" s="12"/>
      <c r="R24" s="13"/>
      <c r="W24" s="11">
        <v>37034</v>
      </c>
      <c r="X24" s="14">
        <v>0</v>
      </c>
      <c r="Y24" s="14">
        <v>0</v>
      </c>
      <c r="Z24" s="13">
        <f t="shared" si="1"/>
        <v>186348.4192</v>
      </c>
      <c r="AA24" s="13"/>
      <c r="AB24" s="14">
        <v>0</v>
      </c>
      <c r="AC24" s="14">
        <v>0</v>
      </c>
      <c r="AD24" s="14">
        <v>0</v>
      </c>
      <c r="AF24" s="11">
        <v>37034</v>
      </c>
      <c r="AG24" s="12"/>
      <c r="AH24" s="12"/>
      <c r="AJ24" s="15">
        <f t="shared" si="2"/>
        <v>37034</v>
      </c>
      <c r="AK24" s="12"/>
      <c r="AL24" s="12"/>
      <c r="AM24" s="12"/>
    </row>
    <row r="25" spans="1:39" x14ac:dyDescent="0.2">
      <c r="A25" s="25" t="s">
        <v>36</v>
      </c>
      <c r="B25" s="26">
        <v>0</v>
      </c>
      <c r="D25" s="25" t="s">
        <v>29</v>
      </c>
      <c r="E25" s="41">
        <v>8000</v>
      </c>
      <c r="G25" s="12"/>
      <c r="H25" s="12"/>
      <c r="R25" s="13"/>
      <c r="W25" s="11">
        <v>37035</v>
      </c>
      <c r="X25" s="14">
        <v>0</v>
      </c>
      <c r="Y25" s="14">
        <v>0</v>
      </c>
      <c r="Z25" s="13">
        <f t="shared" si="1"/>
        <v>186348.4192</v>
      </c>
      <c r="AA25" s="13"/>
      <c r="AB25" s="14">
        <v>0</v>
      </c>
      <c r="AC25" s="14">
        <v>0</v>
      </c>
      <c r="AD25" s="14">
        <v>0</v>
      </c>
      <c r="AF25" s="11">
        <v>37035</v>
      </c>
      <c r="AG25" s="12"/>
      <c r="AH25" s="12"/>
      <c r="AJ25" s="15">
        <f t="shared" si="2"/>
        <v>37035</v>
      </c>
      <c r="AK25" s="12"/>
      <c r="AL25" s="12"/>
      <c r="AM25" s="12"/>
    </row>
    <row r="26" spans="1:39" x14ac:dyDescent="0.2">
      <c r="A26" s="25" t="s">
        <v>37</v>
      </c>
      <c r="B26" s="26">
        <v>0</v>
      </c>
      <c r="D26" s="25" t="s">
        <v>56</v>
      </c>
      <c r="E26" s="41">
        <v>0</v>
      </c>
      <c r="G26" s="12"/>
      <c r="H26" s="12"/>
      <c r="R26" s="13"/>
      <c r="W26" s="11">
        <v>37036</v>
      </c>
      <c r="X26" s="14">
        <v>0</v>
      </c>
      <c r="Y26" s="14">
        <v>0</v>
      </c>
      <c r="Z26" s="13">
        <f t="shared" si="1"/>
        <v>186348.4192</v>
      </c>
      <c r="AA26" s="13"/>
      <c r="AB26" s="14">
        <v>0</v>
      </c>
      <c r="AC26" s="14">
        <v>0</v>
      </c>
      <c r="AD26" s="14">
        <v>0</v>
      </c>
      <c r="AF26" s="11">
        <v>37036</v>
      </c>
      <c r="AG26" s="12"/>
      <c r="AH26" s="12"/>
      <c r="AJ26" s="15">
        <f t="shared" si="2"/>
        <v>37036</v>
      </c>
      <c r="AK26" s="12"/>
      <c r="AL26" s="12"/>
      <c r="AM26" s="12"/>
    </row>
    <row r="27" spans="1:39" ht="13.5" thickBot="1" x14ac:dyDescent="0.25">
      <c r="A27" s="25" t="s">
        <v>67</v>
      </c>
      <c r="B27" s="26">
        <v>-33484</v>
      </c>
      <c r="C27" s="14"/>
      <c r="D27" s="25" t="s">
        <v>58</v>
      </c>
      <c r="E27" s="41">
        <v>0</v>
      </c>
      <c r="G27" s="12"/>
      <c r="H27" s="12"/>
      <c r="R27" s="13"/>
      <c r="W27" s="11">
        <v>37037</v>
      </c>
      <c r="X27" s="14">
        <v>0</v>
      </c>
      <c r="Y27" s="14">
        <v>0</v>
      </c>
      <c r="Z27" s="13">
        <f t="shared" si="1"/>
        <v>186348.4192</v>
      </c>
      <c r="AA27" s="13"/>
      <c r="AB27" s="14">
        <v>0</v>
      </c>
      <c r="AC27" s="14">
        <v>0</v>
      </c>
      <c r="AD27" s="14">
        <v>0</v>
      </c>
      <c r="AF27" s="11">
        <v>37037</v>
      </c>
      <c r="AG27" s="12"/>
      <c r="AH27" s="12"/>
      <c r="AJ27" s="15">
        <f t="shared" si="2"/>
        <v>37037</v>
      </c>
      <c r="AK27" s="12"/>
      <c r="AL27" s="12"/>
      <c r="AM27" s="12"/>
    </row>
    <row r="28" spans="1:39" ht="13.5" thickBot="1" x14ac:dyDescent="0.25">
      <c r="A28" s="33" t="s">
        <v>33</v>
      </c>
      <c r="B28" s="34">
        <f>SUM(B6:B27)</f>
        <v>-587682</v>
      </c>
      <c r="C28" s="14">
        <f>SUM(B28,B57)</f>
        <v>0</v>
      </c>
      <c r="D28" s="25" t="s">
        <v>42</v>
      </c>
      <c r="E28" s="26">
        <v>0</v>
      </c>
      <c r="G28" s="12"/>
      <c r="H28" s="12"/>
      <c r="R28" s="13"/>
      <c r="W28" s="11">
        <v>37038</v>
      </c>
      <c r="X28" s="14">
        <v>0</v>
      </c>
      <c r="Y28" s="14">
        <v>0</v>
      </c>
      <c r="Z28" s="13">
        <f t="shared" si="1"/>
        <v>186348.4192</v>
      </c>
      <c r="AA28" s="13"/>
      <c r="AB28" s="14">
        <v>0</v>
      </c>
      <c r="AC28" s="14">
        <v>0</v>
      </c>
      <c r="AD28" s="14">
        <v>0</v>
      </c>
      <c r="AF28" s="11">
        <v>37038</v>
      </c>
      <c r="AG28" s="12"/>
      <c r="AH28" s="12"/>
      <c r="AJ28" s="15">
        <f t="shared" si="2"/>
        <v>37038</v>
      </c>
      <c r="AK28" s="12"/>
      <c r="AL28" s="12"/>
      <c r="AM28" s="12"/>
    </row>
    <row r="29" spans="1:39" ht="13.5" thickBot="1" x14ac:dyDescent="0.25">
      <c r="A29" s="25"/>
      <c r="B29" s="41"/>
      <c r="C29" s="14"/>
      <c r="D29" s="33" t="s">
        <v>43</v>
      </c>
      <c r="E29" s="34">
        <f>SUM(E16:E28)</f>
        <v>80594</v>
      </c>
      <c r="G29" s="12"/>
      <c r="H29" s="12"/>
      <c r="R29" s="13"/>
      <c r="W29" s="11">
        <v>37039</v>
      </c>
      <c r="X29" s="14">
        <v>0</v>
      </c>
      <c r="Y29" s="14">
        <v>0</v>
      </c>
      <c r="Z29" s="13">
        <f t="shared" si="1"/>
        <v>186348.4192</v>
      </c>
      <c r="AA29" s="13"/>
      <c r="AB29" s="14">
        <v>0</v>
      </c>
      <c r="AC29" s="14">
        <v>0</v>
      </c>
      <c r="AD29" s="14">
        <v>0</v>
      </c>
      <c r="AF29" s="11">
        <v>37039</v>
      </c>
      <c r="AG29" s="12"/>
      <c r="AH29" s="12"/>
      <c r="AJ29" s="15">
        <f t="shared" si="2"/>
        <v>37039</v>
      </c>
      <c r="AK29" s="12"/>
      <c r="AL29" s="12"/>
      <c r="AM29" s="12"/>
    </row>
    <row r="30" spans="1:39" ht="13.5" thickBot="1" x14ac:dyDescent="0.25">
      <c r="A30" s="25" t="s">
        <v>38</v>
      </c>
      <c r="B30" s="41">
        <v>103081</v>
      </c>
      <c r="C30" s="14"/>
      <c r="D30" s="30"/>
      <c r="E30" s="36"/>
      <c r="F30" s="14"/>
      <c r="G30" s="12"/>
      <c r="H30" s="12"/>
      <c r="W30" s="11">
        <v>37040</v>
      </c>
      <c r="X30" s="14">
        <v>0</v>
      </c>
      <c r="Y30" s="14">
        <v>0</v>
      </c>
      <c r="Z30" s="13">
        <f t="shared" si="1"/>
        <v>186348.4192</v>
      </c>
      <c r="AA30" s="13"/>
      <c r="AB30" s="14">
        <v>0</v>
      </c>
      <c r="AC30" s="14">
        <v>0</v>
      </c>
      <c r="AD30" s="14">
        <v>0</v>
      </c>
      <c r="AF30" s="11">
        <v>37040</v>
      </c>
      <c r="AG30" s="12"/>
      <c r="AH30" s="12"/>
      <c r="AJ30" s="15">
        <f t="shared" si="2"/>
        <v>37040</v>
      </c>
      <c r="AK30" s="12"/>
      <c r="AL30" s="12"/>
      <c r="AM30" s="12"/>
    </row>
    <row r="31" spans="1:39" x14ac:dyDescent="0.2">
      <c r="A31" s="25" t="s">
        <v>39</v>
      </c>
      <c r="B31" s="41">
        <v>125000</v>
      </c>
      <c r="C31" s="14"/>
      <c r="E31" s="12"/>
      <c r="G31" s="12"/>
      <c r="H31" s="12"/>
      <c r="W31" s="11">
        <v>37041</v>
      </c>
      <c r="X31" s="14">
        <v>0</v>
      </c>
      <c r="Y31" s="14">
        <v>0</v>
      </c>
      <c r="Z31" s="13">
        <f t="shared" si="1"/>
        <v>186348.4192</v>
      </c>
      <c r="AA31" s="13"/>
      <c r="AB31" s="14">
        <v>0</v>
      </c>
      <c r="AC31" s="14">
        <v>0</v>
      </c>
      <c r="AD31" s="14">
        <v>0</v>
      </c>
      <c r="AF31" s="11">
        <v>37041</v>
      </c>
      <c r="AG31" s="12"/>
      <c r="AH31" s="58"/>
      <c r="AJ31" s="15">
        <f t="shared" si="2"/>
        <v>37041</v>
      </c>
      <c r="AK31" s="12"/>
      <c r="AL31" s="12"/>
      <c r="AM31" s="12"/>
    </row>
    <row r="32" spans="1:39" x14ac:dyDescent="0.2">
      <c r="A32" s="25" t="s">
        <v>40</v>
      </c>
      <c r="B32" s="41">
        <v>0</v>
      </c>
      <c r="E32" s="12"/>
      <c r="G32" s="12"/>
      <c r="H32" s="12"/>
      <c r="W32" s="11">
        <v>37042</v>
      </c>
      <c r="X32" s="14">
        <v>0</v>
      </c>
      <c r="Y32" s="14">
        <v>0</v>
      </c>
      <c r="Z32" s="13">
        <f t="shared" si="1"/>
        <v>186348.4192</v>
      </c>
      <c r="AA32" s="13"/>
      <c r="AB32" s="14">
        <v>0</v>
      </c>
      <c r="AC32" s="14">
        <v>0</v>
      </c>
      <c r="AD32" s="14">
        <v>0</v>
      </c>
      <c r="AF32" s="11">
        <v>37042</v>
      </c>
      <c r="AG32" s="12"/>
      <c r="AH32" s="12"/>
      <c r="AJ32" s="15">
        <f t="shared" si="2"/>
        <v>37042</v>
      </c>
      <c r="AK32" s="12"/>
      <c r="AL32" s="12"/>
      <c r="AM32" s="12"/>
    </row>
    <row r="33" spans="1:39" x14ac:dyDescent="0.2">
      <c r="A33" s="25" t="s">
        <v>41</v>
      </c>
      <c r="B33" s="41">
        <v>176309</v>
      </c>
      <c r="D33" s="61"/>
      <c r="G33" s="12"/>
      <c r="H33" s="12"/>
      <c r="AF33" s="11"/>
      <c r="AG33" s="12"/>
      <c r="AJ33" s="15"/>
      <c r="AK33" s="12"/>
      <c r="AL33" s="12"/>
      <c r="AM33" s="12"/>
    </row>
    <row r="34" spans="1:39" x14ac:dyDescent="0.2">
      <c r="A34" s="25" t="s">
        <v>75</v>
      </c>
      <c r="B34" s="41">
        <v>29198</v>
      </c>
      <c r="C34" s="14"/>
      <c r="G34" s="12"/>
      <c r="H34" s="12"/>
      <c r="W34" s="11"/>
      <c r="AF34" s="11"/>
      <c r="AG34" s="12"/>
      <c r="AJ34" s="15"/>
      <c r="AK34" s="12"/>
      <c r="AL34" s="12"/>
      <c r="AM34" s="12"/>
    </row>
    <row r="35" spans="1:39" x14ac:dyDescent="0.2">
      <c r="A35" s="25" t="s">
        <v>66</v>
      </c>
      <c r="B35" s="41">
        <v>0</v>
      </c>
      <c r="G35" s="12"/>
      <c r="H35" s="12"/>
      <c r="W35" s="11"/>
      <c r="AF35" s="11"/>
      <c r="AJ35" s="15"/>
      <c r="AK35" s="12"/>
      <c r="AL35" s="12"/>
      <c r="AM35" s="12"/>
    </row>
    <row r="36" spans="1:39" x14ac:dyDescent="0.2">
      <c r="A36" s="25" t="s">
        <v>72</v>
      </c>
      <c r="B36" s="41">
        <v>0</v>
      </c>
      <c r="G36" s="12"/>
      <c r="H36" s="12"/>
      <c r="W36" s="11"/>
      <c r="AF36" s="11"/>
      <c r="AJ36" s="15"/>
      <c r="AK36" s="12"/>
      <c r="AL36" s="12"/>
      <c r="AM36" s="12"/>
    </row>
    <row r="37" spans="1:39" x14ac:dyDescent="0.2">
      <c r="A37" s="25" t="s">
        <v>57</v>
      </c>
      <c r="B37" s="41">
        <v>0</v>
      </c>
      <c r="D37" s="60"/>
      <c r="G37" s="12"/>
      <c r="H37" s="12"/>
      <c r="W37" s="11"/>
      <c r="AL37" s="12"/>
      <c r="AM37" s="12"/>
    </row>
    <row r="38" spans="1:39" x14ac:dyDescent="0.2">
      <c r="A38" s="25" t="s">
        <v>58</v>
      </c>
      <c r="B38" s="41">
        <v>20838</v>
      </c>
      <c r="D38" s="59"/>
      <c r="E38" s="14"/>
      <c r="G38" s="12"/>
      <c r="H38" s="12"/>
      <c r="AL38" s="12"/>
      <c r="AM38" s="12"/>
    </row>
    <row r="39" spans="1:39" x14ac:dyDescent="0.2">
      <c r="A39" s="25" t="s">
        <v>19</v>
      </c>
      <c r="B39" s="41">
        <v>0</v>
      </c>
      <c r="G39" s="12"/>
      <c r="H39" s="12"/>
      <c r="AJ39" s="12"/>
      <c r="AK39" s="12"/>
      <c r="AL39" s="12"/>
      <c r="AM39" s="12"/>
    </row>
    <row r="40" spans="1:39" x14ac:dyDescent="0.2">
      <c r="A40" s="25" t="s">
        <v>24</v>
      </c>
      <c r="B40" s="57"/>
      <c r="G40" s="12"/>
      <c r="H40" s="12"/>
      <c r="AJ40" s="12"/>
      <c r="AK40" s="12"/>
      <c r="AL40" s="12"/>
      <c r="AM40" s="12"/>
    </row>
    <row r="41" spans="1:39" x14ac:dyDescent="0.2">
      <c r="A41" s="25" t="s">
        <v>65</v>
      </c>
      <c r="B41" s="41">
        <v>0</v>
      </c>
      <c r="G41" s="12"/>
      <c r="H41" s="12"/>
      <c r="AJ41" s="12"/>
      <c r="AK41" s="12"/>
      <c r="AL41" s="12"/>
      <c r="AM41" s="12"/>
    </row>
    <row r="42" spans="1:39" x14ac:dyDescent="0.2">
      <c r="A42" s="25" t="s">
        <v>29</v>
      </c>
      <c r="B42" s="41">
        <v>54918</v>
      </c>
      <c r="AJ42" s="12"/>
      <c r="AK42" s="12"/>
      <c r="AL42" s="12"/>
      <c r="AM42" s="12"/>
    </row>
    <row r="43" spans="1:39" x14ac:dyDescent="0.2">
      <c r="A43" s="25" t="s">
        <v>44</v>
      </c>
      <c r="B43" s="41">
        <v>0</v>
      </c>
      <c r="E43" s="12"/>
      <c r="AJ43" s="12"/>
      <c r="AK43" s="12"/>
      <c r="AL43" s="12"/>
      <c r="AM43" s="12"/>
    </row>
    <row r="44" spans="1:39" x14ac:dyDescent="0.2">
      <c r="A44" s="25" t="s">
        <v>45</v>
      </c>
      <c r="B44" s="41">
        <v>1000</v>
      </c>
      <c r="C44" s="14"/>
      <c r="E44" s="12"/>
    </row>
    <row r="45" spans="1:39" x14ac:dyDescent="0.2">
      <c r="A45" s="25" t="s">
        <v>46</v>
      </c>
      <c r="B45" s="41"/>
      <c r="E45" s="12"/>
    </row>
    <row r="46" spans="1:39" x14ac:dyDescent="0.2">
      <c r="A46" s="25" t="s">
        <v>61</v>
      </c>
      <c r="B46" s="41">
        <v>0</v>
      </c>
      <c r="C46" s="14"/>
      <c r="E46" s="12"/>
    </row>
    <row r="47" spans="1:39" x14ac:dyDescent="0.2">
      <c r="A47" s="25" t="s">
        <v>32</v>
      </c>
      <c r="B47" s="41">
        <v>0</v>
      </c>
    </row>
    <row r="48" spans="1:39" x14ac:dyDescent="0.2">
      <c r="A48" s="25" t="s">
        <v>34</v>
      </c>
      <c r="B48" s="41">
        <v>0</v>
      </c>
      <c r="E48" s="12"/>
    </row>
    <row r="49" spans="1:5" x14ac:dyDescent="0.2">
      <c r="A49" s="25" t="s">
        <v>47</v>
      </c>
      <c r="B49" s="41">
        <v>0</v>
      </c>
      <c r="C49" s="14" t="s">
        <v>17</v>
      </c>
      <c r="E49" s="12"/>
    </row>
    <row r="50" spans="1:5" x14ac:dyDescent="0.2">
      <c r="A50" s="25" t="s">
        <v>48</v>
      </c>
      <c r="B50" s="41">
        <v>0</v>
      </c>
      <c r="E50" s="12"/>
    </row>
    <row r="51" spans="1:5" x14ac:dyDescent="0.2">
      <c r="A51" s="25" t="s">
        <v>49</v>
      </c>
      <c r="B51" s="41">
        <v>0</v>
      </c>
      <c r="E51" s="12"/>
    </row>
    <row r="52" spans="1:5" x14ac:dyDescent="0.2">
      <c r="A52" s="25" t="s">
        <v>35</v>
      </c>
      <c r="B52" s="41">
        <v>0</v>
      </c>
      <c r="C52" s="14"/>
      <c r="E52" s="12"/>
    </row>
    <row r="53" spans="1:5" x14ac:dyDescent="0.2">
      <c r="A53" s="25" t="s">
        <v>73</v>
      </c>
      <c r="B53" s="41">
        <v>35000</v>
      </c>
      <c r="E53" s="12"/>
    </row>
    <row r="54" spans="1:5" x14ac:dyDescent="0.2">
      <c r="A54" s="25" t="s">
        <v>74</v>
      </c>
      <c r="B54" s="41">
        <v>42338</v>
      </c>
      <c r="C54" s="14"/>
      <c r="E54" s="12"/>
    </row>
    <row r="55" spans="1:5" x14ac:dyDescent="0.2">
      <c r="A55" s="25" t="s">
        <v>29</v>
      </c>
      <c r="B55" s="41">
        <v>0</v>
      </c>
      <c r="C55" s="14"/>
      <c r="E55" s="12"/>
    </row>
    <row r="56" spans="1:5" ht="13.5" thickBot="1" x14ac:dyDescent="0.25">
      <c r="A56" s="25" t="s">
        <v>42</v>
      </c>
      <c r="B56" s="41">
        <v>0</v>
      </c>
      <c r="C56" s="14"/>
      <c r="E56" s="12"/>
    </row>
    <row r="57" spans="1:5" ht="13.5" thickBot="1" x14ac:dyDescent="0.25">
      <c r="A57" s="33" t="s">
        <v>43</v>
      </c>
      <c r="B57" s="34">
        <f>SUM(B30:B56)</f>
        <v>587682</v>
      </c>
      <c r="C57" s="14"/>
      <c r="E57" s="12"/>
    </row>
    <row r="58" spans="1:5" ht="13.5" thickBot="1" x14ac:dyDescent="0.25">
      <c r="A58" s="30"/>
      <c r="B58" s="37"/>
    </row>
    <row r="59" spans="1:5" x14ac:dyDescent="0.2">
      <c r="A59" s="27"/>
      <c r="B59" s="27"/>
    </row>
  </sheetData>
  <phoneticPr fontId="0" type="noConversion"/>
  <pageMargins left="0.55000000000000004" right="0.3" top="1" bottom="0.5" header="0.5" footer="0.23"/>
  <pageSetup scale="44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WEEKEND</vt:lpstr>
      <vt:lpstr>DAILY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Jan Havlíček</cp:lastModifiedBy>
  <cp:lastPrinted>2000-11-30T23:59:26Z</cp:lastPrinted>
  <dcterms:created xsi:type="dcterms:W3CDTF">2000-09-26T13:26:15Z</dcterms:created>
  <dcterms:modified xsi:type="dcterms:W3CDTF">2023-09-10T17:20:21Z</dcterms:modified>
</cp:coreProperties>
</file>