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919E44-1092-41FF-A240-835D849E4601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<sst xmlns="http://schemas.openxmlformats.org/spreadsheetml/2006/main" count="2125" uniqueCount="804">
  <si>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</si>
  <si>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</si>
  <si>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</si>
  <si>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</si>
  <si>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</si>
  <si>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</si>
  <si>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</si>
  <si>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</si>
  <si>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</si>
  <si>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</si>
  <si>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</si>
  <si>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</si>
  <si>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</si>
  <si>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</si>
  <si>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</si>
  <si>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</si>
  <si>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</si>
  <si>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</si>
  <si>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</si>
  <si>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</si>
  <si>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</si>
  <si>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</si>
  <si>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</si>
  <si>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</si>
  <si>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</si>
  <si>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</si>
  <si>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</si>
  <si>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</si>
  <si>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</si>
  <si>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</si>
  <si>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</si>
  <si>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</si>
  <si>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</si>
  <si>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</si>
  <si>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</si>
  <si>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</si>
  <si>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</si>
  <si>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</si>
  <si>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</si>
  <si>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</si>
  <si>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</si>
  <si>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</si>
  <si>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</si>
  <si>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</si>
  <si>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</si>
  <si>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</si>
  <si>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</si>
  <si>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</si>
  <si>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</si>
  <si>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</si>
  <si>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</si>
  <si>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</si>
  <si>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</si>
  <si>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</si>
  <si>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</si>
  <si>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</si>
  <si>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</si>
  <si>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</si>
  <si>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</si>
  <si>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</si>
  <si>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</si>
  <si>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</si>
  <si>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</si>
  <si>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</si>
  <si>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</si>
  <si>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</si>
  <si>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</si>
  <si>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</si>
  <si>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</si>
  <si>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</si>
  <si>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</si>
  <si>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</si>
  <si>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</si>
  <si>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</si>
  <si>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</si>
  <si>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</si>
  <si>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</si>
  <si>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</si>
  <si>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</si>
  <si>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</si>
  <si>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</si>
  <si>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</si>
  <si>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</si>
  <si>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</si>
  <si>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</si>
  <si>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</si>
  <si>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</si>
  <si>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</si>
  <si>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</si>
  <si>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</si>
  <si>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</si>
  <si>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</si>
  <si>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</si>
  <si>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</si>
  <si>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</si>
  <si>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</si>
  <si>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</si>
  <si>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</si>
  <si>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</si>
  <si>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</si>
  <si>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</si>
  <si>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</si>
  <si>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</si>
  <si>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</si>
  <si>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</si>
  <si>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</si>
  <si>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</si>
  <si>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</si>
  <si>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</si>
  <si>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</si>
  <si>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</si>
  <si>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</si>
  <si>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</si>
  <si>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</si>
  <si>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</si>
  <si>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</si>
  <si>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</si>
  <si>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</si>
  <si>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</si>
  <si>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</si>
  <si>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</si>
  <si>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</si>
  <si>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</si>
  <si>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</si>
  <si>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</si>
  <si>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</si>
  <si>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</si>
  <si>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</si>
  <si>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</si>
  <si>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</si>
  <si>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</si>
  <si>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</si>
  <si>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</si>
  <si>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</si>
  <si>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</si>
  <si>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</si>
  <si>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</si>
  <si>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</si>
  <si>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</si>
  <si>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</si>
  <si>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</si>
  <si>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</si>
  <si>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</si>
  <si>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</si>
  <si>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</si>
  <si>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</si>
  <si>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</si>
  <si>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</si>
  <si>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</si>
  <si>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</si>
  <si>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</si>
  <si>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</si>
  <si>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</si>
  <si>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</si>
  <si>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</si>
  <si>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</si>
  <si>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</si>
  <si>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</si>
  <si>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</si>
  <si>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</si>
  <si>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</si>
  <si>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</si>
  <si>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</si>
  <si>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</si>
  <si>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</si>
  <si>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</si>
  <si>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</si>
  <si>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</si>
  <si>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</si>
  <si>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</si>
  <si>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</si>
  <si>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</si>
  <si>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</si>
  <si>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</si>
  <si>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</si>
  <si>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</si>
  <si>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</si>
  <si>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</si>
  <si>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</si>
  <si>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</si>
  <si>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</si>
  <si>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</si>
  <si>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</si>
  <si>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</si>
  <si>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</si>
  <si>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</si>
  <si>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</si>
  <si>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</si>
  <si>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</si>
  <si>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</si>
  <si>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</si>
  <si>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</si>
  <si>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</si>
  <si>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</si>
  <si>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</si>
  <si>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</si>
  <si>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</si>
  <si>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</si>
  <si>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</si>
  <si>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</si>
  <si>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</si>
  <si>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</si>
  <si>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</si>
  <si>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</si>
  <si>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</si>
  <si>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</si>
  <si>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</si>
  <si>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</si>
  <si>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</si>
  <si>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</si>
  <si>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</si>
  <si>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</si>
  <si>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</si>
  <si>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</si>
  <si>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</si>
  <si>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</si>
  <si>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</si>
  <si>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</si>
  <si>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</si>
  <si>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</si>
  <si>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</si>
  <si>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</si>
  <si>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</si>
  <si>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</si>
  <si>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</si>
  <si>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</si>
  <si>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</si>
  <si>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</si>
  <si>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</si>
  <si>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</si>
  <si>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</si>
  <si>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</si>
  <si>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</si>
  <si>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</si>
  <si>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</si>
  <si>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</si>
  <si>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</si>
  <si>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</si>
  <si>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</si>
  <si>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</si>
  <si>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</si>
  <si>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</si>
  <si>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</si>
  <si>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</si>
  <si>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</si>
  <si>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</si>
  <si>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</si>
  <si>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</si>
  <si>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</si>
  <si>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</si>
  <si>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</si>
  <si>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</si>
  <si>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</si>
  <si>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</si>
  <si>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</si>
  <si>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</si>
  <si>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</si>
  <si>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</si>
  <si>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</si>
  <si>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</si>
  <si>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</si>
  <si>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</si>
  <si>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</si>
  <si>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</si>
  <si>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</si>
  <si>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</si>
  <si>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</si>
  <si>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</si>
  <si>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</si>
  <si>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</si>
  <si>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</si>
  <si>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</si>
  <si>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</si>
  <si>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</si>
  <si>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</si>
  <si>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</si>
  <si>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</si>
  <si>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</si>
  <si>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</si>
  <si>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</si>
  <si>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</si>
  <si>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</si>
  <si>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</si>
  <si>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</si>
  <si>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</si>
  <si>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</si>
  <si>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</si>
  <si>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</si>
  <si>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</si>
  <si>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</si>
  <si>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</si>
  <si>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</si>
  <si>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</si>
  <si>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</si>
  <si>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</si>
  <si>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</si>
  <si>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</si>
  <si>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</si>
  <si>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</si>
  <si>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</si>
  <si>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</si>
  <si>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</si>
  <si>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</si>
  <si>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</si>
  <si>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</si>
  <si>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</si>
  <si>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</si>
  <si>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</si>
  <si>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</si>
  <si>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</si>
  <si>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</si>
  <si>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</si>
  <si>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</si>
  <si>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</si>
  <si>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</si>
  <si>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</si>
  <si>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</si>
  <si>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</si>
  <si>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</si>
  <si>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</si>
  <si>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</si>
  <si>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</si>
  <si>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</si>
  <si>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</si>
  <si>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</si>
  <si>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</si>
  <si>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</si>
  <si>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</si>
  <si>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</si>
  <si>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</si>
  <si>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</si>
  <si>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</si>
  <si>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</si>
  <si>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</si>
  <si>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</si>
  <si>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</si>
  <si>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</si>
  <si>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</si>
  <si>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</si>
  <si>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</si>
  <si>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</si>
  <si>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</si>
  <si>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</si>
  <si>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</si>
  <si>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</si>
  <si>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</si>
  <si>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</si>
  <si>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</si>
  <si>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</si>
  <si>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</si>
  <si>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</si>
  <si>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</si>
  <si>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</si>
  <si>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</si>
  <si>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</si>
  <si>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</si>
  <si>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</si>
  <si>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</si>
  <si>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</si>
  <si>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</si>
  <si>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</si>
  <si>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</si>
  <si>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</si>
  <si>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</si>
  <si>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</si>
  <si>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</si>
  <si>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</si>
  <si>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</si>
  <si>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</si>
  <si>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</si>
  <si>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</si>
  <si>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</si>
  <si>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</si>
  <si>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</si>
  <si>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</si>
  <si>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</si>
  <si>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</si>
  <si>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</si>
  <si>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</si>
  <si>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</si>
  <si>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</si>
  <si>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</si>
  <si>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</si>
  <si>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</si>
  <si>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</si>
  <si>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</si>
  <si>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</si>
  <si>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</si>
  <si>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</si>
  <si>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</si>
  <si>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</si>
  <si>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</si>
  <si>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</si>
  <si>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</si>
  <si>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</si>
  <si>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</si>
  <si>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</si>
  <si>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</si>
  <si>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</si>
  <si>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</si>
  <si>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</si>
  <si>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</si>
  <si>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</si>
  <si>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</si>
  <si>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</si>
  <si>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</si>
  <si>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</si>
  <si>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</si>
  <si>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</si>
  <si>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</si>
  <si>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</si>
  <si>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</si>
  <si>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</si>
  <si>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</si>
  <si>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</si>
  <si>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</si>
  <si>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</si>
  <si>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</si>
  <si>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</si>
  <si>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</si>
  <si>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</si>
  <si>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</si>
  <si>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</si>
  <si>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</si>
  <si>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</si>
  <si>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</si>
  <si>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</si>
  <si>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</si>
  <si>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</si>
  <si>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</si>
  <si>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</si>
  <si>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</si>
  <si>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</si>
  <si>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</si>
  <si>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</si>
  <si>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</si>
  <si>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</si>
  <si>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</si>
  <si>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</si>
  <si>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</si>
  <si>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</si>
  <si>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</si>
  <si>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</si>
  <si>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</si>
  <si>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</si>
  <si>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</si>
  <si>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</si>
  <si>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</si>
  <si>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</si>
  <si>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</si>
  <si>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</si>
  <si>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</si>
  <si>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</si>
  <si>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</si>
  <si>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</si>
  <si>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</si>
  <si>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</si>
  <si>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</si>
  <si>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</si>
  <si>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</si>
  <si>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</si>
  <si>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</si>
  <si>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</si>
  <si>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</si>
  <si>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</si>
  <si>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</si>
  <si>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</si>
  <si>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</si>
  <si>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</si>
  <si>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</si>
  <si>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</si>
  <si>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</si>
  <si>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</si>
  <si>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</si>
  <si>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</si>
  <si>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</si>
  <si>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</si>
  <si>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</si>
  <si>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</si>
  <si>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</si>
  <si>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</si>
  <si>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</si>
  <si>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</si>
  <si>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</si>
  <si>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</si>
  <si>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</si>
  <si>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</si>
  <si>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</si>
  <si>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</si>
  <si>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</si>
  <si>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</si>
  <si>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</si>
  <si>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</si>
  <si>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</si>
  <si>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</si>
  <si>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</si>
  <si>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</si>
  <si>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</si>
  <si>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</si>
  <si>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</si>
  <si>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</si>
  <si>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</si>
  <si>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</si>
  <si>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</si>
  <si>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</si>
  <si>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</si>
  <si>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</si>
  <si>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</si>
  <si>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</si>
  <si>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</si>
  <si>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</si>
  <si>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</si>
  <si>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</si>
  <si>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</si>
  <si>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</si>
  <si>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</si>
  <si>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</si>
  <si>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</si>
  <si>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</si>
  <si>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</si>
  <si>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</si>
  <si>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</si>
  <si>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</si>
  <si>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</si>
  <si>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</si>
  <si>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</si>
  <si>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</si>
  <si>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</si>
  <si>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</si>
  <si>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</si>
  <si>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</si>
  <si>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</si>
  <si>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</si>
  <si>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</si>
  <si>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</si>
  <si>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</si>
  <si>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</si>
  <si>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</si>
  <si>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</si>
  <si>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</si>
  <si>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</si>
  <si>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</si>
  <si>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</si>
  <si>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</si>
  <si>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</si>
  <si>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</si>
  <si>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</si>
  <si>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</si>
  <si>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</si>
  <si>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</si>
  <si>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</si>
  <si>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</si>
  <si>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</si>
  <si>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</si>
  <si>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</si>
  <si>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</si>
  <si>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</si>
  <si>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</si>
  <si>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</si>
  <si>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</si>
  <si>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</si>
  <si>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</si>
  <si>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</si>
  <si>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</si>
  <si>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</si>
  <si>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</si>
  <si>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</si>
  <si>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</si>
  <si>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</si>
  <si>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</si>
  <si>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</si>
  <si>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</si>
  <si>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</si>
  <si>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</si>
  <si>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</si>
  <si>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</si>
  <si>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</si>
  <si>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</si>
  <si>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</si>
  <si>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</si>
  <si>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</si>
  <si>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</si>
  <si>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</si>
  <si>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</si>
  <si>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</si>
  <si>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</si>
  <si>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</si>
  <si>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</si>
  <si>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</si>
  <si>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</si>
  <si>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</si>
  <si>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</si>
  <si>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</si>
  <si>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</si>
  <si>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</si>
  <si>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</si>
  <si>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</si>
  <si>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</si>
  <si>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</si>
  <si>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</si>
  <si>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</si>
  <si>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</si>
  <si>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</si>
  <si>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</si>
  <si>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</si>
  <si>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</si>
  <si>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</si>
  <si>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</si>
  <si>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</si>
  <si>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</si>
  <si>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</si>
  <si>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</si>
  <si>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</si>
  <si>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</si>
  <si>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</si>
  <si>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</si>
  <si>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</si>
  <si>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</si>
  <si>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</si>
  <si>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</si>
  <si>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</si>
  <si>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</si>
  <si>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</si>
  <si>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</si>
  <si>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</si>
  <si>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</si>
  <si>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</si>
  <si>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</si>
  <si>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</si>
  <si>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</si>
  <si>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</si>
  <si>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</si>
  <si>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</si>
  <si>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</si>
  <si>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</si>
  <si>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</si>
  <si>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</si>
  <si>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</si>
  <si>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</si>
  <si>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</si>
  <si>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</si>
  <si>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</si>
  <si>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</si>
  <si>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</si>
  <si>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</si>
  <si>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</si>
  <si>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</si>
  <si>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</si>
  <si>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</si>
  <si>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</si>
  <si>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</si>
  <si>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</si>
  <si>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</si>
  <si>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</si>
  <si>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</si>
  <si>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</si>
  <si>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</si>
  <si>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</si>
  <si>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</si>
  <si>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</si>
  <si>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</si>
  <si>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</si>
  <si>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</si>
  <si>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</si>
  <si>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</si>
  <si>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</si>
  <si>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</si>
  <si>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</si>
  <si>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</si>
  <si>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</si>
  <si>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</si>
  <si>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</si>
  <si>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</si>
  <si>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</si>
  <si>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</si>
  <si>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</si>
  <si>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</si>
  <si>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</si>
  <si>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</si>
  <si>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</si>
  <si>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</si>
  <si>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</si>
  <si>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</si>
  <si>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</si>
  <si>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</si>
  <si>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</si>
  <si>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</si>
  <si>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</si>
  <si>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</si>
  <si>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</si>
  <si>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</si>
  <si>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</si>
  <si>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</si>
  <si>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</si>
  <si>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</si>
  <si>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</si>
  <si>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</si>
  <si>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</si>
  <si>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</si>
  <si>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</si>
  <si>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</si>
  <si>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</si>
  <si>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</si>
  <si>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</si>
  <si>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</si>
  <si>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</si>
  <si>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</si>
  <si>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</si>
  <si>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</si>
  <si>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</si>
  <si>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</si>
  <si>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</si>
  <si>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</si>
  <si>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</si>
  <si>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</si>
  <si>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</si>
  <si>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</si>
  <si>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</si>
  <si>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</si>
  <si>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</si>
  <si>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</si>
  <si>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</si>
  <si>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</si>
  <si>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</si>
  <si>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</si>
  <si>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</si>
  <si>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</si>
  <si>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</si>
  <si>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</si>
  <si>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</si>
  <si>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</si>
  <si>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</si>
  <si>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</si>
  <si>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</si>
  <si>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</si>
  <si>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</si>
  <si>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</si>
  <si>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</si>
  <si>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</si>
  <si>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</si>
  <si>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</si>
  <si>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</si>
  <si>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</si>
  <si>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</si>
  <si>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</si>
  <si>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</si>
  <si>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</si>
  <si>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</si>
  <si>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</si>
  <si>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</si>
  <si>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</si>
  <si>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</si>
  <si>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</si>
  <si>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</si>
  <si>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</si>
  <si>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</si>
  <si>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</si>
  <si>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</si>
  <si>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</si>
  <si>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</si>
  <si>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</si>
  <si>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</si>
  <si>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</si>
  <si>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</si>
  <si>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</si>
  <si>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</si>
  <si>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</si>
  <si>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</si>
  <si>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</si>
  <si>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</si>
  <si>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</si>
  <si>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</si>
  <si>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</si>
  <si>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</si>
  <si>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</si>
  <si>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</si>
  <si>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</si>
  <si>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</si>
  <si>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</si>
  <si>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</si>
  <si>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</si>
  <si>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</si>
  <si>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</si>
  <si>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t</t>
  </si>
  <si>
    <t>DELIVERY TO MANLOVE</t>
  </si>
  <si>
    <t>ALIIANCE TO MANLOVE</t>
  </si>
  <si>
    <t>N/A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</si>
  <si>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</si>
  <si>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</si>
  <si>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</si>
  <si>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</si>
  <si>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</si>
  <si>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</si>
  <si>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</si>
  <si>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</si>
  <si>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</si>
  <si>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  TODAY - SUNSHINE  TONIGHT - A FEW CLOUDS.</t>
  </si>
  <si>
    <t xml:space="preserve">  SUNSHINE AND CLOUDS</t>
  </si>
  <si>
    <t xml:space="preserve">  TIMES OF CLOUDS AND SUN WITH A COUPLE OF THUNDERSTORMS LATER IN THE </t>
  </si>
  <si>
    <t xml:space="preserve">  DAY.</t>
  </si>
  <si>
    <t xml:space="preserve">  TIMES OF SUN AND CLOUDS WITH A CHANCE OF A THUNDERSTORM EARLY IN </t>
  </si>
  <si>
    <t xml:space="preserve">  THE DAY.</t>
  </si>
  <si>
    <t xml:space="preserve">  SOME SUNSHINE.</t>
  </si>
  <si>
    <t xml:space="preserve">Allegheny Energy (Wilton/Lincoln)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</si>
</sst>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2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0" borderId="58" xfId="0" applyNumberFormat="1" applyFont="1" applyBorder="1" applyAlignment="1">
      <alignment horizontal="center"/>
    </xf>
    <xf numFmtId="0" fontId="41" fillId="0" borderId="5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7DA89AA-C08B-BAAA-AE77-33211C6C9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9634634-82D4-051C-CE11-5D48C3D9C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7FC7E9E-D9E3-10C9-0A76-BBE95451E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DA4F4F5-81BF-7A41-BE59-0761E2FAA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C75376D-8ECA-BA0A-416B-C639B4F6A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0FB724C-A6F9-C6BB-8FAF-0A605CA6CC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6E70121-70FB-CEA9-E7CA-A9AE66411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F0476CD-C5A1-410C-3E16-C30AD60AB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2C9AE31-A2C5-D444-B9BC-D7A7376DC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3579C28-C0A0-6861-EC86-3F17A2125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859F006-CDB5-2B5F-F7A5-AB3D381CCF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F856E98-70E4-E5AA-C173-6B8263EF3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0E9F78D-34A8-2B7E-B6F1-4D9B134629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BAA63CF-60CD-E666-0B8B-EC06D93FC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D539F2B-9ABF-A2F9-8DA1-3BC85CF4E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D90FCC8-1BB9-9C05-DEFB-B80B41148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B6A314B9-B4BA-E5E0-5D86-BF3AA037E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9E2AD209-9D58-2819-3C07-D9C89AC34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AAE9956A-63FE-A229-1CC8-BB7192B7E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32393F94-1C29-F2FA-E762-62BBE201C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54B4F61E-507E-BACB-7D13-AD9869F4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8C32E15-0935-8F9A-1EF9-518CC8267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6152C8D5-49E8-90D0-A618-A89BCF1AD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2CD1EDB6-0D8F-F25B-8C97-8A4257C9A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68D6A59D-7F5A-E0F1-76FD-A4AA0A721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65ED430C-9D04-3450-0611-24A9A8462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8A49925F-767A-4DCB-049C-3C7798C9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8881EC08-2763-65B6-231D-BC46E78F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7FA45345-2C7D-0BBD-6444-1E88DE60B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BBA28C8C-330A-5ED4-3413-95A48390A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DC28ED62-968A-6972-2DFA-270B26773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7A27FC1E-5AD5-9BF1-520D-E5AEC92FC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ECC6F150-986F-2520-A76C-42C829EBB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EC6A237C-8456-337A-4448-E4D770076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5ACB866A-7FAC-0839-D880-3C0FE1D81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7B055544-DE23-7501-9ECB-66C2CA7C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32F96428-57CC-B502-AD3C-E1EB91A94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453CEBAA-52C9-671B-9222-FDEA7BA2C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B47E0CD4-DF3E-3D27-6039-7068B0AC3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26D59186-0E4D-1256-43CC-F0C7CB90F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A900043B-B318-4A3A-2D79-AC448CE15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0ABDC7A3-9968-BF34-9349-5D1AE1651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6ECD25F6-7E11-DB2D-C1D2-8755DC2EF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C658F953-187E-044A-2878-C43D7FB9C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917" name="Day_1">
          <a:extLst>
            <a:ext uri="{FF2B5EF4-FFF2-40B4-BE49-F238E27FC236}">
              <a16:creationId xmlns:a16="http://schemas.microsoft.com/office/drawing/2014/main" id="{8B25F7AD-B016-CF90-3375-85A9B8DAC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918" name="Day_2">
          <a:extLst>
            <a:ext uri="{FF2B5EF4-FFF2-40B4-BE49-F238E27FC236}">
              <a16:creationId xmlns:a16="http://schemas.microsoft.com/office/drawing/2014/main" id="{B8A00CA7-D4AA-0A7C-B9A5-5981EF02C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919" name="Day_3">
          <a:extLst>
            <a:ext uri="{FF2B5EF4-FFF2-40B4-BE49-F238E27FC236}">
              <a16:creationId xmlns:a16="http://schemas.microsoft.com/office/drawing/2014/main" id="{1D0B7E75-F747-7594-E1A9-908CECC88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920" name="Day_4">
          <a:extLst>
            <a:ext uri="{FF2B5EF4-FFF2-40B4-BE49-F238E27FC236}">
              <a16:creationId xmlns:a16="http://schemas.microsoft.com/office/drawing/2014/main" id="{6F775A71-35C9-9C89-A220-5E12BB093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921" name="Day_5">
          <a:extLst>
            <a:ext uri="{FF2B5EF4-FFF2-40B4-BE49-F238E27FC236}">
              <a16:creationId xmlns:a16="http://schemas.microsoft.com/office/drawing/2014/main" id="{EB2109AE-C5F2-F30B-A415-44D29684A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922" name="Day_6">
          <a:extLst>
            <a:ext uri="{FF2B5EF4-FFF2-40B4-BE49-F238E27FC236}">
              <a16:creationId xmlns:a16="http://schemas.microsoft.com/office/drawing/2014/main" id="{AAFF6EFD-39E6-8625-E950-9CD83F3C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C10ECA16-F856-A9D0-9828-BB9742B4205A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EDD137EF-1E98-65C4-1BF7-360C9D498232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618C2DD8-BE44-F08F-0359-DF8D399ECA6A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BF823D6E-5F21-6A43-28E9-2F602390F81C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939748F7-A480-EED1-EC96-FEEA86C217EF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7BB1407D-7313-F238-6D54-7419E9BB5C8F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A1BD59AC-17FE-0A08-2DBC-59A160D3230B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57232F39-9D56-1C55-A9FF-5FFD0EFDA0A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63736954-F6EE-354E-5B22-0C045B775FE2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5628A732-2DC8-A3A5-44E5-CD8C11ECA053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376B103B-B21D-9DA5-552A-9C7E6BB83A7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93B4BE38-BC7F-B6B0-D6C9-4FB36FEBD1FB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80CDA2D-8253-CD12-989D-34AD313E1125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A2852192-69F9-7894-0E00-D573F60C3963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82ADD93-51C8-BE4A-857C-E1719FCE12FC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D5FA369E-96D5-9E73-57CB-5745CD4CA755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1AC4A4A-6389-AD3C-CFA7-69BA9F3298F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B549BF1E-A6B3-0EA1-F69B-2C413B963098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FB446792-EB2D-85CF-46A2-AC6BE28815C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D710A6FA-EF69-D5AC-4ADC-52B8805E845E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007D9F1C-D9E8-5681-90EF-3F57E3B5487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7BE6FFA6-DF0E-E9F7-AE84-39F3160BC8A6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04763C91-7244-77E9-893F-3856B5ED119F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F8FC2B07-3B59-B9A1-EBFC-A36CB1E8AEF2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5BE589FA-A8AC-344F-1CE9-5090B0E62E5F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79254B34-4054-1A51-9ECD-DF9D85747FB1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4BA0BE17-B2DF-355B-609F-ABA417B5118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110A9836-388F-0AE2-11C3-B0801499CF8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7167406-F750-5BE4-0E8C-5725B3F3F254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86B46A9F-796A-D881-1DAA-234A7179DF35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785D7E8D-617F-FA81-7DBB-3068AF281FAC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8A8C967E-313A-8BF2-1454-F060D9FC09A7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CBB0C092-9C76-CC20-EE54-0571A4DD883D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B00C06CB-E627-EB0B-9216-4B5F3984BC8C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CA9576CA-9145-D4BF-8220-583A7AE6A7DD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8A75395C-E21E-94F0-16BC-77ABA46DEBC7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84183C10-9838-DE9A-2B00-2016D5D8406A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A23569BA-C12D-6CA3-A93C-8665D10A0CB3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6865321A-4B3A-4E73-7A03-5DF9CE2EBE13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29C142A1-385B-961E-2E3F-456283A59B12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904AF942-6EAE-7E5C-DB4B-69103A498E75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9106BCD1-CC76-0AF6-5EBE-4E2214BDFECC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A1FF7D21-DEF9-9AE3-D0F0-FC991ED439B1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21BC4AED-C015-07F1-5B49-5ED7D214A8AD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B6CC8DEC-08DF-5E0D-04F6-E8690366C61C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46B0CC9-58AD-2FC3-9D0D-DB922F05D2C9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2910145-AA3D-BBEE-EFC7-E28478E59EFF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D84C4316-E33D-BD9E-0D79-FDEF67038745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5A2AC42-5D1C-4B01-49AE-F55BB97F26A7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9D210DA9-08E6-845B-9597-4300399DB58B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2ED9C55C-E699-BCCA-731F-FB22C769534C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7C691396-1BF2-3121-7BF6-EAA68D55968B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A854B014-4E72-065D-C6E9-DCFAD3CF683A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69791EE1-CDCE-44DD-943F-67567CE2B67D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3AD9470A-4221-1097-E9B8-7F91FC56D8F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6108A962-B285-23CE-E58F-7EC62C5DBD58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492237D0-94D0-B431-C7AA-B44DFCD78221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8BAAA4C3-311F-10B0-D6EC-7BAC43647C33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FAAF7BC1-E548-DF2D-31FF-6BFC168CC6A9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88F0D579-D71C-2B50-E805-3F717621B6D5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7F361638-FB76-9732-87AB-8AB1E5DC939B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5F89A1F6-EB93-D2D7-8479-DF6BC270BB1A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0F72E310-25A7-5DB8-B3E2-1D345131C4C7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9EC10B0B-A782-E6CA-31F1-687220D5BFC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DD74CB13-B070-A731-D436-338822836803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CAF0B9E3-78EF-822E-53CE-8E777F2A90BE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BF440B48-6D01-D737-02BB-6CEED6F6021F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EA4E0B7B-81E8-5E92-BE46-3473D6AADE8B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B101C8F0-092E-F914-9394-72C3757DCBA7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BAA8A3E0-B1F5-3585-30DE-2C39A0A5EE0F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E1788059-1CE0-FF06-6D9B-77B4401612CE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A325B5E9-8A61-B75D-82E4-CD707C4BB3B1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3C7FB519-E207-1F21-16BF-F0A167815E87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38DF970E-2A41-4527-14AE-B730C242AE60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E98365DD-A53D-092A-E427-0351F20FA51E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744396A2-6EB2-1E3B-F327-123E62B2C868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644B2910-04F1-8CBA-6DE3-2FA74C8DCCDF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5F853601-0994-04FB-5BC6-68D805C9785C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AA5C4A3-2C36-6BBF-34DE-DAE33159C31B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E6621E45-857A-7C90-27F1-03B3729FE4DE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BC766AB2-71AE-A183-AB1A-DB24A298475C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A2E8CFFE-5CBD-A322-C4C5-C07BCC040563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C40B6070-1336-9F7D-6505-FFC87128A94F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E0878AAA-9145-0123-C5E6-098FDB4423A7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4FD41530-A619-6434-952C-05CBA08A330F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31CB8C10-6A97-84F2-217D-DBC0BC8F5F01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A04DA516-C9B2-627A-3246-C7C7730F687B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07489768-5E20-B775-C205-A8F74B573D6D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D88C3A4F-A352-204F-326D-87A9E43F8712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C7446B54-5ADA-5C95-1719-61879246419A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785FC2C3-8729-1E03-C1E4-2C776F71B49E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A2ED7FBE-6C6A-2892-8046-973A482BCCD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CD392B93-ADEB-4B24-6120-6601F6A8F99B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A2BC4EDF-1489-9EE3-D7EF-8C099B066701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2BE7610-ABE2-E38F-DB1F-A4B76ED20EF1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38C8015A-227C-E92F-9BF3-9BD1205248BE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9D482357-AC6A-7C77-B846-E2998608C2B8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D2734952-46F6-2EC5-4355-F9FC1AE0FB0F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BB8CC682-8C6C-264D-3D5A-F8B17FBC13FA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1A68AC8B-E033-BEBF-9D1B-0BBA3ED05672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1BD471D6-FD69-0406-5D93-2E2B249358EC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8BC69678-2033-F1EF-DC9E-0F5A4BA80375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1F5BAA39-AEAC-E256-0266-B09587865627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4262B187-0B69-077D-9165-15630D3E6064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C8EE7813-7370-F1CF-F84E-1761928B6A6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D0CA546B-E687-558A-142D-C614BAB1FB5A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C3C1BF64-2C01-9D17-3602-488CC24E66FC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50C3F5A0-D3D4-5022-1950-BF25EFE008CC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24A6BD72-48DE-484E-5BBC-F1BC44DF8EA4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8432FF30-FE6D-C77D-833D-25EE4697CD93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C4EE34A7-BCDE-61C8-17FF-972D84CB8A35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8F1358FC-1413-073F-62D7-93C9E578380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B264DD30-28F6-ABCC-83E7-A412A76CEF08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C81CB24E-694D-3ECE-A86D-E14979787FAC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1CA80BB3-6E91-1E22-F6B2-507F0BA2BA36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784AB4E3-C033-10E5-FC65-FE11E7D7398A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94C47491-DC57-1CE6-07F4-647A741DA4E9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A2400B22-A35B-ABA7-6133-3C33984BD56F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AE4ECC3E-B796-F8E9-E1BF-9B37FC0E7781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EF613D3F-A9BE-C72F-2C11-234B457363C9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BF6DEAC1-A0C0-CA4D-72C2-BDCB48CAD245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F1F2F657-B9D9-9B7B-72D7-5EFAF72596F0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5DD4F316-44B3-C860-6AD1-0ABEB2F8FEE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D95349CB-1FD5-DC2A-0BCA-B68F739BC7F9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707CE158-0471-F430-CB0E-95A875F5B09B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E8766A40-8833-34A0-604A-A2997D19E86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8A9C86B9-8E70-3FC4-6B64-456DFFF0A703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D9BAD8B2-9072-04EF-0D81-BBBAF2AE0710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69CC104D-3CD2-FA35-54F0-4901F11AF4B2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08F8D8DD-F5FA-E315-9B37-E8FBC454E09D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9" t="s">
        <v>631</v>
      </c>
      <c r="B1" s="811"/>
    </row>
    <row r="2" spans="1:88">
      <c r="A2" s="1109" t="s">
        <v>11</v>
      </c>
      <c r="B2" t="s">
        <v>11</v>
      </c>
    </row>
    <row r="3" spans="1:88" ht="15.75" thickBot="1">
      <c r="A3" s="1108" t="s">
        <v>698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1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716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7" t="s">
        <v>698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631</v>
      </c>
    </row>
    <row r="11" spans="1:88">
      <c r="A11" t="s">
        <v>11</v>
      </c>
      <c r="B11" s="811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631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780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628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628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631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631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7" t="s">
        <v>650</v>
      </c>
      <c r="B1" s="835"/>
      <c r="C1" s="835"/>
      <c r="D1" s="835"/>
      <c r="E1" s="835"/>
      <c r="F1" s="835"/>
      <c r="G1" s="835" t="s">
        <v>135</v>
      </c>
      <c r="H1" s="878" t="str">
        <f>D3</f>
        <v>TUE</v>
      </c>
      <c r="I1" s="879">
        <f>D4</f>
        <v>37019</v>
      </c>
      <c r="J1" s="112"/>
    </row>
    <row r="2" spans="1:10" ht="20.100000000000001" customHeight="1">
      <c r="A2" s="838" t="s">
        <v>163</v>
      </c>
      <c r="B2" s="839"/>
      <c r="C2" s="839"/>
      <c r="D2" s="839"/>
      <c r="E2" s="839"/>
      <c r="F2" s="839"/>
      <c r="G2" s="839"/>
      <c r="H2" s="839"/>
      <c r="I2" s="840"/>
      <c r="J2" s="112"/>
    </row>
    <row r="3" spans="1:10" ht="20.100000000000001" customHeight="1" thickBot="1">
      <c r="A3" s="841"/>
      <c r="B3" s="839"/>
      <c r="C3" s="839"/>
      <c r="D3" s="842" t="str">
        <f t="shared" ref="D3:I3" si="0">CHOOSE(WEEKDAY(D4),"SUN","MON","TUE","WED","THU","FRI","SAT")</f>
        <v>TUE</v>
      </c>
      <c r="E3" s="842" t="str">
        <f t="shared" si="0"/>
        <v>WED</v>
      </c>
      <c r="F3" s="842" t="str">
        <f t="shared" si="0"/>
        <v>THU</v>
      </c>
      <c r="G3" s="842" t="str">
        <f t="shared" si="0"/>
        <v>FRI</v>
      </c>
      <c r="H3" s="842" t="str">
        <f t="shared" si="0"/>
        <v>SAT</v>
      </c>
      <c r="I3" s="843" t="str">
        <f t="shared" si="0"/>
        <v>SUN</v>
      </c>
      <c r="J3" s="112"/>
    </row>
    <row r="4" spans="1:10" ht="20.100000000000001" customHeight="1" thickBot="1">
      <c r="A4" s="844" t="s">
        <v>164</v>
      </c>
      <c r="B4" s="845"/>
      <c r="C4" s="845"/>
      <c r="D4" s="846">
        <f>Weather_Input!A5</f>
        <v>37019</v>
      </c>
      <c r="E4" s="846">
        <f>Weather_Input!A6</f>
        <v>37020</v>
      </c>
      <c r="F4" s="846">
        <f>Weather_Input!A7</f>
        <v>37021</v>
      </c>
      <c r="G4" s="846">
        <f>Weather_Input!A8</f>
        <v>37022</v>
      </c>
      <c r="H4" s="846">
        <f>Weather_Input!A9</f>
        <v>37023</v>
      </c>
      <c r="I4" s="847">
        <f>Weather_Input!A10</f>
        <v>37024</v>
      </c>
      <c r="J4" s="112"/>
    </row>
    <row r="5" spans="1:10" s="113" customFormat="1" ht="20.100000000000001" customHeight="1" thickTop="1">
      <c r="A5" s="848" t="s">
        <v>137</v>
      </c>
      <c r="B5" s="839"/>
      <c r="C5" s="839" t="s">
        <v>138</v>
      </c>
      <c r="D5" s="880" t="str">
        <f>TEXT(Weather_Input!B5,"0")&amp;"/"&amp;TEXT(Weather_Input!C5,"0") &amp; "/" &amp; TEXT((Weather_Input!B5+Weather_Input!C5)/2,"0")</f>
        <v>75/51/63</v>
      </c>
      <c r="E5" s="880" t="str">
        <f>TEXT(Weather_Input!B6,"0")&amp;"/"&amp;TEXT(Weather_Input!C6,"0") &amp; "/" &amp; TEXT((Weather_Input!B6+Weather_Input!C6)/2,"0")</f>
        <v>81/58/70</v>
      </c>
      <c r="F5" s="880" t="str">
        <f>TEXT(Weather_Input!B7,"0")&amp;"/"&amp;TEXT(Weather_Input!C7,"0") &amp; "/" &amp; TEXT((Weather_Input!B7+Weather_Input!C7)/2,"0")</f>
        <v>82/54/68</v>
      </c>
      <c r="G5" s="880" t="str">
        <f>TEXT(Weather_Input!B8,"0")&amp;"/"&amp;TEXT(Weather_Input!C8,"0") &amp; "/" &amp; TEXT((Weather_Input!B8+Weather_Input!C8)/2,"0")</f>
        <v>70/48/59</v>
      </c>
      <c r="H5" s="880" t="str">
        <f>TEXT(Weather_Input!B9,"0")&amp;"/"&amp;TEXT(Weather_Input!C9,"0") &amp; "/" &amp; TEXT((Weather_Input!B9+Weather_Input!C9)/2,"0")</f>
        <v>65/46/56</v>
      </c>
      <c r="I5" s="881" t="str">
        <f>TEXT(Weather_Input!B10,"0")&amp;"/"&amp;TEXT(Weather_Input!C10,"0") &amp; "/" &amp; TEXT((Weather_Input!B10+Weather_Input!C10)/2,"0")</f>
        <v>65/46/56</v>
      </c>
      <c r="J5" s="112"/>
    </row>
    <row r="6" spans="1:10" ht="20.100000000000001" customHeight="1">
      <c r="A6" s="851" t="s">
        <v>139</v>
      </c>
      <c r="B6" s="839"/>
      <c r="C6" s="839"/>
      <c r="D6" s="849">
        <f ca="1">VLOOKUP(D4,NSG_Sendouts,CELL("Col",NSG_Deliveries!C5),FALSE)/1000</f>
        <v>43.7</v>
      </c>
      <c r="E6" s="849">
        <f ca="1">VLOOKUP(E4,NSG_Sendouts,CELL("Col",NSG_Deliveries!C6),FALSE)/1000</f>
        <v>38</v>
      </c>
      <c r="F6" s="849">
        <f ca="1">VLOOKUP(F4,NSG_Sendouts,CELL("Col",NSG_Deliveries!C7),FALSE)/1000</f>
        <v>38</v>
      </c>
      <c r="G6" s="849">
        <f ca="1">VLOOKUP(G4,NSG_Sendouts,CELL("Col",NSG_Deliveries!C8),FALSE)/1000</f>
        <v>44</v>
      </c>
      <c r="H6" s="849">
        <f ca="1">VLOOKUP(H4,NSG_Sendouts,CELL("Col",NSG_Deliveries!C9),FALSE)/1000</f>
        <v>44</v>
      </c>
      <c r="I6" s="854">
        <f ca="1">VLOOKUP(I4,NSG_Sendouts,CELL("Col",NSG_Deliveries!C10),FALSE)/1000</f>
        <v>47</v>
      </c>
      <c r="J6" s="113"/>
    </row>
    <row r="7" spans="1:10" ht="20.100000000000001" customHeight="1">
      <c r="A7" s="848" t="s">
        <v>140</v>
      </c>
      <c r="B7" s="839" t="s">
        <v>141</v>
      </c>
      <c r="C7" s="839"/>
      <c r="D7" s="849">
        <f>NSG_Requirements!C7/1000</f>
        <v>0</v>
      </c>
      <c r="E7" s="849">
        <f>NSG_Requirements!C8/1000</f>
        <v>0</v>
      </c>
      <c r="F7" s="849">
        <f>NSG_Requirements!C9/1000</f>
        <v>0</v>
      </c>
      <c r="G7" s="849">
        <f>NSG_Requirements!C10/1000</f>
        <v>0</v>
      </c>
      <c r="H7" s="849">
        <f>NSG_Requirements!C11/1000</f>
        <v>0</v>
      </c>
      <c r="I7" s="850">
        <f>NSG_Requirements!C12/1000</f>
        <v>0</v>
      </c>
      <c r="J7" s="112"/>
    </row>
    <row r="8" spans="1:10" ht="20.100000000000001" customHeight="1">
      <c r="A8" s="848"/>
      <c r="B8" s="839" t="s">
        <v>143</v>
      </c>
      <c r="C8" s="839"/>
      <c r="D8" s="849">
        <f>NSG_Requirements!D7/1000</f>
        <v>0</v>
      </c>
      <c r="E8" s="849">
        <f>NSG_Requirements!D8/1000</f>
        <v>0</v>
      </c>
      <c r="F8" s="849">
        <f>NSG_Requirements!D9/1000</f>
        <v>0</v>
      </c>
      <c r="G8" s="849">
        <f>NSG_Requirements!D10/1000</f>
        <v>0</v>
      </c>
      <c r="H8" s="849">
        <f>NSG_Requirements!D11/1000</f>
        <v>0</v>
      </c>
      <c r="I8" s="854">
        <f>NSG_Requirements!D11/1000</f>
        <v>0</v>
      </c>
      <c r="J8" s="113"/>
    </row>
    <row r="9" spans="1:10" ht="20.100000000000001" customHeight="1">
      <c r="A9" s="848"/>
      <c r="B9" s="839" t="s">
        <v>147</v>
      </c>
      <c r="C9" s="839"/>
      <c r="D9" s="849">
        <f>NSG_Requirements!E7/1000</f>
        <v>0</v>
      </c>
      <c r="E9" s="849">
        <f>NSG_Requirements!E8/1000</f>
        <v>0</v>
      </c>
      <c r="F9" s="849">
        <f>NSG_Requirements!E9/1000</f>
        <v>0</v>
      </c>
      <c r="G9" s="849">
        <f>NSG_Requirements!E10/1000</f>
        <v>0</v>
      </c>
      <c r="H9" s="849">
        <f>NSG_Requirements!E11/1000</f>
        <v>0</v>
      </c>
      <c r="I9" s="854">
        <f>NSG_Requirements!E12/1000</f>
        <v>0</v>
      </c>
      <c r="J9" s="113"/>
    </row>
    <row r="10" spans="1:10" ht="20.100000000000001" customHeight="1">
      <c r="A10" s="848"/>
      <c r="B10" s="839" t="s">
        <v>416</v>
      </c>
      <c r="C10" s="839"/>
      <c r="D10" s="849">
        <f>NSG_Requirements!F7/1000</f>
        <v>0</v>
      </c>
      <c r="E10" s="849">
        <f>NSG_Requirements!F8/1000</f>
        <v>0</v>
      </c>
      <c r="F10" s="849">
        <f>NSG_Requirements!F9/1000</f>
        <v>0</v>
      </c>
      <c r="G10" s="849">
        <f>NSG_Requirements!F10/1000</f>
        <v>0</v>
      </c>
      <c r="H10" s="849">
        <f>NSG_Requirements!F11/1000</f>
        <v>0</v>
      </c>
      <c r="I10" s="854">
        <f>NSG_Requirements!F12/1000</f>
        <v>0</v>
      </c>
      <c r="J10" s="113"/>
    </row>
    <row r="11" spans="1:10" ht="20.100000000000001" customHeight="1">
      <c r="A11" s="848" t="s">
        <v>144</v>
      </c>
      <c r="B11" s="839" t="s">
        <v>145</v>
      </c>
      <c r="C11" s="839" t="s">
        <v>60</v>
      </c>
      <c r="D11" s="849">
        <f>(NSG_Requirements!$K$7+NSG_Requirements!$L$7+NSG_Requirements!$M$7+NSG_Requirements!$N$7)/1000</f>
        <v>0</v>
      </c>
      <c r="E11" s="849">
        <f>(NSG_Requirements!$K$8+NSG_Requirements!$L$8+NSG_Requirements!$M$8+NSG_Requirements!$N$8)/1000</f>
        <v>0</v>
      </c>
      <c r="F11" s="849">
        <f>(NSG_Requirements!$K$9+NSG_Requirements!$L$9+NSG_Requirements!$M$9+NSG_Requirements!$N$9)/1000</f>
        <v>0</v>
      </c>
      <c r="G11" s="849">
        <f>(NSG_Requirements!$K$10+NSG_Requirements!$L$10+NSG_Requirements!$M$10+NSG_Requirements!$N$10)/1000</f>
        <v>0</v>
      </c>
      <c r="H11" s="849">
        <f>(NSG_Requirements!$K$11+NSG_Requirements!$L$11+NSG_Requirements!$M$11+NSG_Requirements!$N$11)/1000</f>
        <v>0</v>
      </c>
      <c r="I11" s="854">
        <f>(NSG_Requirements!$K$12+NSG_Requirements!$L$12+NSG_Requirements!$M$12+NSG_Requirements!$N$12)/1000</f>
        <v>0</v>
      </c>
      <c r="J11" s="113"/>
    </row>
    <row r="12" spans="1:10" ht="20.100000000000001" customHeight="1">
      <c r="A12" s="848"/>
      <c r="B12" s="839" t="s">
        <v>143</v>
      </c>
      <c r="C12" s="853" t="s">
        <v>90</v>
      </c>
      <c r="D12" s="849">
        <f>NSG_Requirements!J7/1000</f>
        <v>15.9</v>
      </c>
      <c r="E12" s="849">
        <f>NSG_Requirements!J8/1000</f>
        <v>20</v>
      </c>
      <c r="F12" s="849">
        <f>NSG_Requirements!J9/1000</f>
        <v>20</v>
      </c>
      <c r="G12" s="849">
        <f>NSG_Requirements!J10/1000</f>
        <v>20</v>
      </c>
      <c r="H12" s="849">
        <f>NSG_Requirements!J11/1000</f>
        <v>20</v>
      </c>
      <c r="I12" s="850">
        <f>NSG_Requirements!J12/1000</f>
        <v>20</v>
      </c>
      <c r="J12" s="112"/>
    </row>
    <row r="13" spans="1:10" ht="20.100000000000001" customHeight="1">
      <c r="A13" s="848"/>
      <c r="B13" s="839" t="s">
        <v>141</v>
      </c>
      <c r="C13" s="853" t="s">
        <v>90</v>
      </c>
      <c r="D13" s="849">
        <f>NSG_Requirements!H7/1000</f>
        <v>0</v>
      </c>
      <c r="E13" s="849">
        <f>NSG_Requirements!H8/1000</f>
        <v>0</v>
      </c>
      <c r="F13" s="849">
        <f>NSG_Requirements!H9/1000</f>
        <v>0</v>
      </c>
      <c r="G13" s="849">
        <f>NSG_Requirements!H10/1000</f>
        <v>0</v>
      </c>
      <c r="H13" s="849">
        <f>NSG_Requirements!H11/1000</f>
        <v>0</v>
      </c>
      <c r="I13" s="850">
        <f>NSG_Requirements!H12/1000</f>
        <v>0</v>
      </c>
      <c r="J13" s="112"/>
    </row>
    <row r="14" spans="1:10" ht="20.100000000000001" customHeight="1">
      <c r="A14" s="848"/>
      <c r="B14" s="839" t="s">
        <v>143</v>
      </c>
      <c r="C14" s="839"/>
      <c r="D14" s="849">
        <f>(NSG_Requirements!$S$7+NSG_Requirements!$T$7+NSG_Requirements!$U$7)/1000</f>
        <v>0</v>
      </c>
      <c r="E14" s="849">
        <f>(NSG_Requirements!$S$8+NSG_Requirements!$T$8+NSG_Requirements!$U$8)/1000</f>
        <v>0</v>
      </c>
      <c r="F14" s="849">
        <f>(NSG_Requirements!$S$9+NSG_Requirements!$T$9+NSG_Requirements!$U$9)/1000</f>
        <v>0</v>
      </c>
      <c r="G14" s="849">
        <f>(NSG_Requirements!$S$10+NSG_Requirements!$T$10+NSG_Requirements!$U$10)/1000</f>
        <v>0</v>
      </c>
      <c r="H14" s="849">
        <f>(NSG_Requirements!$S$11+NSG_Requirements!$T$11+NSG_Requirements!$U$11)/1000</f>
        <v>0</v>
      </c>
      <c r="I14" s="854">
        <f>(NSG_Requirements!$S$12+NSG_Requirements!$T$12+NSG_Requirements!$U$12)/1000</f>
        <v>0</v>
      </c>
      <c r="J14" s="112"/>
    </row>
    <row r="15" spans="1:10" ht="20.100000000000001" customHeight="1">
      <c r="A15" s="848"/>
      <c r="B15" s="839" t="s">
        <v>141</v>
      </c>
      <c r="C15" s="839"/>
      <c r="D15" s="849">
        <f>(NSG_Requirements!$Y$7+NSG_Requirements!$Z$7+NSG_Requirements!$AA$7)/1000</f>
        <v>0</v>
      </c>
      <c r="E15" s="849">
        <f>(NSG_Requirements!$Y$8+NSG_Requirements!$Z$8+NSG_Requirements!$AA$8)/1000</f>
        <v>0</v>
      </c>
      <c r="F15" s="849">
        <f>(NSG_Requirements!$Y$9+NSG_Requirements!$Z$9+NSG_Requirements!$AA$9)/1000</f>
        <v>0</v>
      </c>
      <c r="G15" s="849">
        <f>(NSG_Requirements!$Y$10+NSG_Requirements!$Z$10+NSG_Requirements!$AA$10)/1000</f>
        <v>0</v>
      </c>
      <c r="H15" s="849">
        <f>(NSG_Requirements!$Y$11+NSG_Requirements!$Z$11+NSG_Requirements!$AA$11)/1000</f>
        <v>0</v>
      </c>
      <c r="I15" s="854">
        <f>(NSG_Requirements!$Y$12+NSG_Requirements!$Z$12+NSG_Requirements!$AA$12)/1000</f>
        <v>0</v>
      </c>
      <c r="J15" s="113"/>
    </row>
    <row r="16" spans="1:10" ht="20.100000000000001" customHeight="1">
      <c r="A16" s="848"/>
      <c r="B16" s="839" t="s">
        <v>147</v>
      </c>
      <c r="C16" s="853"/>
      <c r="D16" s="849">
        <f>(NSG_Requirements!$V$7+NSG_Requirements!$W$7+NSG_Requirements!$X$7)/1000</f>
        <v>0</v>
      </c>
      <c r="E16" s="849">
        <f>(NSG_Requirements!$V$8+NSG_Requirements!$W$8+NSG_Requirements!$X$8)/1000</f>
        <v>0</v>
      </c>
      <c r="F16" s="849">
        <f>(NSG_Requirements!$V$9+NSG_Requirements!$W$9+NSG_Requirements!$X$9)/1000</f>
        <v>0</v>
      </c>
      <c r="G16" s="849">
        <f>(NSG_Requirements!$V$10+NSG_Requirements!$W$10+NSG_Requirements!$X$10)/1000</f>
        <v>0</v>
      </c>
      <c r="H16" s="849">
        <f>(NSG_Requirements!$V$11+NSG_Requirements!$W$11+NSG_Requirements!$X$11)/1000</f>
        <v>0</v>
      </c>
      <c r="I16" s="854">
        <f>(NSG_Requirements!$V$12+NSG_Requirements!$W$12+NSG_Requirements!$X$12)/1000</f>
        <v>0</v>
      </c>
      <c r="J16" s="113"/>
    </row>
    <row r="17" spans="1:10" ht="20.100000000000001" customHeight="1">
      <c r="A17" s="848"/>
      <c r="B17" s="839" t="s">
        <v>416</v>
      </c>
      <c r="C17" s="839"/>
      <c r="D17" s="849">
        <f>(NSG_Requirements!$AB$7+NSG_Requirements!$AC$7+NSG_Requirements!$AD$7+NSG_Requirements!$AE$7)/1000</f>
        <v>0</v>
      </c>
      <c r="E17" s="849">
        <f>(NSG_Requirements!$AB$8+NSG_Requirements!$AC$8+NSG_Requirements!$AD$8+NSG_Requirements!$AE$8)/1000</f>
        <v>0</v>
      </c>
      <c r="F17" s="849">
        <f>(NSG_Requirements!$AB$9+NSG_Requirements!$AC9+NSG_Requirements!$AD$9+NSG_Requirements!$AE$9)/1000</f>
        <v>0</v>
      </c>
      <c r="G17" s="849">
        <f>(NSG_Requirements!$AB$10+NSG_Requirements!$AC$10+NSG_Requirements!$AD$10+NSG_Requirements!$AE$10)/1000</f>
        <v>0</v>
      </c>
      <c r="H17" s="849">
        <f>(NSG_Requirements!$Y$11+NSG_Requirements!$Z$11+NSG_Requirements!$AA$11+NSG_Requirements!$AE$11)/1000</f>
        <v>0</v>
      </c>
      <c r="I17" s="854">
        <f>(NSG_Requirements!$Y$12+NSG_Requirements!$Z$12+NSG_Requirements!$AA$12+NSG_Requirements!$AE$12)/1000</f>
        <v>0</v>
      </c>
      <c r="J17" s="113"/>
    </row>
    <row r="18" spans="1:10" ht="20.100000000000001" customHeight="1">
      <c r="A18" s="866" t="s">
        <v>165</v>
      </c>
      <c r="B18" s="867" t="s">
        <v>401</v>
      </c>
      <c r="C18" s="867"/>
      <c r="D18" s="882">
        <f>NSG_Requirements!B7/1000</f>
        <v>0</v>
      </c>
      <c r="E18" s="882">
        <f>NSG_Requirements!B8/1000</f>
        <v>0</v>
      </c>
      <c r="F18" s="882">
        <f>NSG_Requirements!B9/1000</f>
        <v>0</v>
      </c>
      <c r="G18" s="882">
        <f>NSG_Requirements!B10/1000</f>
        <v>0</v>
      </c>
      <c r="H18" s="882">
        <f>NSG_Requirements!B11/1000</f>
        <v>0</v>
      </c>
      <c r="I18" s="883">
        <f>NSG_Requirements!B12/1000</f>
        <v>0</v>
      </c>
      <c r="J18" s="112"/>
    </row>
    <row r="19" spans="1:10" ht="20.100000000000001" customHeight="1" thickBot="1">
      <c r="A19" s="884" t="s">
        <v>151</v>
      </c>
      <c r="B19" s="874"/>
      <c r="C19" s="874"/>
      <c r="D19" s="858">
        <f t="shared" ref="D19:I19" ca="1" si="1">SUM(D6:D18)</f>
        <v>59.6</v>
      </c>
      <c r="E19" s="858">
        <f t="shared" ca="1" si="1"/>
        <v>58</v>
      </c>
      <c r="F19" s="858">
        <f t="shared" ca="1" si="1"/>
        <v>58</v>
      </c>
      <c r="G19" s="858">
        <f t="shared" ca="1" si="1"/>
        <v>64</v>
      </c>
      <c r="H19" s="858">
        <f t="shared" ca="1" si="1"/>
        <v>64</v>
      </c>
      <c r="I19" s="859">
        <f t="shared" ca="1" si="1"/>
        <v>67</v>
      </c>
      <c r="J19" s="112"/>
    </row>
    <row r="20" spans="1:10" ht="20.100000000000001" customHeight="1" thickTop="1" thickBot="1">
      <c r="A20" s="885"/>
      <c r="B20" s="886"/>
      <c r="C20" s="886"/>
      <c r="D20" s="887"/>
      <c r="E20" s="887"/>
      <c r="F20" s="887"/>
      <c r="G20" s="887"/>
      <c r="H20" s="887"/>
      <c r="I20" s="887"/>
      <c r="J20" s="113"/>
    </row>
    <row r="21" spans="1:10" ht="20.100000000000001" customHeight="1" thickTop="1" thickBot="1">
      <c r="A21" s="888" t="s">
        <v>152</v>
      </c>
      <c r="B21" s="862"/>
      <c r="C21" s="862"/>
      <c r="D21" s="863"/>
      <c r="E21" s="863"/>
      <c r="F21" s="863"/>
      <c r="G21" s="863"/>
      <c r="H21" s="863"/>
      <c r="I21" s="864"/>
      <c r="J21" s="112"/>
    </row>
    <row r="22" spans="1:10" ht="20.100000000000001" customHeight="1" thickTop="1">
      <c r="A22" s="848" t="s">
        <v>772</v>
      </c>
      <c r="B22" s="839" t="s">
        <v>145</v>
      </c>
      <c r="C22" s="839" t="s">
        <v>166</v>
      </c>
      <c r="D22" s="849">
        <f>NSG_Supplies!H7/1000</f>
        <v>0</v>
      </c>
      <c r="E22" s="849">
        <f>NSG_Supplies!H8/1000</f>
        <v>0</v>
      </c>
      <c r="F22" s="849">
        <f>NSG_Supplies!H9/1000</f>
        <v>0</v>
      </c>
      <c r="G22" s="849">
        <f>NSG_Supplies!H10/1000</f>
        <v>0</v>
      </c>
      <c r="H22" s="849">
        <f>NSG_Supplies!H11/1000</f>
        <v>0</v>
      </c>
      <c r="I22" s="850">
        <f>NSG_Supplies!H12/1000</f>
        <v>0</v>
      </c>
      <c r="J22" s="112"/>
    </row>
    <row r="23" spans="1:10" ht="20.100000000000001" customHeight="1">
      <c r="A23" s="848"/>
      <c r="B23" s="839" t="s">
        <v>143</v>
      </c>
      <c r="C23" s="839" t="s">
        <v>154</v>
      </c>
      <c r="D23" s="849">
        <f>NSG_Supplies!L7/1000</f>
        <v>0</v>
      </c>
      <c r="E23" s="849">
        <f>NSG_Supplies!L8/1000</f>
        <v>0</v>
      </c>
      <c r="F23" s="849">
        <f>NSG_Supplies!L9/1000</f>
        <v>0</v>
      </c>
      <c r="G23" s="849">
        <f>NSG_Supplies!L10/1000</f>
        <v>0</v>
      </c>
      <c r="H23" s="849">
        <f>NSG_Supplies!L11/1000</f>
        <v>0</v>
      </c>
      <c r="I23" s="850">
        <f>NSG_Supplies!L12/1000</f>
        <v>0</v>
      </c>
      <c r="J23" s="112"/>
    </row>
    <row r="24" spans="1:10" ht="20.100000000000001" customHeight="1">
      <c r="A24" s="848"/>
      <c r="B24" s="839"/>
      <c r="C24" s="839" t="s">
        <v>10</v>
      </c>
      <c r="D24" s="849">
        <f>NSG_Supplies!E7/1000</f>
        <v>0</v>
      </c>
      <c r="E24" s="849">
        <f>NSG_Supplies!E8/1000</f>
        <v>0</v>
      </c>
      <c r="F24" s="849">
        <f>NSG_Supplies!E9/1000</f>
        <v>0</v>
      </c>
      <c r="G24" s="849">
        <f>NSG_Supplies!E10/1000</f>
        <v>0</v>
      </c>
      <c r="H24" s="849">
        <f>NSG_Supplies!E11/1000</f>
        <v>0</v>
      </c>
      <c r="I24" s="854">
        <f>NSG_Supplies!E12/1000</f>
        <v>0</v>
      </c>
      <c r="J24" s="113"/>
    </row>
    <row r="25" spans="1:10" ht="20.100000000000001" customHeight="1">
      <c r="A25" s="848"/>
      <c r="B25" s="839" t="s">
        <v>141</v>
      </c>
      <c r="C25" s="853" t="s">
        <v>90</v>
      </c>
      <c r="D25" s="849">
        <f>NSG_Supplies!F7/1000</f>
        <v>8.06</v>
      </c>
      <c r="E25" s="849">
        <f>NSG_Supplies!F8/1000</f>
        <v>9</v>
      </c>
      <c r="F25" s="849">
        <f>NSG_Supplies!F9/1000</f>
        <v>9</v>
      </c>
      <c r="G25" s="849">
        <f>NSG_Supplies!F10/1000</f>
        <v>9</v>
      </c>
      <c r="H25" s="849">
        <f>NSG_Supplies!F11/1000</f>
        <v>9</v>
      </c>
      <c r="I25" s="854">
        <f>NSG_Supplies!F12/1000</f>
        <v>9</v>
      </c>
      <c r="J25" s="113"/>
    </row>
    <row r="26" spans="1:10" ht="20.100000000000001" customHeight="1">
      <c r="A26" s="848"/>
      <c r="B26" s="839" t="s">
        <v>83</v>
      </c>
      <c r="C26" s="839" t="s">
        <v>773</v>
      </c>
      <c r="D26" s="849">
        <f>NSG_Supplies!U7/1000</f>
        <v>0</v>
      </c>
      <c r="E26" s="849">
        <f>NSG_Supplies!U8/1000</f>
        <v>0</v>
      </c>
      <c r="F26" s="849">
        <f>NSG_Supplies!U9/1000</f>
        <v>0</v>
      </c>
      <c r="G26" s="849">
        <f>NSG_Supplies!U10/1000</f>
        <v>0</v>
      </c>
      <c r="H26" s="849">
        <f>NSG_Supplies!U11/1000</f>
        <v>0</v>
      </c>
      <c r="I26" s="854">
        <f>NSG_Supplies!U12/1000</f>
        <v>0</v>
      </c>
      <c r="J26" s="113"/>
    </row>
    <row r="27" spans="1:10" ht="20.100000000000001" customHeight="1">
      <c r="A27" s="851" t="s">
        <v>167</v>
      </c>
      <c r="B27" s="855" t="s">
        <v>143</v>
      </c>
      <c r="C27" s="855"/>
      <c r="D27" s="849">
        <f>(PGL_Requirements!$V$7+PGL_Requirements!$W$7+PGL_Requirements!$X$7)/1000</f>
        <v>0</v>
      </c>
      <c r="E27" s="849">
        <f>(PGL_Requirements!$V$8+PGL_Requirements!$W$8+PGL_Requirements!$X$8)/1000</f>
        <v>0</v>
      </c>
      <c r="F27" s="849">
        <f>(PGL_Requirements!$V$9+PGL_Requirements!$W$9+PGL_Requirements!$X$9)/1000</f>
        <v>0</v>
      </c>
      <c r="G27" s="849">
        <f>(PGL_Requirements!$V$10+PGL_Requirements!$W$10+PGL_Requirements!$X$10)/1000</f>
        <v>0</v>
      </c>
      <c r="H27" s="849">
        <f>(PGL_Requirements!$V$11+PGL_Requirements!$W$11+PGL_Requirements!$X$11)/1000</f>
        <v>0</v>
      </c>
      <c r="I27" s="850">
        <f>(PGL_Requirements!$V$12+PGL_Requirements!$W$12+PGL_Requirements!$X$12)/1000</f>
        <v>0</v>
      </c>
      <c r="J27" s="112"/>
    </row>
    <row r="28" spans="1:10" ht="20.100000000000001" customHeight="1">
      <c r="A28" s="848"/>
      <c r="B28" s="855" t="s">
        <v>141</v>
      </c>
      <c r="C28" s="855"/>
      <c r="D28" s="849">
        <f>(PGL_Requirements!$Y$7+PGL_Requirements!$AA$7+PGL_Requirements!$Z$7+PGL_Requirements!$AB$7)/1000</f>
        <v>0</v>
      </c>
      <c r="E28" s="849">
        <f>(PGL_Requirements!$Y$8+PGL_Requirements!$AA$8+PGL_Requirements!$Z$8+PGL_Requirements!$AB$8)/1000</f>
        <v>0</v>
      </c>
      <c r="F28" s="849">
        <f>(PGL_Requirements!$Y$9+PGL_Requirements!$AA$9+PGL_Requirements!$Z$9+PGL_Requirements!$AB$9)/1000</f>
        <v>0</v>
      </c>
      <c r="G28" s="849">
        <f>(PGL_Requirements!$Y$10+PGL_Requirements!$AA$10+PGL_Requirements!$Z$10+PGL_Requirements!$AB$10)/1000</f>
        <v>0</v>
      </c>
      <c r="H28" s="849">
        <f>(PGL_Requirements!$Y$11+PGL_Requirements!$AA$11+PGL_Requirements!$Z$11+PGL_Requirements!$AB$11)/1000</f>
        <v>0</v>
      </c>
      <c r="I28" s="850">
        <f>(PGL_Requirements!$Y$12+PGL_Requirements!$AA$12+PGL_Requirements!$Z$12+PGL_Requirements!$AB$12)/1000</f>
        <v>0</v>
      </c>
      <c r="J28" s="112"/>
    </row>
    <row r="29" spans="1:10" ht="20.100000000000001" customHeight="1">
      <c r="A29" s="848"/>
      <c r="B29" s="855" t="s">
        <v>147</v>
      </c>
      <c r="C29" s="839"/>
      <c r="D29" s="849">
        <f>(PGL_Requirements!$AC$7+PGL_Requirements!$AD$7+PGL_Requirements!$AE$7)/1000</f>
        <v>0</v>
      </c>
      <c r="E29" s="849">
        <f>(PGL_Requirements!$AC$8+PGL_Requirements!$AD$8+PGL_Requirements!$AE$8)/1000</f>
        <v>0</v>
      </c>
      <c r="F29" s="849">
        <f>(PGL_Requirements!$AC$9+PGL_Requirements!$AD$9+PGL_Requirements!$AE$9)/1000</f>
        <v>0</v>
      </c>
      <c r="G29" s="849">
        <f>(PGL_Requirements!$AC$10+PGL_Requirements!$AD$10+PGL_Requirements!$AE$10)/1000</f>
        <v>0</v>
      </c>
      <c r="H29" s="849">
        <f>(PGL_Requirements!$AC$11+PGL_Requirements!$AD$11+PGL_Requirements!$AE$11)/1000</f>
        <v>0</v>
      </c>
      <c r="I29" s="850">
        <f>(PGL_Requirements!$AC$12+PGL_Requirements!$AD$12+PGL_Requirements!$AE$12)/1000</f>
        <v>0</v>
      </c>
      <c r="J29" s="112"/>
    </row>
    <row r="30" spans="1:10" ht="20.100000000000001" customHeight="1">
      <c r="A30" s="848"/>
      <c r="B30" s="839" t="s">
        <v>416</v>
      </c>
      <c r="C30" s="839"/>
      <c r="D30" s="849">
        <v>0</v>
      </c>
      <c r="E30" s="849">
        <v>0</v>
      </c>
      <c r="F30" s="849">
        <v>0</v>
      </c>
      <c r="G30" s="849">
        <v>0</v>
      </c>
      <c r="H30" s="849">
        <v>0</v>
      </c>
      <c r="I30" s="850">
        <v>0</v>
      </c>
      <c r="J30" s="112"/>
    </row>
    <row r="31" spans="1:10" ht="20.100000000000001" customHeight="1">
      <c r="A31" s="848" t="s">
        <v>168</v>
      </c>
      <c r="B31" s="839" t="s">
        <v>143</v>
      </c>
      <c r="C31" s="839" t="s">
        <v>169</v>
      </c>
      <c r="D31" s="849">
        <f>NSG_Supplies!P7/1000</f>
        <v>0</v>
      </c>
      <c r="E31" s="849">
        <f>NSG_Supplies!P8/1000</f>
        <v>0</v>
      </c>
      <c r="F31" s="849">
        <f>NSG_Supplies!P9/1000</f>
        <v>0</v>
      </c>
      <c r="G31" s="849">
        <f>NSG_Supplies!P10/1000</f>
        <v>0</v>
      </c>
      <c r="H31" s="849">
        <f>NSG_Supplies!P11/1000</f>
        <v>0</v>
      </c>
      <c r="I31" s="850">
        <f>NSG_Supplies!P12/1000</f>
        <v>0</v>
      </c>
      <c r="J31" s="112"/>
    </row>
    <row r="32" spans="1:10" ht="20.100000000000001" customHeight="1">
      <c r="A32" s="848"/>
      <c r="B32" s="839" t="s">
        <v>141</v>
      </c>
      <c r="C32" s="1168" t="s">
        <v>774</v>
      </c>
      <c r="D32" s="849">
        <f>NSG_Supplies!R7/1000</f>
        <v>31.536000000000001</v>
      </c>
      <c r="E32" s="849">
        <f>NSG_Supplies!R8/1000</f>
        <v>31.776</v>
      </c>
      <c r="F32" s="849">
        <f>NSG_Supplies!R9/1000</f>
        <v>31.776</v>
      </c>
      <c r="G32" s="849">
        <f>NSG_Supplies!R10/1000</f>
        <v>31.776</v>
      </c>
      <c r="H32" s="849">
        <f>NSG_Supplies!R11/1000</f>
        <v>31.776</v>
      </c>
      <c r="I32" s="850">
        <f>NSG_Supplies!R12/1000</f>
        <v>31.776</v>
      </c>
      <c r="J32" s="112"/>
    </row>
    <row r="33" spans="1:13" ht="20.100000000000001" customHeight="1">
      <c r="A33" s="848"/>
      <c r="B33" s="839" t="s">
        <v>143</v>
      </c>
      <c r="C33" s="839" t="s">
        <v>639</v>
      </c>
      <c r="D33" s="849">
        <f>NSG_Supplies!Q7/1000</f>
        <v>20</v>
      </c>
      <c r="E33" s="849">
        <f>NSG_Supplies!Q8/1000</f>
        <v>20</v>
      </c>
      <c r="F33" s="849">
        <f>NSG_Supplies!Q9/1000</f>
        <v>20</v>
      </c>
      <c r="G33" s="849">
        <f>NSG_Supplies!Q10/1000</f>
        <v>20</v>
      </c>
      <c r="H33" s="849">
        <f>NSG_Supplies!Q11/1000</f>
        <v>20</v>
      </c>
      <c r="I33" s="850">
        <f>NSG_Supplies!Q12/1000</f>
        <v>20</v>
      </c>
      <c r="J33" s="112"/>
    </row>
    <row r="34" spans="1:13" ht="20.100000000000001" customHeight="1">
      <c r="A34" s="848" t="s">
        <v>160</v>
      </c>
      <c r="B34" s="839" t="s">
        <v>147</v>
      </c>
      <c r="C34" s="839" t="s">
        <v>170</v>
      </c>
      <c r="D34" s="849">
        <f>NSG_Supplies!O7/1000</f>
        <v>0</v>
      </c>
      <c r="E34" s="849">
        <f>NSG_Supplies!O8/1000</f>
        <v>0</v>
      </c>
      <c r="F34" s="849">
        <f>NSG_Supplies!O9/1000</f>
        <v>0</v>
      </c>
      <c r="G34" s="849">
        <f>NSG_Supplies!O10/1000</f>
        <v>0</v>
      </c>
      <c r="H34" s="849">
        <f>NSG_Supplies!O11/1000</f>
        <v>0</v>
      </c>
      <c r="I34" s="854">
        <f>NSG_Supplies!O12/1000</f>
        <v>0</v>
      </c>
      <c r="J34" s="112"/>
    </row>
    <row r="35" spans="1:13" ht="20.100000000000001" customHeight="1">
      <c r="A35" s="848"/>
      <c r="B35" s="839" t="s">
        <v>416</v>
      </c>
      <c r="C35" s="853" t="s">
        <v>524</v>
      </c>
      <c r="D35" s="849">
        <f>NSG_Supplies!N7/1000</f>
        <v>0</v>
      </c>
      <c r="E35" s="849">
        <f>NSG_Supplies!N8/1000</f>
        <v>0</v>
      </c>
      <c r="F35" s="849">
        <f>NSG_Supplies!N9/1000</f>
        <v>0</v>
      </c>
      <c r="G35" s="849">
        <f>NSG_Supplies!N10/1000</f>
        <v>0</v>
      </c>
      <c r="H35" s="849">
        <f>NSG_Supplies!N11/1000</f>
        <v>0</v>
      </c>
      <c r="I35" s="854">
        <f>NSG_Supplies!N12/1000</f>
        <v>0</v>
      </c>
      <c r="J35" s="112"/>
    </row>
    <row r="36" spans="1:13" ht="20.100000000000001" customHeight="1">
      <c r="A36" s="866"/>
      <c r="B36" s="867" t="s">
        <v>401</v>
      </c>
      <c r="C36" s="867"/>
      <c r="D36" s="882">
        <f>NSG_Supplies!B7/1000</f>
        <v>0</v>
      </c>
      <c r="E36" s="882">
        <f>NSG_Supplies!B8/1000</f>
        <v>0</v>
      </c>
      <c r="F36" s="882">
        <f>NSG_Supplies!B9/1000</f>
        <v>0</v>
      </c>
      <c r="G36" s="882">
        <f>NSG_Supplies!B10/1000</f>
        <v>0</v>
      </c>
      <c r="H36" s="882">
        <f>NSG_Supplies!B11/1000</f>
        <v>0</v>
      </c>
      <c r="I36" s="868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9" t="s">
        <v>160</v>
      </c>
      <c r="B37" s="870"/>
      <c r="C37" s="870"/>
      <c r="D37" s="889">
        <f t="shared" ref="D37:I37" si="2">SUM(D22:D36)</f>
        <v>59.596000000000004</v>
      </c>
      <c r="E37" s="889">
        <f t="shared" si="2"/>
        <v>60.775999999999996</v>
      </c>
      <c r="F37" s="889">
        <f t="shared" si="2"/>
        <v>60.775999999999996</v>
      </c>
      <c r="G37" s="889">
        <f t="shared" si="2"/>
        <v>60.775999999999996</v>
      </c>
      <c r="H37" s="889">
        <f t="shared" si="2"/>
        <v>60.775999999999996</v>
      </c>
      <c r="I37" s="890">
        <f t="shared" si="2"/>
        <v>60.775999999999996</v>
      </c>
      <c r="J37" s="112"/>
      <c r="K37" s="113"/>
      <c r="L37" s="95"/>
      <c r="M37" s="113"/>
    </row>
    <row r="38" spans="1:13" ht="20.100000000000001" customHeight="1">
      <c r="A38" s="891" t="s">
        <v>161</v>
      </c>
      <c r="B38" s="892"/>
      <c r="C38" s="892"/>
      <c r="D38" s="893">
        <f t="shared" ref="D38:I38" ca="1" si="3">IF(D37-D19&lt;0,0,D37-D19)</f>
        <v>0</v>
      </c>
      <c r="E38" s="893">
        <f t="shared" ca="1" si="3"/>
        <v>2.7759999999999962</v>
      </c>
      <c r="F38" s="893">
        <f t="shared" ca="1" si="3"/>
        <v>2.7759999999999962</v>
      </c>
      <c r="G38" s="893">
        <f t="shared" ca="1" si="3"/>
        <v>0</v>
      </c>
      <c r="H38" s="893">
        <f t="shared" ca="1" si="3"/>
        <v>0</v>
      </c>
      <c r="I38" s="894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5" t="s">
        <v>162</v>
      </c>
      <c r="B39" s="874"/>
      <c r="C39" s="874"/>
      <c r="D39" s="875">
        <f t="shared" ref="D39:I39" ca="1" si="4">IF(D19-D37&lt;0,0,D19-D37)</f>
        <v>3.9999999999977831E-3</v>
      </c>
      <c r="E39" s="875">
        <f t="shared" ca="1" si="4"/>
        <v>0</v>
      </c>
      <c r="F39" s="875">
        <f t="shared" ca="1" si="4"/>
        <v>0</v>
      </c>
      <c r="G39" s="875">
        <f t="shared" ca="1" si="4"/>
        <v>3.2240000000000038</v>
      </c>
      <c r="H39" s="875">
        <f t="shared" ca="1" si="4"/>
        <v>3.2240000000000038</v>
      </c>
      <c r="I39" s="876">
        <f t="shared" ca="1" si="4"/>
        <v>6.2240000000000038</v>
      </c>
      <c r="J39" s="112"/>
      <c r="K39" s="113"/>
      <c r="L39" s="113"/>
      <c r="M39" s="113"/>
    </row>
    <row r="40" spans="1:13" ht="20.100000000000001" customHeight="1" thickTop="1" thickBot="1">
      <c r="A40" s="1169" t="s">
        <v>775</v>
      </c>
      <c r="B40" s="1170"/>
      <c r="C40" s="1170"/>
      <c r="D40" s="1171">
        <f>NSG_Supplies!S7/1000</f>
        <v>20.591000000000001</v>
      </c>
      <c r="E40" s="1171">
        <f>NSG_Supplies!S8/1000</f>
        <v>20.831</v>
      </c>
      <c r="F40" s="1171">
        <f>NSG_Supplies!S9/1000</f>
        <v>20.591000000000001</v>
      </c>
      <c r="G40" s="1171">
        <f>NSG_Supplies!S10/1000</f>
        <v>20.591000000000001</v>
      </c>
      <c r="H40" s="1171">
        <f>NSG_Supplies!S11/1000</f>
        <v>20.591000000000001</v>
      </c>
      <c r="I40" s="1172">
        <f>NSG_Supplies!S12/1000</f>
        <v>20.591000000000001</v>
      </c>
    </row>
    <row r="41" spans="1:13" ht="20.100000000000001" customHeight="1" thickTop="1" thickBot="1">
      <c r="B41" s="897"/>
      <c r="C41" s="897"/>
      <c r="D41" s="897"/>
      <c r="E41" s="897"/>
      <c r="F41" s="897"/>
      <c r="G41" s="896"/>
      <c r="H41" s="896"/>
      <c r="I41" s="896"/>
    </row>
    <row r="42" spans="1:13" ht="20.100000000000001" customHeight="1" thickTop="1" thickBot="1">
      <c r="A42" s="898" t="s">
        <v>171</v>
      </c>
      <c r="B42" s="899"/>
      <c r="C42" s="899"/>
      <c r="D42" s="900">
        <f>Weather_Input!D5</f>
        <v>15</v>
      </c>
      <c r="E42" s="900">
        <f>Weather_Input!D6</f>
        <v>10</v>
      </c>
      <c r="F42" s="900">
        <f>Weather_Input!D7</f>
        <v>16</v>
      </c>
      <c r="G42" s="901"/>
      <c r="H42" s="896"/>
      <c r="I42" s="896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8" zoomScale="75" workbookViewId="0">
      <selection activeCell="E20" sqref="E20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11</v>
      </c>
      <c r="B1" s="588"/>
      <c r="C1" s="588"/>
      <c r="D1" s="588"/>
      <c r="E1" s="589" t="s">
        <v>173</v>
      </c>
      <c r="F1" s="590">
        <f>Weather_Input!A5</f>
        <v>37019</v>
      </c>
      <c r="G1" s="770" t="str">
        <f>CHOOSE(WEEKDAY(F1),"SUN","MON","TUE","WED","THU","FRI","SAT")</f>
        <v>TUE</v>
      </c>
      <c r="H1" s="592" t="s">
        <v>258</v>
      </c>
      <c r="I1" s="593"/>
    </row>
    <row r="2" spans="1:9" ht="15.75">
      <c r="A2" s="258" t="s">
        <v>11</v>
      </c>
      <c r="B2" s="609" t="s">
        <v>690</v>
      </c>
      <c r="C2" s="961">
        <v>62.5</v>
      </c>
      <c r="D2" s="601" t="s">
        <v>556</v>
      </c>
      <c r="E2" s="608"/>
      <c r="F2" s="606" t="s">
        <v>557</v>
      </c>
      <c r="G2" s="607" t="s">
        <v>11</v>
      </c>
      <c r="H2" s="605" t="s">
        <v>174</v>
      </c>
      <c r="I2" s="260"/>
    </row>
    <row r="3" spans="1:9">
      <c r="A3" s="787" t="s">
        <v>535</v>
      </c>
      <c r="B3" s="600" t="s">
        <v>409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2">
        <f>Weather_Input!B5</f>
        <v>75</v>
      </c>
      <c r="C4" s="963">
        <f>Weather_Input!C5</f>
        <v>51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629</v>
      </c>
      <c r="B5" s="964"/>
      <c r="C5" s="965">
        <f>PGL_Requirements!H7/1000</f>
        <v>0</v>
      </c>
      <c r="D5" s="620"/>
      <c r="E5" s="302"/>
      <c r="F5" s="620"/>
      <c r="G5" s="607"/>
      <c r="H5" s="302"/>
      <c r="I5" s="296"/>
    </row>
    <row r="6" spans="1:9" ht="15.75">
      <c r="A6" s="262" t="s">
        <v>419</v>
      </c>
      <c r="B6" s="1161" t="s">
        <v>11</v>
      </c>
      <c r="C6" s="966">
        <f>PGL_Deliveries!C5/1000</f>
        <v>240</v>
      </c>
      <c r="D6" s="1161" t="s">
        <v>11</v>
      </c>
      <c r="E6" s="269"/>
      <c r="F6" s="602"/>
      <c r="G6" s="269"/>
      <c r="H6" s="602"/>
      <c r="I6" s="267"/>
    </row>
    <row r="7" spans="1:9" ht="15.75" thickBot="1">
      <c r="A7" s="249" t="s">
        <v>769</v>
      </c>
      <c r="B7" s="1162"/>
      <c r="C7" s="1134">
        <f>PGL_Requirements!I7/1000</f>
        <v>0</v>
      </c>
      <c r="D7" s="122"/>
      <c r="E7" s="122"/>
      <c r="F7" s="1162"/>
      <c r="G7" s="1163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560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743</v>
      </c>
      <c r="B10" s="1113"/>
      <c r="C10" s="1130">
        <f>+B34</f>
        <v>141.08500000000001</v>
      </c>
      <c r="D10" s="1113"/>
      <c r="E10" s="434"/>
      <c r="F10" s="1113"/>
      <c r="G10" s="1117"/>
      <c r="H10" s="434"/>
      <c r="I10" s="285" t="s">
        <v>11</v>
      </c>
    </row>
    <row r="11" spans="1:9">
      <c r="A11" s="493" t="s">
        <v>561</v>
      </c>
      <c r="B11" s="282" t="s">
        <v>11</v>
      </c>
      <c r="C11" s="614">
        <f>B41</f>
        <v>0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562</v>
      </c>
      <c r="B12" s="282" t="s">
        <v>11</v>
      </c>
      <c r="C12" s="614">
        <f>B55</f>
        <v>-99.63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563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564</v>
      </c>
      <c r="B14" s="286" t="s">
        <v>11</v>
      </c>
      <c r="C14" s="614">
        <f>I65</f>
        <v>130.53700000000001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422</v>
      </c>
      <c r="B15" s="282" t="s">
        <v>11</v>
      </c>
      <c r="C15" s="967">
        <f>PGL_Supplies!I7/1000</f>
        <v>15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565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566</v>
      </c>
      <c r="B17" s="282" t="s">
        <v>172</v>
      </c>
      <c r="C17" s="967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567</v>
      </c>
      <c r="B18" s="615" t="s">
        <v>11</v>
      </c>
      <c r="C18" s="1134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697</v>
      </c>
      <c r="B19" s="617" t="s">
        <v>11</v>
      </c>
      <c r="C19" s="511">
        <f>SUM(C9:C17)-C18</f>
        <v>186.99200000000002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8"/>
      <c r="D20" s="507"/>
      <c r="E20" s="509"/>
      <c r="F20" s="507"/>
      <c r="G20" s="507" t="s">
        <v>644</v>
      </c>
      <c r="H20" s="507"/>
      <c r="I20" s="969"/>
    </row>
    <row r="21" spans="1:12">
      <c r="A21" s="493" t="s">
        <v>630</v>
      </c>
      <c r="B21" s="282" t="s">
        <v>11</v>
      </c>
      <c r="C21" s="970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425</v>
      </c>
      <c r="B22" s="282" t="s">
        <v>11</v>
      </c>
      <c r="C22" s="614">
        <f>C6+C7-C19</f>
        <v>53.007999999999981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426</v>
      </c>
      <c r="B23" s="282" t="s">
        <v>11</v>
      </c>
      <c r="C23" s="614"/>
      <c r="D23" s="266"/>
      <c r="E23" s="269"/>
      <c r="F23" s="297" t="s">
        <v>11</v>
      </c>
      <c r="G23" s="971"/>
      <c r="H23" s="297" t="s">
        <v>11</v>
      </c>
      <c r="I23" s="260"/>
    </row>
    <row r="24" spans="1:12" ht="16.5" thickBot="1">
      <c r="A24" s="493" t="s">
        <v>427</v>
      </c>
      <c r="B24" s="972" t="s">
        <v>11</v>
      </c>
      <c r="C24" s="973">
        <f>SUM(B54+B56+B57)</f>
        <v>57.325000000000003</v>
      </c>
      <c r="D24" s="259"/>
      <c r="E24" s="271"/>
      <c r="F24" s="974"/>
      <c r="G24" s="271"/>
      <c r="H24" s="975" t="s">
        <v>11</v>
      </c>
      <c r="I24" s="976" t="s">
        <v>11</v>
      </c>
      <c r="K24" t="s">
        <v>11</v>
      </c>
    </row>
    <row r="25" spans="1:12" ht="17.25" thickTop="1" thickBot="1">
      <c r="A25" s="637" t="s">
        <v>428</v>
      </c>
      <c r="B25" s="977" t="s">
        <v>11</v>
      </c>
      <c r="C25" s="978">
        <f>SUM(C22:C24)</f>
        <v>110.33299999999998</v>
      </c>
      <c r="D25" s="977" t="str">
        <f>B25</f>
        <v xml:space="preserve"> </v>
      </c>
      <c r="E25" s="978" t="s">
        <v>11</v>
      </c>
      <c r="F25" s="977" t="s">
        <v>11</v>
      </c>
      <c r="G25" s="978" t="s">
        <v>11</v>
      </c>
      <c r="H25" s="979" t="s">
        <v>11</v>
      </c>
      <c r="I25" s="980" t="s">
        <v>11</v>
      </c>
    </row>
    <row r="26" spans="1:12" ht="15.75" thickTop="1">
      <c r="A26" s="332" t="s">
        <v>734</v>
      </c>
      <c r="B26" s="981"/>
      <c r="C26" s="970">
        <f>SUM(-PGL_Supplies!M7/1000)</f>
        <v>0</v>
      </c>
      <c r="D26" s="1102" t="s">
        <v>11</v>
      </c>
      <c r="E26" s="1101" t="s">
        <v>11</v>
      </c>
      <c r="F26" s="1103"/>
      <c r="G26" s="1104"/>
      <c r="H26" s="514"/>
      <c r="I26" s="986"/>
    </row>
    <row r="27" spans="1:12" ht="15" customHeight="1">
      <c r="A27" s="493" t="s">
        <v>436</v>
      </c>
      <c r="B27" s="987"/>
      <c r="C27" s="988">
        <f>PGL_Requirements!O7/1000</f>
        <v>0</v>
      </c>
      <c r="D27" s="982" t="s">
        <v>11</v>
      </c>
      <c r="E27" s="965" t="s">
        <v>11</v>
      </c>
      <c r="F27" s="307"/>
      <c r="G27" s="965" t="s">
        <v>11</v>
      </c>
      <c r="H27" s="514"/>
      <c r="I27" s="983" t="s">
        <v>11</v>
      </c>
      <c r="L27" s="122"/>
    </row>
    <row r="28" spans="1:12">
      <c r="A28" s="493" t="s">
        <v>437</v>
      </c>
      <c r="B28" s="989"/>
      <c r="C28" s="984">
        <f>-PGL_Supplies!L7/1000</f>
        <v>-0.78</v>
      </c>
      <c r="D28" s="985" t="s">
        <v>11</v>
      </c>
      <c r="E28" s="984" t="s">
        <v>11</v>
      </c>
      <c r="F28" s="307"/>
      <c r="G28" s="984" t="s">
        <v>11</v>
      </c>
      <c r="H28" s="514"/>
      <c r="I28" s="990" t="s">
        <v>11</v>
      </c>
      <c r="L28" s="1100"/>
    </row>
    <row r="29" spans="1:12">
      <c r="A29" s="425" t="s">
        <v>197</v>
      </c>
      <c r="B29" s="991"/>
      <c r="C29" s="984">
        <f>-PGL_Supplies!AC7/1000</f>
        <v>-109.55</v>
      </c>
      <c r="D29" s="985" t="s">
        <v>11</v>
      </c>
      <c r="E29" s="984">
        <f>-PGL_Supplies!AC7/1000</f>
        <v>-109.55</v>
      </c>
      <c r="F29" s="307"/>
      <c r="G29" s="984">
        <f>-PGL_Supplies!AC7/1000</f>
        <v>-109.55</v>
      </c>
      <c r="H29" s="514"/>
      <c r="I29" s="986">
        <f>-PGL_Supplies!AC7/1000</f>
        <v>-109.55</v>
      </c>
      <c r="L29" s="1100"/>
    </row>
    <row r="30" spans="1:12" ht="16.5" thickBot="1">
      <c r="A30" s="326" t="s">
        <v>11</v>
      </c>
      <c r="B30" s="487" t="s">
        <v>11</v>
      </c>
      <c r="C30" s="1184" t="s">
        <v>743</v>
      </c>
      <c r="D30" s="486"/>
      <c r="E30" s="328"/>
      <c r="F30" s="329" t="s">
        <v>202</v>
      </c>
      <c r="G30" s="328"/>
      <c r="H30" s="992"/>
      <c r="I30" s="331"/>
      <c r="L30" s="594"/>
    </row>
    <row r="31" spans="1:12">
      <c r="A31" s="425" t="s">
        <v>747</v>
      </c>
      <c r="B31" s="324">
        <f>PGL_Requirements!J7/1000</f>
        <v>5.5</v>
      </c>
      <c r="C31" s="8"/>
      <c r="D31" s="613"/>
      <c r="E31" s="8"/>
      <c r="F31" s="332" t="s">
        <v>460</v>
      </c>
      <c r="G31" s="544"/>
      <c r="H31" s="523"/>
      <c r="I31" s="336"/>
      <c r="L31" s="1100"/>
    </row>
    <row r="32" spans="1:12">
      <c r="A32" s="425" t="s">
        <v>748</v>
      </c>
      <c r="B32" s="324">
        <f>PGL_Supplies!X7/1000</f>
        <v>0</v>
      </c>
      <c r="C32" s="315" t="s">
        <v>11</v>
      </c>
      <c r="D32" s="313"/>
      <c r="E32" s="333"/>
      <c r="F32" s="425" t="s">
        <v>461</v>
      </c>
      <c r="G32" s="544"/>
      <c r="H32" s="317"/>
      <c r="I32" s="336"/>
      <c r="L32" s="594"/>
    </row>
    <row r="33" spans="1:12" ht="15.75" thickBot="1">
      <c r="A33" s="1131" t="s">
        <v>4</v>
      </c>
      <c r="B33" s="324">
        <f>PGL_Supplies!Y7/1000</f>
        <v>146.58500000000001</v>
      </c>
      <c r="C33" s="1118" t="s">
        <v>11</v>
      </c>
      <c r="D33" s="349"/>
      <c r="E33" s="554"/>
      <c r="F33" s="425" t="s">
        <v>462</v>
      </c>
      <c r="G33" s="544"/>
      <c r="H33" s="317"/>
      <c r="I33" s="336"/>
      <c r="L33" s="1100"/>
    </row>
    <row r="34" spans="1:12" ht="16.5" thickBot="1">
      <c r="A34" s="559" t="s">
        <v>443</v>
      </c>
      <c r="B34" s="1122">
        <f>+B33+B32-B31</f>
        <v>141.08500000000001</v>
      </c>
      <c r="C34" s="1123" t="s">
        <v>11</v>
      </c>
      <c r="D34" s="531"/>
      <c r="E34" s="521"/>
      <c r="F34" s="425" t="s">
        <v>463</v>
      </c>
      <c r="G34" s="544"/>
      <c r="H34" s="317"/>
      <c r="I34" s="336"/>
      <c r="L34" s="1100"/>
    </row>
    <row r="35" spans="1:12" ht="16.5" thickBot="1">
      <c r="A35" s="326" t="s">
        <v>11</v>
      </c>
      <c r="B35" s="1119" t="s">
        <v>11</v>
      </c>
      <c r="C35" s="996" t="s">
        <v>68</v>
      </c>
      <c r="D35" s="1120"/>
      <c r="E35" s="1121"/>
      <c r="F35" s="425" t="s">
        <v>464</v>
      </c>
      <c r="G35" s="544"/>
      <c r="H35" s="317"/>
      <c r="I35" s="993" t="s">
        <v>691</v>
      </c>
      <c r="L35" s="1100"/>
    </row>
    <row r="36" spans="1:12">
      <c r="A36" s="425" t="s">
        <v>632</v>
      </c>
      <c r="B36" s="324">
        <f>PGL_Requirements!U7/1000</f>
        <v>40.200000000000003</v>
      </c>
      <c r="C36" s="594"/>
      <c r="D36" s="313"/>
      <c r="E36" s="333"/>
      <c r="F36" s="370" t="s">
        <v>465</v>
      </c>
      <c r="G36" s="544"/>
      <c r="H36" s="317"/>
      <c r="I36" s="994"/>
      <c r="L36" s="1100"/>
    </row>
    <row r="37" spans="1:12">
      <c r="A37" s="425" t="s">
        <v>713</v>
      </c>
      <c r="B37" s="324">
        <f>PGL_Supplies!R7/1000</f>
        <v>0</v>
      </c>
      <c r="C37" s="313"/>
      <c r="D37" s="313"/>
      <c r="E37" s="333"/>
      <c r="F37" s="425" t="s">
        <v>466</v>
      </c>
      <c r="G37" s="544"/>
      <c r="H37" s="317"/>
      <c r="I37" s="336"/>
      <c r="L37" s="1100"/>
    </row>
    <row r="38" spans="1:12">
      <c r="A38" s="425" t="s">
        <v>441</v>
      </c>
      <c r="B38" s="324">
        <f>PGL_Requirements!C7/1000</f>
        <v>0</v>
      </c>
      <c r="C38" s="1113"/>
      <c r="D38" s="1114"/>
      <c r="E38" s="1010"/>
      <c r="F38" s="425" t="s">
        <v>467</v>
      </c>
      <c r="G38" s="544"/>
      <c r="H38" s="317"/>
      <c r="I38" s="336"/>
      <c r="L38" s="1100"/>
    </row>
    <row r="39" spans="1:12">
      <c r="A39" s="425" t="s">
        <v>442</v>
      </c>
      <c r="B39" s="324">
        <f>PGL_Supplies!C7/1000</f>
        <v>0</v>
      </c>
      <c r="C39" s="1113"/>
      <c r="D39" s="1114"/>
      <c r="E39" s="812"/>
      <c r="F39" s="995" t="s">
        <v>468</v>
      </c>
      <c r="G39" s="122"/>
      <c r="H39" s="549"/>
      <c r="I39" s="336"/>
      <c r="L39" s="1100"/>
    </row>
    <row r="40" spans="1:12" ht="15.75" thickBot="1">
      <c r="A40" s="638" t="s">
        <v>695</v>
      </c>
      <c r="B40" s="324">
        <f>PGL_Supplies!Z7/1000</f>
        <v>40.200000000000003</v>
      </c>
      <c r="C40" s="122"/>
      <c r="D40" s="1112"/>
      <c r="E40" s="122"/>
      <c r="F40" s="547" t="s">
        <v>469</v>
      </c>
      <c r="G40" s="544"/>
      <c r="H40" s="350"/>
      <c r="I40" s="336"/>
      <c r="L40" s="594"/>
    </row>
    <row r="41" spans="1:12" ht="16.5" thickBot="1">
      <c r="A41" s="559" t="s">
        <v>443</v>
      </c>
      <c r="B41" s="566">
        <f>B40+B37-B36-B38+B39</f>
        <v>0</v>
      </c>
      <c r="C41" s="531"/>
      <c r="D41" s="531"/>
      <c r="E41" s="521"/>
      <c r="F41" s="425" t="s">
        <v>470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6" t="s">
        <v>69</v>
      </c>
      <c r="D42" s="558"/>
      <c r="E42" s="997" t="s">
        <v>11</v>
      </c>
      <c r="F42" s="425" t="s">
        <v>471</v>
      </c>
      <c r="G42" s="544"/>
      <c r="H42" s="317"/>
      <c r="I42" s="336"/>
    </row>
    <row r="43" spans="1:12">
      <c r="A43" s="425" t="s">
        <v>518</v>
      </c>
      <c r="B43" s="324">
        <f>NSG_Supplies!O7/1000+PGL_Supplies!AA7/1000</f>
        <v>0</v>
      </c>
      <c r="C43" s="352"/>
      <c r="D43" s="313"/>
      <c r="E43" s="351"/>
      <c r="F43" s="425" t="s">
        <v>403</v>
      </c>
      <c r="G43" s="544"/>
      <c r="H43" s="352"/>
      <c r="I43" s="336"/>
    </row>
    <row r="44" spans="1:12">
      <c r="A44" s="771" t="s">
        <v>519</v>
      </c>
      <c r="B44" s="324">
        <v>0</v>
      </c>
      <c r="C44" s="594"/>
      <c r="D44" s="313"/>
      <c r="E44" s="351"/>
      <c r="F44" s="370" t="s">
        <v>472</v>
      </c>
      <c r="G44" s="548"/>
      <c r="H44" s="539"/>
      <c r="I44" s="336"/>
    </row>
    <row r="45" spans="1:12" ht="15.75" thickBot="1">
      <c r="A45" s="425" t="s">
        <v>446</v>
      </c>
      <c r="B45" s="998">
        <f>PGL_Requirements!D7/1000</f>
        <v>0</v>
      </c>
      <c r="C45" s="352"/>
      <c r="D45" s="313"/>
      <c r="E45" s="351"/>
      <c r="F45" s="370" t="s">
        <v>473</v>
      </c>
      <c r="G45" s="548"/>
      <c r="H45" s="550"/>
      <c r="I45" s="336"/>
    </row>
    <row r="46" spans="1:12" ht="16.5" thickBot="1">
      <c r="A46" s="425" t="s">
        <v>447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443</v>
      </c>
      <c r="B47" s="999">
        <f>B43+B44-B45+B46</f>
        <v>0</v>
      </c>
      <c r="C47" s="1000"/>
      <c r="D47" s="531"/>
      <c r="E47" s="1001"/>
      <c r="F47" s="528" t="s">
        <v>11</v>
      </c>
      <c r="G47" s="529" t="s">
        <v>474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6" t="s">
        <v>60</v>
      </c>
      <c r="D48" s="558"/>
      <c r="E48" s="558"/>
      <c r="F48" s="568" t="s">
        <v>426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155</v>
      </c>
      <c r="C49" s="313"/>
      <c r="D49" s="313"/>
      <c r="E49" s="313"/>
      <c r="F49" s="361" t="s">
        <v>475</v>
      </c>
      <c r="G49" s="313"/>
      <c r="H49" s="388" t="s">
        <v>11</v>
      </c>
      <c r="I49" s="366" t="s">
        <v>11</v>
      </c>
    </row>
    <row r="50" spans="1:9" ht="15.75" thickBot="1">
      <c r="A50" s="425" t="s">
        <v>448</v>
      </c>
      <c r="B50" s="324">
        <f>PGL_Supplies!M7/1000</f>
        <v>0</v>
      </c>
      <c r="C50" s="313"/>
      <c r="D50" s="313"/>
      <c r="E50" s="313"/>
      <c r="F50" s="537" t="s">
        <v>476</v>
      </c>
      <c r="G50" s="355"/>
      <c r="H50" s="526" t="s">
        <v>11</v>
      </c>
      <c r="I50" s="407"/>
    </row>
    <row r="51" spans="1:9" ht="15.75" thickBot="1">
      <c r="A51" s="425" t="s">
        <v>449</v>
      </c>
      <c r="B51" s="324">
        <f>SUM(PGL_Requirements!B7/1000)</f>
        <v>0</v>
      </c>
      <c r="C51" s="313"/>
      <c r="D51" s="313"/>
      <c r="E51" s="313"/>
      <c r="F51" s="565" t="s">
        <v>452</v>
      </c>
      <c r="G51" s="531"/>
      <c r="H51" s="566" t="s">
        <v>11</v>
      </c>
      <c r="I51" s="1002" t="s">
        <v>11</v>
      </c>
    </row>
    <row r="52" spans="1:9" ht="16.5" thickBot="1">
      <c r="A52" s="425" t="s">
        <v>450</v>
      </c>
      <c r="B52" s="324">
        <f>PGL_Supplies!H7/1000</f>
        <v>1</v>
      </c>
      <c r="C52" s="313"/>
      <c r="D52" s="313"/>
      <c r="E52" s="313"/>
      <c r="F52" s="358" t="s">
        <v>477</v>
      </c>
      <c r="G52" s="359"/>
      <c r="H52" s="359"/>
      <c r="I52" s="360"/>
    </row>
    <row r="53" spans="1:9">
      <c r="A53" s="370" t="s">
        <v>739</v>
      </c>
      <c r="B53" s="324">
        <f>PGL_Requirements!R7/1000</f>
        <v>0.63</v>
      </c>
      <c r="C53" s="313"/>
      <c r="D53" s="313"/>
      <c r="E53" s="313"/>
      <c r="F53" s="542" t="s">
        <v>478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740</v>
      </c>
      <c r="B54" s="324">
        <f>PGL_Requirements!Q7/1000</f>
        <v>2.3250000000000002</v>
      </c>
      <c r="C54" s="349"/>
      <c r="D54" s="349"/>
      <c r="E54" s="349"/>
      <c r="F54" s="358" t="s">
        <v>421</v>
      </c>
      <c r="G54" s="359"/>
      <c r="H54" s="359"/>
      <c r="I54" s="360"/>
    </row>
    <row r="55" spans="1:9" ht="16.5" thickBot="1">
      <c r="A55" s="518" t="s">
        <v>452</v>
      </c>
      <c r="B55" s="519">
        <f>-B49+B50+B52-B53-B51+B56+B57</f>
        <v>-99.63</v>
      </c>
      <c r="C55" s="520"/>
      <c r="D55" s="520"/>
      <c r="E55" s="521"/>
      <c r="F55" s="547" t="s">
        <v>480</v>
      </c>
      <c r="G55" s="545"/>
      <c r="H55" s="540"/>
      <c r="I55" s="1003">
        <f>PGL_Requirements!E7/1000</f>
        <v>3.9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481</v>
      </c>
      <c r="G56" s="544"/>
      <c r="H56" s="1005">
        <f>PGL_Supplies!E7/1000</f>
        <v>0</v>
      </c>
      <c r="I56" s="1006" t="s">
        <v>11</v>
      </c>
    </row>
    <row r="57" spans="1:9" ht="15.75" thickBot="1">
      <c r="A57" s="425" t="s">
        <v>216</v>
      </c>
      <c r="B57" s="1004">
        <v>55</v>
      </c>
      <c r="C57" s="377"/>
      <c r="D57" s="377"/>
      <c r="E57" s="1116"/>
      <c r="F57" s="425" t="s">
        <v>109</v>
      </c>
      <c r="G57" s="573"/>
      <c r="H57" s="1005">
        <f>PGL_Supplies!AB7/1000+NSG_Supplies!N7/1000</f>
        <v>144.566</v>
      </c>
      <c r="I57" s="1006" t="s">
        <v>11</v>
      </c>
    </row>
    <row r="58" spans="1:9" ht="16.5" thickBot="1">
      <c r="A58" s="639" t="s">
        <v>11</v>
      </c>
      <c r="B58" s="1007"/>
      <c r="C58" s="1008" t="s">
        <v>37</v>
      </c>
      <c r="D58" s="1009"/>
      <c r="E58" s="1115"/>
      <c r="F58" s="122" t="s">
        <v>624</v>
      </c>
      <c r="G58" s="122"/>
      <c r="H58" s="1005">
        <f>PGL_Supplies!T7/1000*0.5</f>
        <v>10.645</v>
      </c>
      <c r="I58" s="1010"/>
    </row>
    <row r="59" spans="1:9" ht="15.75" thickBot="1">
      <c r="A59" s="425" t="s">
        <v>454</v>
      </c>
      <c r="B59" s="324">
        <f>PGL_Supplies!Q7/1000</f>
        <v>0</v>
      </c>
      <c r="C59" s="381" t="s">
        <v>11</v>
      </c>
      <c r="D59" s="313"/>
      <c r="E59" s="382"/>
      <c r="F59" s="122" t="s">
        <v>623</v>
      </c>
      <c r="G59" s="122"/>
      <c r="H59" s="1011"/>
      <c r="I59" s="1012">
        <f>PGL_Requirements!H7/1000</f>
        <v>0</v>
      </c>
    </row>
    <row r="60" spans="1:9" ht="16.5" thickBot="1">
      <c r="A60" s="425" t="s">
        <v>455</v>
      </c>
      <c r="B60" s="388">
        <f>PGL_Requirements!F7/1000</f>
        <v>1.006</v>
      </c>
      <c r="C60" s="381" t="s">
        <v>11</v>
      </c>
      <c r="D60" s="313"/>
      <c r="E60" s="382"/>
      <c r="F60" s="551" t="s">
        <v>692</v>
      </c>
      <c r="G60" s="430"/>
      <c r="H60" s="430"/>
      <c r="I60" s="1081">
        <f>SUM(H55:H59)-I55</f>
        <v>151.31100000000001</v>
      </c>
    </row>
    <row r="61" spans="1:9">
      <c r="A61" s="425" t="s">
        <v>456</v>
      </c>
      <c r="B61" s="324">
        <f>PGL_Supplies!G7/1000</f>
        <v>0</v>
      </c>
      <c r="C61" s="324"/>
      <c r="D61" s="313"/>
      <c r="E61" s="317"/>
      <c r="F61" s="1013" t="s">
        <v>787</v>
      </c>
      <c r="G61" s="1014"/>
      <c r="H61" s="1084"/>
      <c r="I61" s="1082">
        <v>0</v>
      </c>
    </row>
    <row r="62" spans="1:9" ht="15.75" thickBot="1">
      <c r="A62" s="425" t="s">
        <v>109</v>
      </c>
      <c r="B62" s="1016">
        <f>PGL_Supplies!AD7/1000</f>
        <v>1.006</v>
      </c>
      <c r="C62" s="527"/>
      <c r="D62" s="349"/>
      <c r="E62" s="525"/>
      <c r="F62" s="1015" t="s">
        <v>788</v>
      </c>
      <c r="G62" s="594"/>
      <c r="H62" s="1085" t="s">
        <v>11</v>
      </c>
      <c r="I62" s="1083">
        <f>I60-I61-I63</f>
        <v>151.31100000000001</v>
      </c>
    </row>
    <row r="63" spans="1:9" ht="16.5" thickBot="1">
      <c r="A63" s="799" t="s">
        <v>559</v>
      </c>
      <c r="B63" s="1018">
        <f>+B62+B61-B60+B59</f>
        <v>0</v>
      </c>
      <c r="C63" s="999" t="s">
        <v>11</v>
      </c>
      <c r="D63" s="531"/>
      <c r="E63" s="521"/>
      <c r="F63" s="1017" t="s">
        <v>789</v>
      </c>
      <c r="G63" s="225"/>
      <c r="H63" s="1113"/>
      <c r="I63" s="1180">
        <f>I59</f>
        <v>0</v>
      </c>
    </row>
    <row r="64" spans="1:9" ht="15.75">
      <c r="A64" s="542" t="s">
        <v>730</v>
      </c>
      <c r="B64" s="1024"/>
      <c r="C64" s="1034" t="s">
        <v>11</v>
      </c>
      <c r="D64" s="1034" t="s">
        <v>11</v>
      </c>
      <c r="E64" s="1035" t="s">
        <v>11</v>
      </c>
      <c r="F64" s="1183" t="s">
        <v>790</v>
      </c>
      <c r="G64" s="434"/>
      <c r="H64" s="1114"/>
      <c r="I64" s="1180">
        <f>PGL_Requirements!H7/1000</f>
        <v>0</v>
      </c>
    </row>
    <row r="65" spans="1:9" ht="15.75">
      <c r="A65" s="370" t="s">
        <v>731</v>
      </c>
      <c r="B65" s="1027"/>
      <c r="C65" s="1033" t="s">
        <v>11</v>
      </c>
      <c r="D65" s="1033" t="s">
        <v>11</v>
      </c>
      <c r="E65" s="1181" t="s">
        <v>11</v>
      </c>
      <c r="F65" s="1182" t="s">
        <v>3</v>
      </c>
      <c r="H65" s="1114"/>
      <c r="I65" s="1190">
        <f>+I61+I62+I63-I64-I66</f>
        <v>130.53700000000001</v>
      </c>
    </row>
    <row r="66" spans="1:9" ht="15.75">
      <c r="A66" s="1186" t="s">
        <v>779</v>
      </c>
      <c r="B66" s="1025"/>
      <c r="C66" s="1036" t="s">
        <v>11</v>
      </c>
      <c r="D66" s="1036" t="s">
        <v>11</v>
      </c>
      <c r="E66" s="1037" t="s">
        <v>11</v>
      </c>
      <c r="F66" s="1191" t="s">
        <v>803</v>
      </c>
      <c r="G66" s="1117"/>
      <c r="H66" s="240"/>
      <c r="I66" s="1180">
        <f>PGL_Requirements!K7/1000</f>
        <v>20.774000000000001</v>
      </c>
    </row>
    <row r="67" spans="1:9" ht="16.5" thickBot="1">
      <c r="A67" s="1022" t="s">
        <v>696</v>
      </c>
      <c r="B67" s="1029" t="s">
        <v>11</v>
      </c>
      <c r="C67" s="1096" t="s">
        <v>11</v>
      </c>
      <c r="D67" s="1096" t="s">
        <v>11</v>
      </c>
      <c r="E67" s="1097" t="s">
        <v>11</v>
      </c>
      <c r="F67" s="358" t="s">
        <v>746</v>
      </c>
      <c r="G67" s="359"/>
      <c r="H67" s="359"/>
      <c r="I67" s="360"/>
    </row>
    <row r="68" spans="1:9" ht="16.5" thickBot="1">
      <c r="A68" s="1105" t="s">
        <v>749</v>
      </c>
      <c r="B68" s="1098"/>
      <c r="C68" s="122"/>
      <c r="D68" s="1098"/>
      <c r="E68" s="122"/>
      <c r="F68" s="581" t="s">
        <v>484</v>
      </c>
      <c r="G68" s="541" t="s">
        <v>11</v>
      </c>
      <c r="H68" s="574" t="s">
        <v>11</v>
      </c>
      <c r="I68" s="586" t="s">
        <v>11</v>
      </c>
    </row>
    <row r="69" spans="1:9" ht="16.5" thickBot="1">
      <c r="A69" s="518" t="s">
        <v>732</v>
      </c>
      <c r="B69" s="1028" t="s">
        <v>11</v>
      </c>
      <c r="C69" s="1030" t="s">
        <v>11</v>
      </c>
      <c r="D69" s="1030" t="s">
        <v>11</v>
      </c>
      <c r="E69" s="1030" t="s">
        <v>11</v>
      </c>
      <c r="F69" s="361" t="s">
        <v>485</v>
      </c>
      <c r="G69" s="313"/>
      <c r="H69" s="540"/>
      <c r="I69" s="1021"/>
    </row>
    <row r="70" spans="1:9" ht="16.5" thickBot="1">
      <c r="A70" s="1185" t="s">
        <v>778</v>
      </c>
      <c r="B70" s="1026" t="s">
        <v>11</v>
      </c>
      <c r="C70" s="1031" t="s">
        <v>11</v>
      </c>
      <c r="D70" s="1031" t="s">
        <v>11</v>
      </c>
      <c r="E70" s="1032" t="s">
        <v>11</v>
      </c>
      <c r="F70" s="1023" t="s">
        <v>486</v>
      </c>
      <c r="G70" s="120"/>
      <c r="H70" s="1020" t="s">
        <v>487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9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TUE</v>
      </c>
      <c r="G1" s="1080">
        <f>Weather_Input!A5</f>
        <v>37019</v>
      </c>
      <c r="H1" s="589" t="s">
        <v>258</v>
      </c>
      <c r="I1" s="593"/>
    </row>
    <row r="2" spans="1:9" ht="20.25">
      <c r="A2" s="642" t="s">
        <v>11</v>
      </c>
      <c r="B2" s="793" t="s">
        <v>555</v>
      </c>
      <c r="C2" s="952">
        <v>62.5</v>
      </c>
      <c r="D2" s="795" t="s">
        <v>556</v>
      </c>
      <c r="E2" s="794"/>
      <c r="F2" s="795" t="s">
        <v>557</v>
      </c>
      <c r="G2" s="794"/>
      <c r="H2" s="796" t="s">
        <v>496</v>
      </c>
      <c r="I2" s="645"/>
    </row>
    <row r="3" spans="1:9" ht="20.25">
      <c r="A3" s="1089" t="s">
        <v>497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75</v>
      </c>
      <c r="C4" s="758">
        <f>Weather_Input!C5</f>
        <v>51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43.7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39.6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8" t="s">
        <v>640</v>
      </c>
      <c r="B9" s="675"/>
      <c r="C9" s="1111">
        <f>B46</f>
        <v>4.0999999999999996</v>
      </c>
      <c r="D9" s="673"/>
      <c r="E9" s="674"/>
      <c r="F9" s="673"/>
      <c r="G9" s="673"/>
      <c r="H9" s="675"/>
      <c r="I9" s="676"/>
    </row>
    <row r="10" spans="1:9" ht="12" customHeight="1" thickBot="1">
      <c r="A10" s="824"/>
      <c r="B10" s="668"/>
      <c r="C10" s="663"/>
      <c r="D10" s="825"/>
      <c r="E10" s="669"/>
      <c r="F10" s="825"/>
      <c r="G10" s="825"/>
      <c r="H10" s="668"/>
      <c r="I10" s="826"/>
    </row>
    <row r="11" spans="1:9" ht="23.25">
      <c r="A11" s="670" t="s">
        <v>498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499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500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501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502</v>
      </c>
      <c r="B18" s="662"/>
      <c r="C18" s="663" t="s">
        <v>11</v>
      </c>
      <c r="D18" s="664"/>
      <c r="E18" s="663"/>
      <c r="F18" s="664"/>
      <c r="G18" s="507" t="s">
        <v>644</v>
      </c>
      <c r="H18" s="662"/>
      <c r="I18" s="829"/>
    </row>
    <row r="19" spans="1:9" ht="24" thickBot="1">
      <c r="A19" s="703" t="s">
        <v>428</v>
      </c>
      <c r="B19" s="704"/>
      <c r="C19" s="705">
        <f>C7+C12</f>
        <v>39.6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430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433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503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434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436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437</v>
      </c>
      <c r="B25" s="714"/>
      <c r="C25" s="711">
        <f>-NSG_Supplies!F7/1000</f>
        <v>-8.06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-31.536000000000001</v>
      </c>
      <c r="D26" s="718"/>
      <c r="E26" s="711">
        <f>-NSG_Supplies!R7/1000</f>
        <v>-31.536000000000001</v>
      </c>
      <c r="F26" s="718"/>
      <c r="G26" s="711">
        <f>-NSG_Supplies!R7/1000</f>
        <v>-31.536000000000001</v>
      </c>
      <c r="H26" s="717"/>
      <c r="I26" s="776">
        <f>-NSG_Supplies!R7/1000</f>
        <v>-31.536000000000001</v>
      </c>
    </row>
    <row r="27" spans="1:9" ht="20.25">
      <c r="A27" s="709" t="s">
        <v>435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532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498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440</v>
      </c>
      <c r="B30" s="760">
        <f>NSG_Requirements!O7/1000</f>
        <v>0</v>
      </c>
      <c r="C30" s="729" t="s">
        <v>11</v>
      </c>
      <c r="D30" s="730"/>
      <c r="E30" s="731"/>
      <c r="F30" s="732" t="s">
        <v>283</v>
      </c>
      <c r="G30" s="733"/>
      <c r="H30" s="733"/>
      <c r="I30" s="734"/>
    </row>
    <row r="31" spans="1:9" ht="20.25">
      <c r="A31" s="784" t="s">
        <v>533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534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504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516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517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505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0" t="s">
        <v>645</v>
      </c>
      <c r="D39" s="723"/>
      <c r="E39" s="725"/>
      <c r="F39" s="643"/>
      <c r="G39" s="715"/>
      <c r="H39" s="715"/>
      <c r="I39" s="734"/>
    </row>
    <row r="40" spans="1:9" ht="20.25">
      <c r="A40" s="709" t="s">
        <v>506</v>
      </c>
      <c r="B40" s="820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507</v>
      </c>
      <c r="B41" s="821">
        <f>NSG_Requirements!J7/1000</f>
        <v>15.9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508</v>
      </c>
      <c r="B42" s="822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509</v>
      </c>
      <c r="B43" s="821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510</v>
      </c>
      <c r="B44" s="821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641</v>
      </c>
      <c r="B45" s="822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505</v>
      </c>
      <c r="B46" s="823">
        <f>B45+B42-B41</f>
        <v>4.0999999999999996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511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512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513</v>
      </c>
      <c r="D52" s="723"/>
      <c r="E52" s="725"/>
      <c r="F52" s="643"/>
      <c r="G52" s="715"/>
      <c r="H52" s="715"/>
      <c r="I52" s="734"/>
    </row>
    <row r="53" spans="1:9" ht="20.25">
      <c r="A53" s="753" t="s">
        <v>514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515</v>
      </c>
      <c r="B54" s="765"/>
      <c r="C54" s="766"/>
      <c r="D54" s="767"/>
      <c r="E54" s="768"/>
      <c r="F54" s="757"/>
      <c r="G54" s="769"/>
      <c r="H54" s="1091"/>
      <c r="I54" s="1090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37019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536</v>
      </c>
      <c r="C3" s="453">
        <v>44</v>
      </c>
      <c r="D3" s="259"/>
      <c r="E3" s="259"/>
      <c r="F3" s="453" t="s">
        <v>396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75</v>
      </c>
      <c r="C5" s="266">
        <f>Weather_Input!C5</f>
        <v>51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240</v>
      </c>
      <c r="C8" s="274">
        <f>NSG_Deliveries!C5/1000</f>
        <v>43.7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172.309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-8.414999999999992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399</v>
      </c>
      <c r="B18" s="458">
        <f>-B10-B11-B12-B13-B14-B15+B16-B17</f>
        <v>-179.89400000000001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60.105999999999995</v>
      </c>
      <c r="C20" s="295">
        <f>C8+C18+C19</f>
        <v>43.7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2.3250000000000002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62.430999999999997</v>
      </c>
      <c r="C23" s="301">
        <f>C20</f>
        <v>43.7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405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-109.55</v>
      </c>
      <c r="C32" s="315">
        <f>-NSG_Supplies!R7/1000</f>
        <v>-31.536000000000001</v>
      </c>
      <c r="D32" s="315">
        <f>B32</f>
        <v>-109.55</v>
      </c>
      <c r="E32" s="315">
        <f>C32</f>
        <v>-31.536000000000001</v>
      </c>
      <c r="F32" s="315">
        <f>B32</f>
        <v>-109.55</v>
      </c>
      <c r="G32" s="315">
        <f>C32</f>
        <v>-31.536000000000001</v>
      </c>
      <c r="H32" s="320">
        <f>B32</f>
        <v>-109.55</v>
      </c>
      <c r="I32" s="321">
        <f>C32</f>
        <v>-31.536000000000001</v>
      </c>
    </row>
    <row r="33" spans="1:9" ht="17.100000000000001" customHeight="1">
      <c r="A33" s="319" t="s">
        <v>393</v>
      </c>
      <c r="B33" s="315">
        <f>-PGL_Supplies!X7/1000</f>
        <v>0</v>
      </c>
      <c r="C33" s="315">
        <f>-NSG_Supplies!S7/1000</f>
        <v>-20.591000000000001</v>
      </c>
      <c r="D33" s="315">
        <f>B33</f>
        <v>0</v>
      </c>
      <c r="E33" s="315">
        <f>C33</f>
        <v>-20.591000000000001</v>
      </c>
      <c r="F33" s="315">
        <f>B33</f>
        <v>0</v>
      </c>
      <c r="G33" s="315">
        <f>C33</f>
        <v>-20.591000000000001</v>
      </c>
      <c r="H33" s="320">
        <f>B33</f>
        <v>0</v>
      </c>
      <c r="I33" s="321">
        <f>C33</f>
        <v>-20.591000000000001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-0.78</v>
      </c>
      <c r="C36" s="315">
        <f>-NSG_Supplies!F7/1000</f>
        <v>-8.06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406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413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155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2.3250000000000002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2.3250000000000002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370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410</v>
      </c>
      <c r="B50" s="324">
        <f>PGL_Supplies!V7/1000+PGL_Supplies!D7/1000</f>
        <v>177.809</v>
      </c>
      <c r="C50" s="313"/>
      <c r="D50" s="313"/>
      <c r="E50" s="313"/>
      <c r="F50" s="319" t="s">
        <v>402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371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5.5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172.309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393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495</v>
      </c>
      <c r="B57" s="324">
        <f>PGL_Supplies!Z7/1000+PGL_Supplies!C7/1000-PGL_Requirements!C7/1000</f>
        <v>40.200000000000003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40.200000000000003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415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412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393</v>
      </c>
      <c r="B64" s="324">
        <f>PGL_Supplies!Y7/1000</f>
        <v>146.58500000000001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494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398</v>
      </c>
      <c r="I69" s="382"/>
    </row>
    <row r="70" spans="1:10" ht="17.100000000000001" customHeight="1">
      <c r="A70" s="332" t="s">
        <v>246</v>
      </c>
      <c r="B70" s="388">
        <f>PGL_Requirements!P7/1000</f>
        <v>155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1.006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-8.414999999999992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TUE</v>
      </c>
      <c r="H73" s="406">
        <f>Weather_Input!A5</f>
        <v>37019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420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417</v>
      </c>
      <c r="C91" s="269" t="s">
        <v>11</v>
      </c>
      <c r="D91" s="601" t="s">
        <v>488</v>
      </c>
      <c r="E91" s="608"/>
      <c r="F91" s="606" t="s">
        <v>489</v>
      </c>
      <c r="G91" s="607"/>
      <c r="H91" s="605" t="s">
        <v>174</v>
      </c>
      <c r="I91" s="260"/>
    </row>
    <row r="92" spans="1:9" ht="15">
      <c r="A92" s="493" t="s">
        <v>418</v>
      </c>
      <c r="B92" s="600" t="s">
        <v>409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419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0</v>
      </c>
      <c r="D97" s="602"/>
      <c r="E97" s="614">
        <f>+C97</f>
        <v>0</v>
      </c>
      <c r="F97" s="602"/>
      <c r="G97" s="614">
        <f>+C97</f>
        <v>0</v>
      </c>
      <c r="H97" s="602"/>
      <c r="I97" s="285">
        <f>+C97</f>
        <v>0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-5322.1909999999998</v>
      </c>
      <c r="D99" s="620"/>
      <c r="E99" s="269"/>
      <c r="F99" s="602"/>
      <c r="G99" s="269"/>
      <c r="H99" s="602"/>
      <c r="I99" s="267"/>
    </row>
    <row r="100" spans="1:9" ht="15">
      <c r="A100" s="493" t="s">
        <v>421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422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146.58500000000001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423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424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425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426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427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428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429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430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431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432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433</v>
      </c>
      <c r="B116" s="419">
        <f>-PGL_Supplies!Z7/1000</f>
        <v>-40.200000000000003</v>
      </c>
      <c r="C116" s="419">
        <f>-NSG_Supplies!W7/1000</f>
        <v>0</v>
      </c>
      <c r="D116" s="315">
        <f>-PGL_Supplies!Z7/1000</f>
        <v>-40.200000000000003</v>
      </c>
      <c r="E116" s="315">
        <f>-NSG_Supplies!W7/1000</f>
        <v>0</v>
      </c>
      <c r="F116" s="315">
        <f>-PGL_Supplies!Z7/1000</f>
        <v>-40.200000000000003</v>
      </c>
      <c r="G116" s="315">
        <f>-NSG_Supplies!W7/1000</f>
        <v>0</v>
      </c>
      <c r="H116" s="320">
        <f>-PGL_Supplies!Z7/1000</f>
        <v>-40.200000000000003</v>
      </c>
      <c r="I116" s="321">
        <f>-NSG_Supplies!W7/1000</f>
        <v>0</v>
      </c>
    </row>
    <row r="117" spans="1:9" ht="15">
      <c r="A117" s="425" t="s">
        <v>434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436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437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435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438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439</v>
      </c>
      <c r="B123" s="315">
        <f>-PGL_Supplies!X7/1000</f>
        <v>0</v>
      </c>
      <c r="C123" s="315">
        <f>-NSG_Supplies!S7/1000</f>
        <v>-20.591000000000001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440</v>
      </c>
      <c r="B125" s="315">
        <f>PGL_Requirements!U7/1000</f>
        <v>40.200000000000003</v>
      </c>
      <c r="F125" s="542" t="s">
        <v>11</v>
      </c>
      <c r="G125" s="543"/>
      <c r="H125" s="610"/>
      <c r="I125" s="336"/>
    </row>
    <row r="126" spans="1:9" ht="15">
      <c r="A126" s="425" t="s">
        <v>397</v>
      </c>
      <c r="B126" s="324">
        <f>PGL_Supplies!R7/1000</f>
        <v>0</v>
      </c>
      <c r="C126" s="315" t="s">
        <v>11</v>
      </c>
      <c r="D126" s="313"/>
      <c r="E126" s="333"/>
      <c r="F126" s="425" t="s">
        <v>460</v>
      </c>
      <c r="G126" s="544"/>
      <c r="H126" s="549"/>
      <c r="I126" s="336"/>
    </row>
    <row r="127" spans="1:9" ht="15">
      <c r="A127" s="425" t="s">
        <v>490</v>
      </c>
      <c r="B127" s="315">
        <f>PGL_Requirements!O7/1000</f>
        <v>0</v>
      </c>
      <c r="C127" s="315" t="s">
        <v>11</v>
      </c>
      <c r="D127" s="313"/>
      <c r="E127" s="333"/>
      <c r="F127" s="425" t="s">
        <v>461</v>
      </c>
      <c r="G127" s="544"/>
      <c r="H127" s="317"/>
      <c r="I127" s="336"/>
    </row>
    <row r="128" spans="1:9" ht="15">
      <c r="A128" s="425" t="s">
        <v>430</v>
      </c>
      <c r="B128" s="315">
        <f>PGL_Requirements!I7/1000</f>
        <v>0</v>
      </c>
      <c r="C128" s="315" t="s">
        <v>11</v>
      </c>
      <c r="D128" s="313"/>
      <c r="E128" s="333"/>
      <c r="F128" s="425" t="s">
        <v>462</v>
      </c>
      <c r="G128" s="544"/>
      <c r="H128" s="317"/>
      <c r="I128" s="336"/>
    </row>
    <row r="129" spans="1:9" ht="15">
      <c r="A129" s="425" t="s">
        <v>441</v>
      </c>
      <c r="B129" s="315">
        <f>PGL_Requirements!C7/1000</f>
        <v>0</v>
      </c>
      <c r="C129" s="313"/>
      <c r="D129" s="313"/>
      <c r="E129" s="333"/>
      <c r="F129" s="425" t="s">
        <v>463</v>
      </c>
      <c r="G129" s="544"/>
      <c r="H129" s="317"/>
      <c r="I129" s="336"/>
    </row>
    <row r="130" spans="1:9" ht="15">
      <c r="A130" s="425" t="s">
        <v>442</v>
      </c>
      <c r="B130" s="315">
        <f>PGL_Requirements!AA7/1000</f>
        <v>0</v>
      </c>
      <c r="C130" s="594"/>
      <c r="D130" s="313"/>
      <c r="E130" s="333"/>
      <c r="F130" s="425" t="s">
        <v>464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40.200000000000003</v>
      </c>
      <c r="C131" s="313"/>
      <c r="D131" s="313"/>
      <c r="E131" s="333"/>
      <c r="F131" s="370" t="s">
        <v>465</v>
      </c>
      <c r="G131" s="544"/>
      <c r="H131" s="317"/>
      <c r="I131" s="336"/>
    </row>
    <row r="132" spans="1:9" ht="15.75" thickBot="1">
      <c r="A132" s="425" t="s">
        <v>393</v>
      </c>
      <c r="B132" s="324">
        <f>PGL_Supplies!U7/1000</f>
        <v>0</v>
      </c>
      <c r="C132" s="349"/>
      <c r="D132" s="349"/>
      <c r="E132" s="554"/>
      <c r="F132" s="425" t="s">
        <v>466</v>
      </c>
      <c r="G132" s="544"/>
      <c r="H132" s="317"/>
      <c r="I132" s="336"/>
    </row>
    <row r="133" spans="1:9" ht="16.5" thickBot="1">
      <c r="A133" s="559" t="s">
        <v>443</v>
      </c>
      <c r="B133" s="566">
        <f>B126+B127+B130+B131+B132-B125-B128-B129</f>
        <v>0</v>
      </c>
      <c r="C133" s="531"/>
      <c r="D133" s="531"/>
      <c r="E133" s="521"/>
      <c r="F133" s="425" t="s">
        <v>467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468</v>
      </c>
      <c r="G134" s="545"/>
      <c r="H134" s="317"/>
      <c r="I134" s="336"/>
    </row>
    <row r="135" spans="1:9" ht="15">
      <c r="A135" s="425" t="s">
        <v>430</v>
      </c>
      <c r="B135" s="135">
        <f>PGL_Requirements!J7</f>
        <v>5500</v>
      </c>
      <c r="C135" s="8"/>
      <c r="D135" s="8"/>
      <c r="E135" s="8"/>
      <c r="F135" s="547" t="s">
        <v>469</v>
      </c>
      <c r="G135" s="545"/>
      <c r="H135" s="350"/>
      <c r="I135" s="336"/>
    </row>
    <row r="136" spans="1:9" ht="15">
      <c r="A136" s="425" t="s">
        <v>444</v>
      </c>
      <c r="B136" s="324">
        <f>NSG_Supplies!O7/1011</f>
        <v>0</v>
      </c>
      <c r="C136" s="313"/>
      <c r="D136" s="313"/>
      <c r="E136" s="313"/>
      <c r="F136" s="425" t="s">
        <v>470</v>
      </c>
      <c r="G136" s="544"/>
      <c r="H136" s="352"/>
      <c r="I136" s="336"/>
    </row>
    <row r="137" spans="1:9" ht="15">
      <c r="A137" s="425" t="s">
        <v>445</v>
      </c>
      <c r="B137" s="324">
        <f>PGL_Supplies!AA7/1000</f>
        <v>0</v>
      </c>
      <c r="C137" s="594"/>
      <c r="D137" s="313"/>
      <c r="E137" s="313"/>
      <c r="F137" s="425" t="s">
        <v>471</v>
      </c>
      <c r="G137" s="544"/>
      <c r="H137" s="317"/>
      <c r="I137" s="336"/>
    </row>
    <row r="138" spans="1:9" ht="15">
      <c r="A138" s="425" t="s">
        <v>446</v>
      </c>
      <c r="B138" s="135">
        <f>PGL_Requirements!D7</f>
        <v>0</v>
      </c>
      <c r="C138" s="313"/>
      <c r="D138" s="313"/>
      <c r="E138" s="313"/>
      <c r="F138" s="425" t="s">
        <v>403</v>
      </c>
      <c r="G138" s="544"/>
      <c r="H138" s="352"/>
      <c r="I138" s="336"/>
    </row>
    <row r="139" spans="1:9" ht="15">
      <c r="A139" s="425" t="s">
        <v>447</v>
      </c>
      <c r="B139" s="324">
        <f>PGL_Supplies!D7/1000</f>
        <v>0</v>
      </c>
      <c r="C139" s="313"/>
      <c r="D139" s="313"/>
      <c r="E139" s="313"/>
      <c r="F139" s="370" t="s">
        <v>472</v>
      </c>
      <c r="G139" s="548"/>
      <c r="H139" s="539"/>
      <c r="I139" s="336"/>
    </row>
    <row r="140" spans="1:9" ht="15.75" thickBot="1">
      <c r="A140" s="425" t="s">
        <v>393</v>
      </c>
      <c r="B140" s="324">
        <f>PGL_Supplies!V7/1000</f>
        <v>177.809</v>
      </c>
      <c r="C140" s="349"/>
      <c r="D140" s="349"/>
      <c r="E140" s="349"/>
      <c r="F140" s="370" t="s">
        <v>473</v>
      </c>
      <c r="G140" s="548"/>
      <c r="H140" s="550"/>
      <c r="I140" s="336"/>
    </row>
    <row r="141" spans="1:9" ht="16.5" thickBot="1">
      <c r="A141" s="559" t="s">
        <v>443</v>
      </c>
      <c r="B141" s="561">
        <f>-B135+B136+B137-B138+B139+B140</f>
        <v>-5322.1909999999998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474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155</v>
      </c>
      <c r="C143" s="313"/>
      <c r="D143" s="313"/>
      <c r="E143" s="313"/>
      <c r="F143" s="568" t="s">
        <v>426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448</v>
      </c>
      <c r="B144" s="324">
        <f>PGL_Supplies!M7/1000</f>
        <v>0</v>
      </c>
      <c r="C144" s="313"/>
      <c r="D144" s="313"/>
      <c r="E144" s="313"/>
      <c r="F144" s="361" t="s">
        <v>475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449</v>
      </c>
      <c r="B145" s="324">
        <f>PGL_Requirements!B7/1000</f>
        <v>0</v>
      </c>
      <c r="C145" s="313"/>
      <c r="D145" s="313"/>
      <c r="E145" s="313"/>
      <c r="F145" s="537" t="s">
        <v>476</v>
      </c>
      <c r="G145" s="355"/>
      <c r="H145" s="526" t="s">
        <v>11</v>
      </c>
      <c r="I145" s="407"/>
    </row>
    <row r="146" spans="1:9" ht="15.75" thickBot="1">
      <c r="A146" s="425" t="s">
        <v>450</v>
      </c>
      <c r="B146" s="324">
        <f>PGL_Supplies!H7/1000</f>
        <v>1</v>
      </c>
      <c r="C146" s="313"/>
      <c r="D146" s="313"/>
      <c r="E146" s="313"/>
      <c r="F146" s="565" t="s">
        <v>452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427</v>
      </c>
      <c r="B147" s="324" t="s">
        <v>11</v>
      </c>
      <c r="C147" s="313"/>
      <c r="D147" s="313"/>
      <c r="E147" s="313"/>
      <c r="F147" s="358" t="s">
        <v>477</v>
      </c>
      <c r="G147" s="359"/>
      <c r="H147" s="359"/>
      <c r="I147" s="360"/>
    </row>
    <row r="148" spans="1:9" ht="15.75" thickBot="1">
      <c r="A148" s="425" t="s">
        <v>451</v>
      </c>
      <c r="B148" s="324">
        <f>PGL_Requirements!Q7/1000</f>
        <v>2.3250000000000002</v>
      </c>
      <c r="C148" s="349"/>
      <c r="D148" s="349"/>
      <c r="E148" s="349"/>
      <c r="F148" s="542" t="s">
        <v>478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452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452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421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479</v>
      </c>
      <c r="G152" s="543"/>
      <c r="H152" s="574"/>
      <c r="I152" s="388">
        <f>PGL_Requirements!T7/1000</f>
        <v>0</v>
      </c>
    </row>
    <row r="153" spans="1:9" ht="15">
      <c r="A153" s="425" t="s">
        <v>453</v>
      </c>
      <c r="B153" s="388">
        <f>PGL_Requirements!N7/1000</f>
        <v>0</v>
      </c>
      <c r="C153" s="313"/>
      <c r="D153" s="313"/>
      <c r="E153" s="380"/>
      <c r="F153" s="538" t="s">
        <v>480</v>
      </c>
      <c r="G153" s="545"/>
      <c r="H153" s="540"/>
      <c r="I153" s="388">
        <f>PGL_Requirements!T7/1000</f>
        <v>0</v>
      </c>
    </row>
    <row r="154" spans="1:9" ht="15">
      <c r="A154" s="425" t="s">
        <v>454</v>
      </c>
      <c r="B154" s="324">
        <f>PGL_Supplies!AE7/1000</f>
        <v>0</v>
      </c>
      <c r="C154" s="381" t="s">
        <v>11</v>
      </c>
      <c r="D154" s="313"/>
      <c r="E154" s="382"/>
      <c r="F154" s="537" t="s">
        <v>481</v>
      </c>
      <c r="G154" s="544"/>
      <c r="H154" s="540"/>
      <c r="I154" s="324">
        <f>PGL_Supplies!AL7/1000</f>
        <v>0</v>
      </c>
    </row>
    <row r="155" spans="1:9" ht="15">
      <c r="A155" s="425" t="s">
        <v>455</v>
      </c>
      <c r="B155" s="388">
        <f>PGL_Requirements!F7/1000</f>
        <v>1.006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456</v>
      </c>
      <c r="B156" s="324">
        <f>PGL_Supplies!G7/1000</f>
        <v>0</v>
      </c>
      <c r="C156" s="389" t="s">
        <v>11</v>
      </c>
      <c r="D156" s="313"/>
      <c r="E156" s="382"/>
      <c r="F156" s="370" t="s">
        <v>393</v>
      </c>
      <c r="G156" s="573"/>
      <c r="H156" s="550"/>
      <c r="I156" s="324">
        <f>PGL_Supplies!AL9/1000</f>
        <v>0</v>
      </c>
    </row>
    <row r="157" spans="1:9" ht="15.75">
      <c r="A157" s="425" t="s">
        <v>457</v>
      </c>
      <c r="B157" s="388">
        <f>PGL_Requirements!T7/1000</f>
        <v>0</v>
      </c>
      <c r="C157" s="381" t="s">
        <v>11</v>
      </c>
      <c r="D157" s="313"/>
      <c r="E157" s="382"/>
      <c r="F157" s="575" t="s">
        <v>482</v>
      </c>
      <c r="G157" s="576"/>
      <c r="H157" s="574"/>
      <c r="I157" s="577">
        <v>0</v>
      </c>
    </row>
    <row r="158" spans="1:9" ht="15.75" thickBot="1">
      <c r="A158" s="425" t="s">
        <v>458</v>
      </c>
      <c r="B158" s="324">
        <f>PGL_Supplies!P7/1000</f>
        <v>0</v>
      </c>
      <c r="C158" s="389" t="s">
        <v>11</v>
      </c>
      <c r="D158" s="313"/>
      <c r="E158" s="491"/>
      <c r="F158" s="578" t="s">
        <v>483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1.006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393</v>
      </c>
      <c r="B160" s="611">
        <f>PGL_Supplies!Y7/1000</f>
        <v>146.58500000000001</v>
      </c>
      <c r="C160" s="527" t="s">
        <v>11</v>
      </c>
      <c r="D160" s="349"/>
      <c r="E160" s="525"/>
      <c r="F160" s="581" t="s">
        <v>484</v>
      </c>
      <c r="G160" s="541" t="s">
        <v>11</v>
      </c>
      <c r="H160" s="523"/>
      <c r="I160" s="586"/>
    </row>
    <row r="161" spans="1:9" ht="16.5" thickBot="1">
      <c r="A161" s="595" t="s">
        <v>459</v>
      </c>
      <c r="B161" s="613"/>
      <c r="C161" s="533" t="s">
        <v>11</v>
      </c>
      <c r="D161" s="534"/>
      <c r="E161" s="535"/>
      <c r="F161" s="564" t="s">
        <v>485</v>
      </c>
      <c r="G161" s="349"/>
      <c r="H161" s="584"/>
      <c r="I161" s="585" t="s">
        <v>11</v>
      </c>
    </row>
    <row r="162" spans="1:9" ht="16.5" thickBot="1">
      <c r="A162" s="399" t="s">
        <v>452</v>
      </c>
      <c r="B162" s="612">
        <f>B154+B156+B158+B159+B160-B153-B155-B157-B161</f>
        <v>146.58500000000001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486</v>
      </c>
      <c r="C163" s="597"/>
      <c r="D163" s="597" t="s">
        <v>487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196" t="s">
        <v>259</v>
      </c>
      <c r="C2" s="196" t="s">
        <v>259</v>
      </c>
      <c r="D2" s="196" t="s">
        <v>259</v>
      </c>
      <c r="E2" s="196" t="s">
        <v>259</v>
      </c>
      <c r="F2" s="196" t="s">
        <v>259</v>
      </c>
      <c r="G2" s="196" t="s">
        <v>259</v>
      </c>
      <c r="H2" s="196" t="s">
        <v>259</v>
      </c>
      <c r="I2" s="196" t="s">
        <v>259</v>
      </c>
      <c r="J2" s="6"/>
    </row>
    <row r="14" spans="1:10" ht="30">
      <c r="A14" s="196" t="s">
        <v>266</v>
      </c>
      <c r="B14" s="196" t="s">
        <v>266</v>
      </c>
      <c r="C14" s="196" t="s">
        <v>266</v>
      </c>
      <c r="D14" s="196" t="s">
        <v>266</v>
      </c>
      <c r="E14" s="196" t="s">
        <v>266</v>
      </c>
      <c r="F14" s="196" t="s">
        <v>266</v>
      </c>
      <c r="G14" s="196" t="s">
        <v>266</v>
      </c>
      <c r="H14" s="196" t="s">
        <v>266</v>
      </c>
      <c r="I14" s="196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382</v>
      </c>
      <c r="F5" s="197" t="s">
        <v>261</v>
      </c>
      <c r="G5" s="125" t="s">
        <v>383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384</v>
      </c>
    </row>
    <row r="9" spans="1:10">
      <c r="D9" s="125" t="s">
        <v>386</v>
      </c>
      <c r="G9" s="125" t="s">
        <v>385</v>
      </c>
    </row>
    <row r="10" spans="1:10">
      <c r="D10" s="125" t="s">
        <v>387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391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270</v>
      </c>
      <c r="D22" s="166">
        <f ca="1">NOW()</f>
        <v>37020.187157291664</v>
      </c>
      <c r="F22" s="164" t="s">
        <v>271</v>
      </c>
      <c r="G22" s="191">
        <f ca="1">NOW()</f>
        <v>37020.187157291664</v>
      </c>
    </row>
    <row r="24" spans="2:9">
      <c r="B24" s="164" t="s">
        <v>272</v>
      </c>
      <c r="D24" s="229" t="s">
        <v>407</v>
      </c>
      <c r="E24" t="s">
        <v>11</v>
      </c>
      <c r="F24" s="164" t="s">
        <v>273</v>
      </c>
      <c r="G24" s="165" t="s">
        <v>274</v>
      </c>
    </row>
    <row r="25" spans="2:9" ht="15.75" thickBot="1"/>
    <row r="26" spans="2:9" ht="15.75" thickBot="1">
      <c r="B26" s="209" t="s">
        <v>11</v>
      </c>
      <c r="C26" s="164" t="s">
        <v>275</v>
      </c>
    </row>
    <row r="27" spans="2:9" ht="15.75" thickBot="1">
      <c r="B27" s="209" t="s">
        <v>11</v>
      </c>
      <c r="C27" s="164" t="s">
        <v>276</v>
      </c>
    </row>
    <row r="28" spans="2:9" ht="15.75" thickBot="1">
      <c r="B28" s="209" t="s">
        <v>408</v>
      </c>
      <c r="C28" s="125" t="s">
        <v>388</v>
      </c>
    </row>
    <row r="29" spans="2:9">
      <c r="B29" t="s">
        <v>11</v>
      </c>
      <c r="C29" s="164" t="s">
        <v>389</v>
      </c>
    </row>
    <row r="30" spans="2:9">
      <c r="C30" s="164" t="s">
        <v>11</v>
      </c>
    </row>
    <row r="32" spans="2:9">
      <c r="B32" s="164" t="s">
        <v>277</v>
      </c>
      <c r="E32" s="449">
        <v>35915</v>
      </c>
    </row>
    <row r="34" spans="2:8" ht="15.75">
      <c r="B34" s="164" t="s">
        <v>278</v>
      </c>
      <c r="E34" s="190">
        <v>0</v>
      </c>
      <c r="F34" t="s">
        <v>279</v>
      </c>
    </row>
    <row r="36" spans="2:8" ht="15.75">
      <c r="B36" s="164" t="s">
        <v>280</v>
      </c>
      <c r="E36" s="190">
        <v>0</v>
      </c>
      <c r="F36" t="s">
        <v>279</v>
      </c>
    </row>
    <row r="38" spans="2:8" ht="15.75">
      <c r="B38" t="s">
        <v>281</v>
      </c>
      <c r="E38" s="166">
        <f>+E32+1</f>
        <v>35916</v>
      </c>
      <c r="F38" s="190">
        <v>0</v>
      </c>
      <c r="G38" t="s">
        <v>279</v>
      </c>
    </row>
    <row r="39" spans="2:8" ht="15.75">
      <c r="E39" s="166">
        <f>+E38+1</f>
        <v>35917</v>
      </c>
      <c r="F39" s="190">
        <v>0</v>
      </c>
      <c r="G39" t="s">
        <v>279</v>
      </c>
    </row>
    <row r="40" spans="2:8" ht="15.75">
      <c r="E40" s="166">
        <f>+E39+1</f>
        <v>35918</v>
      </c>
      <c r="F40" s="190">
        <v>0</v>
      </c>
      <c r="G40" t="s">
        <v>279</v>
      </c>
    </row>
    <row r="41" spans="2:8" ht="15.75">
      <c r="E41" s="166">
        <f>+E40+1</f>
        <v>35919</v>
      </c>
      <c r="F41" s="190">
        <v>0</v>
      </c>
      <c r="G41" t="s">
        <v>279</v>
      </c>
    </row>
    <row r="42" spans="2:8" ht="15.75">
      <c r="E42" s="166">
        <f>+E41+1</f>
        <v>35920</v>
      </c>
      <c r="F42" s="190">
        <v>0</v>
      </c>
      <c r="G42" t="s">
        <v>279</v>
      </c>
    </row>
    <row r="44" spans="2:8">
      <c r="B44" s="164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283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390</v>
      </c>
      <c r="D49" s="189"/>
    </row>
    <row r="50" spans="2:4">
      <c r="B50" s="188"/>
      <c r="C50" s="187" t="s">
        <v>284</v>
      </c>
    </row>
    <row r="51" spans="2:4">
      <c r="B51" s="188"/>
      <c r="C51" s="187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37019</v>
      </c>
      <c r="C5" s="15"/>
      <c r="D5" s="22" t="s">
        <v>289</v>
      </c>
      <c r="E5" s="23">
        <f>Weather_Input!B5</f>
        <v>75</v>
      </c>
      <c r="F5" s="24" t="s">
        <v>290</v>
      </c>
      <c r="G5" s="25">
        <f>Weather_Input!H5</f>
        <v>3</v>
      </c>
      <c r="H5" s="26" t="s">
        <v>291</v>
      </c>
      <c r="I5" s="27">
        <f ca="1">G5-(VLOOKUP(B5,DD_Normal_Data,CELL("Col",B6),FALSE))</f>
        <v>-6</v>
      </c>
    </row>
    <row r="6" spans="1:109" ht="15">
      <c r="A6" s="18"/>
      <c r="B6" s="21"/>
      <c r="C6" s="15"/>
      <c r="D6" s="22" t="s">
        <v>176</v>
      </c>
      <c r="E6" s="23">
        <f>Weather_Input!C5</f>
        <v>51</v>
      </c>
      <c r="F6" s="24" t="s">
        <v>292</v>
      </c>
      <c r="G6" s="25">
        <f>Weather_Input!F5</f>
        <v>20</v>
      </c>
      <c r="H6" s="26" t="s">
        <v>293</v>
      </c>
      <c r="I6" s="27">
        <f ca="1">G6-(VLOOKUP(B5,DD_Normal_Data,CELL("Col",C7),FALSE))</f>
        <v>-62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63</v>
      </c>
      <c r="F7" s="24" t="s">
        <v>295</v>
      </c>
      <c r="G7" s="25">
        <f>Weather_Input!G5</f>
        <v>6427</v>
      </c>
      <c r="H7" s="26" t="s">
        <v>295</v>
      </c>
      <c r="I7" s="123">
        <f ca="1">G7-(VLOOKUP(B5,DD_Normal_Data,CELL("Col",D4),FALSE))</f>
        <v>194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 - SUNSHINE  TONIGHT - A FEW CLOUDS.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37020</v>
      </c>
      <c r="C10" s="15"/>
      <c r="D10" s="153" t="s">
        <v>289</v>
      </c>
      <c r="E10" s="23">
        <f>Weather_Input!B6</f>
        <v>81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-9</v>
      </c>
    </row>
    <row r="11" spans="1:109" ht="15">
      <c r="A11" s="18"/>
      <c r="B11" s="21"/>
      <c r="C11" s="15"/>
      <c r="D11" s="22" t="s">
        <v>176</v>
      </c>
      <c r="E11" s="23">
        <f>Weather_Input!C6</f>
        <v>58</v>
      </c>
      <c r="F11" s="24" t="s">
        <v>292</v>
      </c>
      <c r="G11" s="25">
        <f>IF(DAY(B10)=1,G10,G6+G10)</f>
        <v>20</v>
      </c>
      <c r="H11" s="30" t="s">
        <v>293</v>
      </c>
      <c r="I11" s="27">
        <f ca="1">G11-(VLOOKUP(B10,DD_Normal_Data,CELL("Col",C12),FALSE))</f>
        <v>-71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69.5</v>
      </c>
      <c r="F12" s="24" t="s">
        <v>295</v>
      </c>
      <c r="G12" s="25">
        <f>IF(AND(DAY(B10)=1,MONTH(B10)=8),G10,G7+G10)</f>
        <v>6427</v>
      </c>
      <c r="H12" s="26" t="s">
        <v>295</v>
      </c>
      <c r="I12" s="27">
        <f ca="1">G12-(VLOOKUP(B10,DD_Normal_Data,CELL("Col",D9),FALSE))</f>
        <v>185</v>
      </c>
    </row>
    <row r="13" spans="1:109" ht="15">
      <c r="A13" s="18"/>
      <c r="B13" s="21"/>
      <c r="C13" s="15"/>
      <c r="D13" s="32" t="str">
        <f>IF(Weather_Input!I6=""," ",Weather_Input!I6)</f>
        <v xml:space="preserve">  SUNSHINE AND CLOUDS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37021</v>
      </c>
      <c r="C15" s="15"/>
      <c r="D15" s="22" t="s">
        <v>289</v>
      </c>
      <c r="E15" s="23">
        <f>Weather_Input!B7</f>
        <v>82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-8</v>
      </c>
    </row>
    <row r="16" spans="1:109" ht="15">
      <c r="A16" s="18"/>
      <c r="B16" s="20"/>
      <c r="C16" s="15"/>
      <c r="D16" s="22" t="s">
        <v>176</v>
      </c>
      <c r="E16" s="23">
        <f>Weather_Input!C7</f>
        <v>54</v>
      </c>
      <c r="F16" s="24" t="s">
        <v>292</v>
      </c>
      <c r="G16" s="25">
        <f>IF(DAY(B15)=1,G15,G11+G15)</f>
        <v>20</v>
      </c>
      <c r="H16" s="30" t="s">
        <v>293</v>
      </c>
      <c r="I16" s="27">
        <f ca="1">G16-(VLOOKUP(B15,DD_Normal_Data,CELL("Col",C17),FALSE))</f>
        <v>-79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68</v>
      </c>
      <c r="F17" s="24" t="s">
        <v>295</v>
      </c>
      <c r="G17" s="25">
        <f>IF(AND(DAY(B15)=1,MONTH(B15)=8),G15,G12+G15)</f>
        <v>6427</v>
      </c>
      <c r="H17" s="26" t="s">
        <v>295</v>
      </c>
      <c r="I17" s="27">
        <f ca="1">G17-(VLOOKUP(B15,DD_Normal_Data,CELL("Col",D14),FALSE))</f>
        <v>177</v>
      </c>
    </row>
    <row r="18" spans="1:109" ht="15">
      <c r="A18" s="18"/>
      <c r="B18" s="20"/>
      <c r="C18" s="15"/>
      <c r="D18" s="32" t="str">
        <f>IF(Weather_Input!I7=""," ",Weather_Input!I7)</f>
        <v xml:space="preserve">  TIMES OF CLOUDS AND SUN WITH A COUPLE OF THUNDERSTORMS LATER IN THE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DAY.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37022</v>
      </c>
      <c r="C20" s="15"/>
      <c r="D20" s="22" t="s">
        <v>289</v>
      </c>
      <c r="E20" s="23">
        <f>Weather_Input!B8</f>
        <v>70</v>
      </c>
      <c r="F20" s="24" t="s">
        <v>290</v>
      </c>
      <c r="G20" s="25">
        <f>IF(E22&lt;65,65-(Weather_Input!B8+Weather_Input!C8)/2,0)</f>
        <v>6</v>
      </c>
      <c r="H20" s="26" t="s">
        <v>291</v>
      </c>
      <c r="I20" s="27">
        <f ca="1">G20-(VLOOKUP(B20,DD_Normal_Data,CELL("Col",B21),FALSE))</f>
        <v>-2</v>
      </c>
    </row>
    <row r="21" spans="1:109" ht="15">
      <c r="A21" s="18"/>
      <c r="B21" s="21"/>
      <c r="C21" s="15"/>
      <c r="D21" s="22" t="s">
        <v>176</v>
      </c>
      <c r="E21" s="23">
        <f>Weather_Input!C8</f>
        <v>48</v>
      </c>
      <c r="F21" s="24" t="s">
        <v>292</v>
      </c>
      <c r="G21" s="25">
        <f>IF(DAY(B20)=1,G20,G16+G20)</f>
        <v>26</v>
      </c>
      <c r="H21" s="30" t="s">
        <v>293</v>
      </c>
      <c r="I21" s="27">
        <f ca="1">G21-(VLOOKUP(B20,DD_Normal_Data,CELL("Col",C22),FALSE))</f>
        <v>-81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59</v>
      </c>
      <c r="F22" s="24" t="s">
        <v>295</v>
      </c>
      <c r="G22" s="25">
        <f>IF(AND(DAY(B20)=1,MONTH(B20)=8),G20,G17+G20)</f>
        <v>6433</v>
      </c>
      <c r="H22" s="26" t="s">
        <v>295</v>
      </c>
      <c r="I22" s="27">
        <f ca="1">G22-(VLOOKUP(B20,DD_Normal_Data,CELL("Col",D19),FALSE))</f>
        <v>175</v>
      </c>
    </row>
    <row r="23" spans="1:109" ht="15">
      <c r="A23" s="18"/>
      <c r="B23" s="21"/>
      <c r="C23" s="15"/>
      <c r="D23" s="32" t="str">
        <f>IF(Weather_Input!I8=""," ",Weather_Input!I8)</f>
        <v xml:space="preserve">  TIMES OF SUN AND CLOUDS WITH A CHANCE OF A THUNDERSTORM EARLY IN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THE DAY.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37023</v>
      </c>
      <c r="C25" s="15"/>
      <c r="D25" s="22" t="s">
        <v>289</v>
      </c>
      <c r="E25" s="23">
        <f>Weather_Input!B9</f>
        <v>65</v>
      </c>
      <c r="F25" s="24" t="s">
        <v>290</v>
      </c>
      <c r="G25" s="25">
        <f>IF(E27&lt;65,65-(Weather_Input!B9+Weather_Input!C9)/2,0)</f>
        <v>9.5</v>
      </c>
      <c r="H25" s="26" t="s">
        <v>291</v>
      </c>
      <c r="I25" s="27">
        <f ca="1">G25-(VLOOKUP(B25,DD_Normal_Data,CELL("Col",B26),FALSE))</f>
        <v>1.5</v>
      </c>
    </row>
    <row r="26" spans="1:109" ht="15">
      <c r="A26" s="18"/>
      <c r="B26" s="21"/>
      <c r="C26" s="15"/>
      <c r="D26" s="22" t="s">
        <v>176</v>
      </c>
      <c r="E26" s="23">
        <f>Weather_Input!C9</f>
        <v>46</v>
      </c>
      <c r="F26" s="24" t="s">
        <v>292</v>
      </c>
      <c r="G26" s="25">
        <f>IF(DAY(B25)=1,G25,G21+G25)</f>
        <v>35.5</v>
      </c>
      <c r="H26" s="30" t="s">
        <v>293</v>
      </c>
      <c r="I26" s="27">
        <f ca="1">G26-(VLOOKUP(B25,DD_Normal_Data,CELL("Col",C27),FALSE))</f>
        <v>-79.5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55.5</v>
      </c>
      <c r="F27" s="24" t="s">
        <v>295</v>
      </c>
      <c r="G27" s="25">
        <f>IF(AND(DAY(B25)=1,MONTH(B25)=8),G25,G22+G25)</f>
        <v>6442.5</v>
      </c>
      <c r="H27" s="26" t="s">
        <v>295</v>
      </c>
      <c r="I27" s="27">
        <f ca="1">G27-(VLOOKUP(B25,DD_Normal_Data,CELL("Col",D24),FALSE))</f>
        <v>176.5</v>
      </c>
    </row>
    <row r="28" spans="1:109" ht="15">
      <c r="A28" s="18"/>
      <c r="B28" s="20"/>
      <c r="C28" s="15"/>
      <c r="D28" s="32" t="str">
        <f>IF(Weather_Input!I9=""," ",Weather_Input!I9)</f>
        <v xml:space="preserve">  SOME SUNSHINE.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37024</v>
      </c>
      <c r="C30" s="15"/>
      <c r="D30" s="22" t="s">
        <v>289</v>
      </c>
      <c r="E30" s="23">
        <f>Weather_Input!B10</f>
        <v>65</v>
      </c>
      <c r="F30" s="24" t="s">
        <v>290</v>
      </c>
      <c r="G30" s="25">
        <f>IF(E32&lt;65,65-(Weather_Input!B10+Weather_Input!C10)/2,0)</f>
        <v>9.5</v>
      </c>
      <c r="H30" s="26" t="s">
        <v>291</v>
      </c>
      <c r="I30" s="27">
        <f ca="1">G30-(VLOOKUP(B30,DD_Normal_Data,CELL("Col",B31),FALSE))</f>
        <v>2.5</v>
      </c>
    </row>
    <row r="31" spans="1:109" ht="15">
      <c r="A31" s="15"/>
      <c r="B31" s="15"/>
      <c r="C31" s="15"/>
      <c r="D31" s="22" t="s">
        <v>176</v>
      </c>
      <c r="E31" s="23">
        <f>Weather_Input!C10</f>
        <v>46</v>
      </c>
      <c r="F31" s="24" t="s">
        <v>292</v>
      </c>
      <c r="G31" s="25">
        <f>IF(DAY(B30)=1,G30,G26+G30)</f>
        <v>45</v>
      </c>
      <c r="H31" s="30" t="s">
        <v>293</v>
      </c>
      <c r="I31" s="27">
        <f ca="1">G31-(VLOOKUP(B30,DD_Normal_Data,CELL("Col",C32),FALSE))</f>
        <v>-77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55.5</v>
      </c>
      <c r="F32" s="24" t="s">
        <v>295</v>
      </c>
      <c r="G32" s="25">
        <f>IF(AND(DAY(B30)=1,MONTH(B30)=8),G30,G27+G30)</f>
        <v>6452</v>
      </c>
      <c r="H32" s="26" t="s">
        <v>295</v>
      </c>
      <c r="I32" s="27">
        <f ca="1">G32-(VLOOKUP(B30,DD_Normal_Data,CELL("Col",D29),FALSE))</f>
        <v>179</v>
      </c>
    </row>
    <row r="33" spans="1:9" ht="15">
      <c r="A33" s="15"/>
      <c r="B33" s="34"/>
      <c r="C33" s="15"/>
      <c r="D33" s="32" t="str">
        <f>IF(Weather_Input!I10=""," ",Weather_Input!I10)</f>
        <v xml:space="preserve">  SOME SUNSHINE.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37019</v>
      </c>
      <c r="C36" s="91">
        <f>B10</f>
        <v>37020</v>
      </c>
      <c r="D36" s="91">
        <f>B15</f>
        <v>37021</v>
      </c>
      <c r="E36" s="91">
        <f xml:space="preserve">       B20</f>
        <v>37022</v>
      </c>
      <c r="F36" s="91">
        <f>B25</f>
        <v>37023</v>
      </c>
      <c r="G36" s="91">
        <f>B30</f>
        <v>37024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240</v>
      </c>
      <c r="C37" s="41">
        <f ca="1">(VLOOKUP(C36,PGL_Sendouts,(CELL("COL",PGL_Deliveries!C7))))/1000</f>
        <v>240</v>
      </c>
      <c r="D37" s="41">
        <f ca="1">(VLOOKUP(D36,PGL_Sendouts,(CELL("COL",PGL_Deliveries!C8))))/1000</f>
        <v>240</v>
      </c>
      <c r="E37" s="41">
        <f ca="1">(VLOOKUP(E36,PGL_Sendouts,(CELL("COL",PGL_Deliveries!C9))))/1000</f>
        <v>265</v>
      </c>
      <c r="F37" s="41">
        <f ca="1">(VLOOKUP(F36,PGL_Sendouts,(CELL("COL",PGL_Deliveries!C10))))/1000</f>
        <v>270</v>
      </c>
      <c r="G37" s="41">
        <f ca="1">(VLOOKUP(G36,PGL_Sendouts,(CELL("COL",PGL_Deliveries!C10))))/1000</f>
        <v>285</v>
      </c>
      <c r="H37" s="14"/>
      <c r="I37" s="15"/>
    </row>
    <row r="38" spans="1:9" ht="15">
      <c r="A38" s="15" t="s">
        <v>300</v>
      </c>
      <c r="B38" s="41">
        <f>PGL_6_Day_Report!D30</f>
        <v>469.33499999999992</v>
      </c>
      <c r="C38" s="41">
        <f>PGL_6_Day_Report!E30</f>
        <v>453.85399999999998</v>
      </c>
      <c r="D38" s="41">
        <f>PGL_6_Day_Report!F30</f>
        <v>433.08</v>
      </c>
      <c r="E38" s="41">
        <f>PGL_6_Day_Report!G30</f>
        <v>458.08</v>
      </c>
      <c r="F38" s="41">
        <f>PGL_6_Day_Report!H30</f>
        <v>463.08</v>
      </c>
      <c r="G38" s="41">
        <f>PGL_6_Day_Report!I30</f>
        <v>478.08</v>
      </c>
      <c r="H38" s="14"/>
      <c r="I38" s="15"/>
    </row>
    <row r="39" spans="1:9" ht="15">
      <c r="A39" s="42" t="s">
        <v>109</v>
      </c>
      <c r="B39" s="41">
        <f>SUM(PGL_Supplies!Z7:AE7)/1000</f>
        <v>295.322</v>
      </c>
      <c r="C39" s="41">
        <f>SUM(PGL_Supplies!Z8:AE8)/1000</f>
        <v>286.85300000000001</v>
      </c>
      <c r="D39" s="41">
        <f>SUM(PGL_Supplies!Z9:AE9)/1000</f>
        <v>286.85300000000001</v>
      </c>
      <c r="E39" s="41">
        <f>SUM(PGL_Supplies!Z10:AE10)/1000</f>
        <v>286.85300000000001</v>
      </c>
      <c r="F39" s="41">
        <f>SUM(PGL_Supplies!Z11:AE11)/1000</f>
        <v>286.85300000000001</v>
      </c>
      <c r="G39" s="41">
        <f>SUM(PGL_Supplies!Z12:AE12)/1000</f>
        <v>286.85300000000001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40.83</v>
      </c>
      <c r="C41" s="41">
        <f>SUM(PGL_Requirements!R7:U7)/1000</f>
        <v>40.83</v>
      </c>
      <c r="D41" s="41">
        <f>SUM(PGL_Requirements!R7:U7)/1000</f>
        <v>40.83</v>
      </c>
      <c r="E41" s="41">
        <f>SUM(PGL_Requirements!R7:U7)/1000</f>
        <v>40.83</v>
      </c>
      <c r="F41" s="41">
        <f>SUM(PGL_Requirements!R7:U7)/1000</f>
        <v>40.83</v>
      </c>
      <c r="G41" s="41">
        <f>SUM(PGL_Requirements!R7:U7)/1000</f>
        <v>40.83</v>
      </c>
      <c r="H41" s="14"/>
      <c r="I41" s="15"/>
    </row>
    <row r="42" spans="1:9" ht="15">
      <c r="A42" s="15" t="s">
        <v>132</v>
      </c>
      <c r="B42" s="41">
        <f>PGL_Supplies!V7/1000</f>
        <v>177.809</v>
      </c>
      <c r="C42" s="41">
        <f>PGL_Supplies!V8/1000</f>
        <v>174.809</v>
      </c>
      <c r="D42" s="41">
        <f>PGL_Supplies!V9/1000</f>
        <v>174.809</v>
      </c>
      <c r="E42" s="41">
        <f>PGL_Supplies!V10/1000</f>
        <v>174.809</v>
      </c>
      <c r="F42" s="41">
        <f>PGL_Supplies!V11/1000</f>
        <v>174.809</v>
      </c>
      <c r="G42" s="41">
        <f>PGL_Supplies!V12/1000</f>
        <v>174.809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37019</v>
      </c>
      <c r="C44" s="91">
        <f t="shared" si="0"/>
        <v>37020</v>
      </c>
      <c r="D44" s="91">
        <f t="shared" si="0"/>
        <v>37021</v>
      </c>
      <c r="E44" s="91">
        <f t="shared" si="0"/>
        <v>37022</v>
      </c>
      <c r="F44" s="91">
        <f t="shared" si="0"/>
        <v>37023</v>
      </c>
      <c r="G44" s="91">
        <f t="shared" si="0"/>
        <v>37024</v>
      </c>
      <c r="H44" s="14"/>
      <c r="I44" s="15"/>
    </row>
    <row r="45" spans="1:9" ht="15">
      <c r="A45" s="15" t="s">
        <v>56</v>
      </c>
      <c r="B45" s="41">
        <f ca="1">NSG_6_Day_Report!D6</f>
        <v>43.7</v>
      </c>
      <c r="C45" s="41">
        <f ca="1">NSG_6_Day_Report!E6</f>
        <v>38</v>
      </c>
      <c r="D45" s="41">
        <f ca="1">NSG_6_Day_Report!F6</f>
        <v>38</v>
      </c>
      <c r="E45" s="41">
        <f ca="1">NSG_6_Day_Report!G6</f>
        <v>44</v>
      </c>
      <c r="F45" s="41">
        <f ca="1">NSG_6_Day_Report!H6</f>
        <v>44</v>
      </c>
      <c r="G45" s="41">
        <f ca="1">NSG_6_Day_Report!I6</f>
        <v>47</v>
      </c>
      <c r="H45" s="14"/>
      <c r="I45" s="15"/>
    </row>
    <row r="46" spans="1:9" ht="15">
      <c r="A46" s="42" t="s">
        <v>300</v>
      </c>
      <c r="B46" s="41">
        <f ca="1">NSG_6_Day_Report!D19</f>
        <v>59.6</v>
      </c>
      <c r="C46" s="41">
        <f ca="1">NSG_6_Day_Report!E19</f>
        <v>58</v>
      </c>
      <c r="D46" s="41">
        <f ca="1">NSG_6_Day_Report!F19</f>
        <v>58</v>
      </c>
      <c r="E46" s="41">
        <f ca="1">NSG_6_Day_Report!G19</f>
        <v>64</v>
      </c>
      <c r="F46" s="41">
        <f ca="1">NSG_6_Day_Report!H19</f>
        <v>64</v>
      </c>
      <c r="G46" s="41">
        <f ca="1">NSG_6_Day_Report!I19</f>
        <v>67</v>
      </c>
      <c r="H46" s="14"/>
      <c r="I46" s="15"/>
    </row>
    <row r="47" spans="1:9" ht="15">
      <c r="A47" s="42" t="s">
        <v>109</v>
      </c>
      <c r="B47" s="41">
        <f>SUM(NSG_Supplies!P7:R7)/1000</f>
        <v>51.536000000000001</v>
      </c>
      <c r="C47" s="41">
        <f>SUM(NSG_Supplies!P8:R8)/1000</f>
        <v>51.776000000000003</v>
      </c>
      <c r="D47" s="41">
        <f>SUM(NSG_Supplies!P9:R9)/1000</f>
        <v>51.776000000000003</v>
      </c>
      <c r="E47" s="41">
        <f>SUM(NSG_Supplies!P10:R10)/1000</f>
        <v>51.776000000000003</v>
      </c>
      <c r="F47" s="41">
        <f>SUM(NSG_Supplies!P11:R11)/1000</f>
        <v>51.776000000000003</v>
      </c>
      <c r="G47" s="41">
        <f>SUM(NSG_Supplies!P12:R12)/1000</f>
        <v>51.776000000000003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20.591000000000001</v>
      </c>
      <c r="C50" s="41">
        <f>NSG_Supplies!S8/1000</f>
        <v>20.831</v>
      </c>
      <c r="D50" s="41">
        <f>NSG_Supplies!S9/1000</f>
        <v>20.591000000000001</v>
      </c>
      <c r="E50" s="41">
        <f>NSG_Supplies!S10/1000</f>
        <v>20.591000000000001</v>
      </c>
      <c r="F50" s="41">
        <f>NSG_Supplies!S11/1000</f>
        <v>20.591000000000001</v>
      </c>
      <c r="G50" s="41">
        <f>NSG_Supplies!S12/1000</f>
        <v>20.591000000000001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37019</v>
      </c>
      <c r="C52" s="91">
        <f t="shared" si="1"/>
        <v>37020</v>
      </c>
      <c r="D52" s="91">
        <f t="shared" si="1"/>
        <v>37021</v>
      </c>
      <c r="E52" s="91">
        <f t="shared" si="1"/>
        <v>37022</v>
      </c>
      <c r="F52" s="91">
        <f t="shared" si="1"/>
        <v>37023</v>
      </c>
      <c r="G52" s="91">
        <f t="shared" si="1"/>
        <v>37024</v>
      </c>
      <c r="H52" s="14"/>
      <c r="I52" s="15"/>
    </row>
    <row r="53" spans="1:9" ht="15">
      <c r="A53" s="94" t="s">
        <v>304</v>
      </c>
      <c r="B53" s="41">
        <f>PGL_Requirements!P7/1000</f>
        <v>155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6" t="s">
        <v>735</v>
      </c>
    </row>
    <row r="57" spans="1:9">
      <c r="A57" s="158" t="s">
        <v>306</v>
      </c>
    </row>
    <row r="58" spans="1:9">
      <c r="A58" s="158" t="s">
        <v>307</v>
      </c>
      <c r="G58" s="159"/>
    </row>
    <row r="59" spans="1:9">
      <c r="A59" s="158" t="s">
        <v>308</v>
      </c>
    </row>
    <row r="60" spans="1:9">
      <c r="A60" s="158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8"/>
    </row>
    <row r="3" spans="1:8" ht="15.75" thickBot="1">
      <c r="A3" s="98" t="s">
        <v>310</v>
      </c>
    </row>
    <row r="4" spans="1:8">
      <c r="A4" s="99"/>
      <c r="B4" s="1139" t="str">
        <f>Six_Day_Summary!A10</f>
        <v>Wednesday</v>
      </c>
      <c r="C4" s="1140" t="str">
        <f>Six_Day_Summary!A15</f>
        <v>Thursday</v>
      </c>
      <c r="D4" s="1140" t="str">
        <f>Six_Day_Summary!A20</f>
        <v>Friday</v>
      </c>
      <c r="E4" s="1140" t="str">
        <f>Six_Day_Summary!A25</f>
        <v>Saturday</v>
      </c>
      <c r="F4" s="1141" t="str">
        <f>Six_Day_Summary!A30</f>
        <v>Sunday</v>
      </c>
      <c r="G4" s="100"/>
    </row>
    <row r="5" spans="1:8">
      <c r="A5" s="103" t="s">
        <v>311</v>
      </c>
      <c r="B5" s="1142">
        <f>Weather_Input!A6</f>
        <v>37020</v>
      </c>
      <c r="C5" s="1143">
        <f>Weather_Input!A7</f>
        <v>37021</v>
      </c>
      <c r="D5" s="1143">
        <f>Weather_Input!A8</f>
        <v>37022</v>
      </c>
      <c r="E5" s="1143">
        <f>Weather_Input!A9</f>
        <v>37023</v>
      </c>
      <c r="F5" s="1144">
        <f>Weather_Input!A10</f>
        <v>37024</v>
      </c>
      <c r="G5" s="100"/>
    </row>
    <row r="6" spans="1:8">
      <c r="A6" s="100" t="s">
        <v>312</v>
      </c>
      <c r="B6" s="1145">
        <f>PGL_Supplies!AC8/1000+PGL_Supplies!L8/1000-PGL_Requirements!O8/1000-PGL_Requirements!T8/1000+B8</f>
        <v>47.015999999999998</v>
      </c>
      <c r="C6" s="1145">
        <f>PGL_Supplies!AC9/1000+PGL_Supplies!L9/1000-PGL_Requirements!O9/1000+C15-PGL_Requirements!T9/1000</f>
        <v>47.015999999999998</v>
      </c>
      <c r="D6" s="1145">
        <f>PGL_Supplies!AC10/1000+PGL_Supplies!L10/1000-PGL_Requirements!O10/1000+D15-PGL_Requirements!T10/1000</f>
        <v>47.015999999999998</v>
      </c>
      <c r="E6" s="1145">
        <f>PGL_Supplies!AC11/1000+PGL_Supplies!L11/1000-PGL_Requirements!O11/1000+E15-PGL_Requirements!T11/1000</f>
        <v>47.015999999999998</v>
      </c>
      <c r="F6" s="1146">
        <f>PGL_Supplies!AC12/1000+PGL_Supplies!L12/1000-PGL_Requirements!O12/1000+F15-PGL_Requirements!T12/1000</f>
        <v>47.015999999999998</v>
      </c>
      <c r="G6" s="100"/>
      <c r="H6" t="s">
        <v>11</v>
      </c>
    </row>
    <row r="7" spans="1:8">
      <c r="A7" s="100" t="s">
        <v>313</v>
      </c>
      <c r="B7" s="1145">
        <f>PGL_Supplies!N8/1000</f>
        <v>0</v>
      </c>
      <c r="C7" s="1145">
        <f>PGL_Supplies!N9/1000</f>
        <v>0</v>
      </c>
      <c r="D7" s="1145">
        <f>PGL_Supplies!N10/1000</f>
        <v>0</v>
      </c>
      <c r="E7" s="1145">
        <f>PGL_Supplies!N11/1000</f>
        <v>0</v>
      </c>
      <c r="F7" s="1147">
        <f>PGL_Supplies!N12/1000</f>
        <v>0</v>
      </c>
      <c r="G7" s="100"/>
    </row>
    <row r="8" spans="1:8">
      <c r="A8" s="100" t="s">
        <v>314</v>
      </c>
      <c r="B8" s="1145">
        <f>PGL_Supplies!O8/1000</f>
        <v>0</v>
      </c>
      <c r="C8" s="1145">
        <f>PGL_Supplies!O9/1000</f>
        <v>0</v>
      </c>
      <c r="D8" s="1145">
        <f>PGL_Supplies!O10/1000</f>
        <v>0</v>
      </c>
      <c r="E8" s="1145">
        <f>PGL_Supplies!O11/1000</f>
        <v>0</v>
      </c>
      <c r="F8" s="1147">
        <f>PGL_Supplies!O12/1000</f>
        <v>0</v>
      </c>
      <c r="G8" s="100"/>
    </row>
    <row r="9" spans="1:8">
      <c r="A9" s="100" t="s">
        <v>315</v>
      </c>
      <c r="B9" s="1145">
        <v>0</v>
      </c>
      <c r="C9" s="1145">
        <v>0</v>
      </c>
      <c r="D9" s="1145">
        <v>0</v>
      </c>
      <c r="E9" s="1145">
        <v>0</v>
      </c>
      <c r="F9" s="1147">
        <v>0</v>
      </c>
      <c r="G9" s="100"/>
    </row>
    <row r="10" spans="1:8">
      <c r="A10" s="101"/>
      <c r="B10" s="1148"/>
      <c r="C10" s="1148"/>
      <c r="D10" s="1148"/>
      <c r="E10" s="1148"/>
      <c r="F10" s="1149"/>
      <c r="G10" s="100"/>
    </row>
    <row r="11" spans="1:8">
      <c r="A11" s="100" t="s">
        <v>316</v>
      </c>
      <c r="B11" s="1145">
        <v>0</v>
      </c>
      <c r="C11" s="1145">
        <v>0</v>
      </c>
      <c r="D11" s="1145">
        <v>0</v>
      </c>
      <c r="E11" s="1145">
        <v>0</v>
      </c>
      <c r="F11" s="1147">
        <v>0</v>
      </c>
      <c r="G11" s="100"/>
      <c r="H11" s="122" t="s">
        <v>11</v>
      </c>
    </row>
    <row r="12" spans="1:8">
      <c r="A12" s="100" t="s">
        <v>317</v>
      </c>
      <c r="B12" s="1145">
        <f>PGL_Requirements!S8/1000</f>
        <v>0</v>
      </c>
      <c r="C12" s="1145">
        <f>PGL_Requirements!S9/1000</f>
        <v>0</v>
      </c>
      <c r="D12" s="1145">
        <f>PGL_Requirements!S10/1000</f>
        <v>0</v>
      </c>
      <c r="E12" s="1145">
        <f>PGL_Requirements!S11/1000</f>
        <v>0</v>
      </c>
      <c r="F12" s="1147">
        <f>PGL_Requirements!S12/1000</f>
        <v>0</v>
      </c>
      <c r="G12" s="100"/>
    </row>
    <row r="13" spans="1:8">
      <c r="A13" s="100" t="s">
        <v>318</v>
      </c>
      <c r="B13" s="1145">
        <v>0</v>
      </c>
      <c r="C13" s="1145">
        <v>0</v>
      </c>
      <c r="D13" s="1145">
        <v>0</v>
      </c>
      <c r="E13" s="1145">
        <v>0</v>
      </c>
      <c r="F13" s="1147">
        <v>0</v>
      </c>
      <c r="G13" s="100"/>
    </row>
    <row r="14" spans="1:8">
      <c r="A14" s="100" t="s">
        <v>189</v>
      </c>
      <c r="B14" s="1145">
        <v>0</v>
      </c>
      <c r="C14" s="1151"/>
      <c r="D14" s="1151"/>
      <c r="E14" s="1151"/>
      <c r="F14" s="1147"/>
      <c r="G14" s="100"/>
    </row>
    <row r="15" spans="1:8">
      <c r="A15" s="100" t="s">
        <v>718</v>
      </c>
      <c r="B15" s="1150">
        <v>45</v>
      </c>
      <c r="C15" s="1150">
        <v>0</v>
      </c>
      <c r="D15" s="1150">
        <v>0</v>
      </c>
      <c r="E15" s="1150">
        <v>0</v>
      </c>
      <c r="F15" s="1187">
        <v>0</v>
      </c>
      <c r="G15" s="122"/>
    </row>
    <row r="16" spans="1:8">
      <c r="A16" s="100" t="s">
        <v>319</v>
      </c>
      <c r="B16" s="1150">
        <v>0</v>
      </c>
      <c r="C16" s="1151"/>
      <c r="D16" s="1151"/>
      <c r="E16" s="1151"/>
      <c r="F16" s="1147"/>
      <c r="G16" s="100"/>
    </row>
    <row r="17" spans="1:7" ht="15.75" thickBot="1">
      <c r="A17" s="102" t="s">
        <v>785</v>
      </c>
      <c r="B17" s="1152">
        <v>0</v>
      </c>
      <c r="C17" s="1153"/>
      <c r="D17" s="1153"/>
      <c r="E17" s="1153"/>
      <c r="F17" s="1154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5" t="str">
        <f t="shared" ref="B21:F22" si="0">B4</f>
        <v>Wednesday</v>
      </c>
      <c r="C21" s="1155" t="str">
        <f t="shared" si="0"/>
        <v>Thursday</v>
      </c>
      <c r="D21" s="1155" t="str">
        <f t="shared" si="0"/>
        <v>Friday</v>
      </c>
      <c r="E21" s="1155" t="str">
        <f t="shared" si="0"/>
        <v>Saturday</v>
      </c>
      <c r="F21" s="1156" t="str">
        <f t="shared" si="0"/>
        <v>Sunday</v>
      </c>
      <c r="G21" s="100"/>
    </row>
    <row r="22" spans="1:7">
      <c r="A22" s="107" t="s">
        <v>311</v>
      </c>
      <c r="B22" s="1157">
        <f t="shared" si="0"/>
        <v>37020</v>
      </c>
      <c r="C22" s="1157">
        <f t="shared" si="0"/>
        <v>37021</v>
      </c>
      <c r="D22" s="1157">
        <f t="shared" si="0"/>
        <v>37022</v>
      </c>
      <c r="E22" s="1157">
        <f t="shared" si="0"/>
        <v>37023</v>
      </c>
      <c r="F22" s="1158">
        <f t="shared" si="0"/>
        <v>37024</v>
      </c>
      <c r="G22" s="100"/>
    </row>
    <row r="23" spans="1:7">
      <c r="A23" s="100" t="s">
        <v>312</v>
      </c>
      <c r="B23" s="1151">
        <f>NSG_Supplies!R8/1000+NSG_Supplies!F8/1000-NSG_Requirements!H8/1000</f>
        <v>40.775999999999996</v>
      </c>
      <c r="C23" s="1151">
        <f>NSG_Supplies!R9/1000+NSG_Supplies!F9/1000-NSG_Requirements!H9/1000</f>
        <v>40.775999999999996</v>
      </c>
      <c r="D23" s="1151">
        <f>NSG_Supplies!R10/1000+NSG_Supplies!F10/1000-NSG_Requirements!H10/1000</f>
        <v>40.775999999999996</v>
      </c>
      <c r="E23" s="1151">
        <f>NSG_Supplies!R12/1000+NSG_Supplies!F11/1000-NSG_Requirements!H11/1000</f>
        <v>40.775999999999996</v>
      </c>
      <c r="F23" s="1146">
        <f>NSG_Supplies!R12/1000+NSG_Supplies!F12/1000-NSG_Requirements!H12/1000</f>
        <v>40.775999999999996</v>
      </c>
      <c r="G23" s="100"/>
    </row>
    <row r="24" spans="1:7">
      <c r="A24" s="100" t="s">
        <v>321</v>
      </c>
      <c r="B24" s="1151">
        <f>NSG_Supplies!H8/1000</f>
        <v>0</v>
      </c>
      <c r="C24" s="1151">
        <f>NSG_Supplies!H9/1000</f>
        <v>0</v>
      </c>
      <c r="D24" s="1151">
        <f>NSG_Supplies!H10/1000</f>
        <v>0</v>
      </c>
      <c r="E24" s="1151">
        <f>NSG_Supplies!H11/1000</f>
        <v>0</v>
      </c>
      <c r="F24" s="1147">
        <f>NSG_Supplies!H12/1000</f>
        <v>0</v>
      </c>
      <c r="G24" s="100"/>
    </row>
    <row r="25" spans="1:7">
      <c r="A25" s="100" t="s">
        <v>313</v>
      </c>
      <c r="B25" s="1151">
        <f>NSG_Supplies!I8/1000</f>
        <v>0</v>
      </c>
      <c r="C25" s="1151">
        <f>NSG_Supplies!I9/1000</f>
        <v>0</v>
      </c>
      <c r="D25" s="1151">
        <f>NSG_Supplies!I10/1000</f>
        <v>0</v>
      </c>
      <c r="E25" s="1151">
        <f>NSG_Supplies!I11/1000</f>
        <v>0</v>
      </c>
      <c r="F25" s="1147">
        <f>NSG_Supplies!I12/1000</f>
        <v>0</v>
      </c>
      <c r="G25" s="100"/>
    </row>
    <row r="26" spans="1:7">
      <c r="A26" s="104" t="s">
        <v>314</v>
      </c>
      <c r="B26" s="1151">
        <f>NSG_Supplies!J8/1000</f>
        <v>0</v>
      </c>
      <c r="C26" s="1151">
        <f>NSG_Supplies!J9/1000</f>
        <v>0</v>
      </c>
      <c r="D26" s="1151">
        <f>NSG_Supplies!J10/1000</f>
        <v>0</v>
      </c>
      <c r="E26" s="1151">
        <f>NSG_Supplies!J11/1000</f>
        <v>0</v>
      </c>
      <c r="F26" s="1147">
        <f>NSG_Supplies!J12/1000</f>
        <v>0</v>
      </c>
      <c r="G26" s="100"/>
    </row>
    <row r="27" spans="1:7">
      <c r="A27" s="100" t="s">
        <v>315</v>
      </c>
      <c r="B27" s="1151">
        <f>NSG_Supplies!K8/1000</f>
        <v>0</v>
      </c>
      <c r="C27" s="1151">
        <f>NSG_Supplies!K9/1000</f>
        <v>0</v>
      </c>
      <c r="D27" s="1151">
        <f>NSG_Supplies!K10/1000</f>
        <v>0</v>
      </c>
      <c r="E27" s="1151">
        <f>NSG_Supplies!K11/1000</f>
        <v>0</v>
      </c>
      <c r="F27" s="1147">
        <f>NSG_Supplies!K12/1000</f>
        <v>0</v>
      </c>
      <c r="G27" s="100"/>
    </row>
    <row r="28" spans="1:7">
      <c r="A28" s="100" t="s">
        <v>322</v>
      </c>
      <c r="B28" s="1151" t="s">
        <v>11</v>
      </c>
      <c r="C28" s="1151"/>
      <c r="D28" s="1151"/>
      <c r="E28" s="1151"/>
      <c r="F28" s="1147"/>
      <c r="G28" s="100"/>
    </row>
    <row r="29" spans="1:7">
      <c r="A29" s="101"/>
      <c r="B29" s="1148"/>
      <c r="C29" s="1148"/>
      <c r="D29" s="1148"/>
      <c r="E29" s="1148"/>
      <c r="F29" s="1149"/>
      <c r="G29" s="100"/>
    </row>
    <row r="30" spans="1:7">
      <c r="A30" s="100" t="s">
        <v>316</v>
      </c>
      <c r="B30" s="1151">
        <f>NSG_Requirements!P8/1000</f>
        <v>0</v>
      </c>
      <c r="C30" s="1151">
        <f>NSG_Requirements!P9/1000</f>
        <v>0</v>
      </c>
      <c r="D30" s="1151">
        <f>NSG_Requirements!P10/1000</f>
        <v>0</v>
      </c>
      <c r="E30" s="1151">
        <f>NSG_Requirements!P11/1000</f>
        <v>0</v>
      </c>
      <c r="F30" s="1147">
        <f>NSG_Supplies!K12/1000</f>
        <v>0</v>
      </c>
      <c r="G30" s="100"/>
    </row>
    <row r="31" spans="1:7">
      <c r="A31" s="100" t="s">
        <v>317</v>
      </c>
      <c r="B31" s="1151">
        <f>NSG_Requirements!R8/1000</f>
        <v>0</v>
      </c>
      <c r="C31" s="1151">
        <f>NSG_Requirements!R9/1000</f>
        <v>0</v>
      </c>
      <c r="D31" s="1151">
        <f>NSG_Requirements!R10/1000</f>
        <v>0</v>
      </c>
      <c r="E31" s="1151">
        <f>NSG_Requirements!R11/1000</f>
        <v>0</v>
      </c>
      <c r="F31" s="1147">
        <f>NSG_Supplies!M12/1000</f>
        <v>0</v>
      </c>
      <c r="G31" s="100"/>
    </row>
    <row r="32" spans="1:7">
      <c r="A32" s="100" t="s">
        <v>318</v>
      </c>
      <c r="B32" s="1151">
        <f>NSG_Requirements!Q8/1000</f>
        <v>0</v>
      </c>
      <c r="C32" s="1151">
        <f>NSG_Requirements!Q9/1000</f>
        <v>0</v>
      </c>
      <c r="D32" s="1151">
        <f>NSG_Requirements!Q10/1000</f>
        <v>0</v>
      </c>
      <c r="E32" s="1151">
        <f>NSG_Requirements!Q11/1000</f>
        <v>0</v>
      </c>
      <c r="F32" s="1147">
        <f>NSG_Requirements!Q12/1000</f>
        <v>0</v>
      </c>
      <c r="G32" s="100"/>
    </row>
    <row r="33" spans="1:7" ht="15.75" thickBot="1">
      <c r="A33" s="102" t="s">
        <v>323</v>
      </c>
      <c r="B33" s="1153">
        <f>NSG_Requirements!L8/1000</f>
        <v>0</v>
      </c>
      <c r="C33" s="1153">
        <f>NSG_Requirements!L9/1000</f>
        <v>0</v>
      </c>
      <c r="D33" s="1153">
        <f>NSG_Requirements!L10/1000</f>
        <v>0</v>
      </c>
      <c r="E33" s="1153">
        <f>NSG_Requirements!L11/1000</f>
        <v>0</v>
      </c>
      <c r="F33" s="1154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09" t="s">
        <v>381</v>
      </c>
      <c r="C1" s="908">
        <f>Weather_Input!A6</f>
        <v>37020</v>
      </c>
      <c r="D1" s="909" t="s">
        <v>372</v>
      </c>
      <c r="E1" s="810"/>
      <c r="F1" s="1077"/>
      <c r="G1" s="430"/>
      <c r="H1" s="430"/>
      <c r="I1" s="1078"/>
    </row>
    <row r="2" spans="1:11" ht="15.75" customHeight="1" thickBot="1">
      <c r="A2" s="433"/>
      <c r="B2" s="1075" t="s">
        <v>646</v>
      </c>
      <c r="E2" s="161"/>
      <c r="I2" s="161"/>
    </row>
    <row r="3" spans="1:11" ht="15.75" customHeight="1" thickTop="1">
      <c r="B3" s="172" t="s">
        <v>109</v>
      </c>
      <c r="C3" s="903">
        <f>NSG_Supplies!Q8/1000</f>
        <v>20</v>
      </c>
      <c r="E3" s="161"/>
      <c r="F3" s="790" t="s">
        <v>166</v>
      </c>
      <c r="G3" s="789"/>
      <c r="H3" s="804" t="s">
        <v>573</v>
      </c>
      <c r="I3" s="803" t="s">
        <v>572</v>
      </c>
    </row>
    <row r="4" spans="1:11" ht="15.75" customHeight="1" thickBot="1">
      <c r="A4" t="s">
        <v>11</v>
      </c>
      <c r="B4" s="100" t="s">
        <v>647</v>
      </c>
      <c r="C4" s="1135">
        <f>NSG_Supplies!E8/1000</f>
        <v>0</v>
      </c>
      <c r="D4" s="135">
        <f>NSG_Requirements!J8/1000</f>
        <v>20</v>
      </c>
      <c r="E4" s="802"/>
      <c r="F4" s="172" t="s">
        <v>546</v>
      </c>
      <c r="G4" s="60"/>
      <c r="H4" s="154">
        <f>PGL_Requirements!P8/1000</f>
        <v>150</v>
      </c>
      <c r="I4" s="176">
        <f>AVERAGE(H4/1.025)</f>
        <v>146.34146341463415</v>
      </c>
      <c r="J4" t="s">
        <v>11</v>
      </c>
    </row>
    <row r="5" spans="1:11" ht="15.75" customHeight="1" thickTop="1" thickBot="1">
      <c r="B5" s="437" t="s">
        <v>648</v>
      </c>
      <c r="C5" s="448">
        <f>C3+C4-D4</f>
        <v>0</v>
      </c>
      <c r="D5" s="438"/>
      <c r="E5" s="440">
        <f>AVERAGE(C5/24)</f>
        <v>0</v>
      </c>
      <c r="F5" s="170" t="s">
        <v>448</v>
      </c>
      <c r="G5" s="210">
        <f>PGL_Supplies!M8/1000</f>
        <v>0</v>
      </c>
      <c r="H5" s="168"/>
      <c r="I5" s="1019">
        <f>AVERAGE(G5/1.025)</f>
        <v>0</v>
      </c>
      <c r="K5" t="s">
        <v>11</v>
      </c>
    </row>
    <row r="6" spans="1:11" ht="15.75" customHeight="1" thickTop="1" thickBot="1">
      <c r="B6" s="906" t="s">
        <v>392</v>
      </c>
      <c r="C6" s="907"/>
      <c r="D6" s="122"/>
      <c r="E6" s="801"/>
      <c r="F6" t="s">
        <v>777</v>
      </c>
      <c r="G6" s="907">
        <f>AVERAGE(H4/24)</f>
        <v>6.25</v>
      </c>
      <c r="H6" s="430"/>
      <c r="I6" s="1078"/>
    </row>
    <row r="7" spans="1:11" ht="15.75" customHeight="1">
      <c r="B7" s="172" t="s">
        <v>373</v>
      </c>
      <c r="C7" s="154">
        <f>NSG_Supplies!L8/1000</f>
        <v>0</v>
      </c>
      <c r="D7" s="60"/>
      <c r="E7" s="450"/>
      <c r="F7" s="1075" t="s">
        <v>626</v>
      </c>
      <c r="G7" s="1076"/>
      <c r="H7" s="60"/>
      <c r="I7" s="161"/>
    </row>
    <row r="8" spans="1:11" ht="15.75" customHeight="1">
      <c r="B8" s="172" t="s">
        <v>527</v>
      </c>
      <c r="C8" s="154">
        <f>PGL_Requirements!V8/1000</f>
        <v>0</v>
      </c>
      <c r="D8" s="60"/>
      <c r="E8" s="450"/>
      <c r="F8" s="172" t="s">
        <v>625</v>
      </c>
      <c r="G8" s="154">
        <f>PGL_Supplies!T8/1000*0.5</f>
        <v>0</v>
      </c>
      <c r="H8" s="60"/>
      <c r="I8" s="161"/>
    </row>
    <row r="9" spans="1:11" ht="15.75" customHeight="1" thickBot="1">
      <c r="B9" s="172" t="s">
        <v>768</v>
      </c>
      <c r="C9" s="154">
        <f>NSG_Requirements!B8/1000</f>
        <v>0</v>
      </c>
      <c r="D9" s="60"/>
      <c r="E9" s="450"/>
      <c r="F9" s="1" t="s">
        <v>714</v>
      </c>
      <c r="G9" s="154">
        <f>PGL_Supplies!U8/1000</f>
        <v>0</v>
      </c>
      <c r="I9" s="161"/>
    </row>
    <row r="10" spans="1:11" ht="15.75" customHeight="1" thickTop="1" thickBot="1">
      <c r="B10" s="437" t="s">
        <v>551</v>
      </c>
      <c r="C10" s="448">
        <f>C7+C8-C9</f>
        <v>0</v>
      </c>
      <c r="D10" s="438"/>
      <c r="E10" s="440">
        <f>AVERAGE(C10/24)</f>
        <v>0</v>
      </c>
      <c r="F10" s="172" t="s">
        <v>445</v>
      </c>
      <c r="G10" s="154">
        <f>PGL_Supplies!AB8/1000</f>
        <v>199.637</v>
      </c>
      <c r="H10" s="154" t="s">
        <v>11</v>
      </c>
      <c r="I10" s="161"/>
    </row>
    <row r="11" spans="1:11" ht="15.75" customHeight="1" thickTop="1">
      <c r="A11" t="s">
        <v>11</v>
      </c>
      <c r="B11" s="1127" t="s">
        <v>751</v>
      </c>
      <c r="C11" s="154">
        <f>PGL_Supplies!Y8/1000</f>
        <v>155.15199999999999</v>
      </c>
      <c r="D11" s="789"/>
      <c r="E11" s="1128"/>
      <c r="F11" s="435" t="s">
        <v>378</v>
      </c>
      <c r="G11" s="447">
        <f>G8+G10</f>
        <v>199.637</v>
      </c>
      <c r="H11" s="434"/>
      <c r="I11" s="436"/>
    </row>
    <row r="12" spans="1:11" ht="15.75" customHeight="1">
      <c r="B12" s="249" t="s">
        <v>784</v>
      </c>
      <c r="C12" s="154">
        <v>0</v>
      </c>
      <c r="D12" s="122"/>
      <c r="E12" s="161"/>
      <c r="F12" s="173" t="s">
        <v>530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752</v>
      </c>
      <c r="C13" s="122"/>
      <c r="D13" s="154">
        <f>PGL_Requirements!J8/1000</f>
        <v>0</v>
      </c>
      <c r="E13" s="161"/>
      <c r="F13" s="173" t="s">
        <v>531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29" t="s">
        <v>759</v>
      </c>
      <c r="C14" s="448">
        <f>C11-C12</f>
        <v>155.15199999999999</v>
      </c>
      <c r="D14" s="438"/>
      <c r="E14" s="440">
        <f>AVERAGE(C14/24)</f>
        <v>6.4646666666666661</v>
      </c>
      <c r="F14" s="782" t="s">
        <v>549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757</v>
      </c>
      <c r="C15" s="154">
        <f>PGL_Supplies!Z8/1000</f>
        <v>40.200000000000003</v>
      </c>
      <c r="D15" s="60"/>
      <c r="E15" s="161"/>
      <c r="F15" s="782" t="s">
        <v>558</v>
      </c>
      <c r="G15" s="447">
        <f>SUM(G11)-G16-G17</f>
        <v>178.863</v>
      </c>
      <c r="H15" s="438" t="s">
        <v>11</v>
      </c>
      <c r="I15" s="440">
        <f>AVERAGE(G15/24)</f>
        <v>7.4526250000000003</v>
      </c>
    </row>
    <row r="16" spans="1:11" ht="15.75" customHeight="1" thickTop="1" thickBot="1">
      <c r="B16" s="172" t="s">
        <v>710</v>
      </c>
      <c r="C16" s="154">
        <f>PGL_Supplies!R8/1000</f>
        <v>0</v>
      </c>
      <c r="D16" s="154">
        <f>PGL_Requirements!U8/1000</f>
        <v>40.200000000000003</v>
      </c>
      <c r="E16" s="161"/>
      <c r="F16" s="782" t="s">
        <v>569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378</v>
      </c>
      <c r="C17" s="447">
        <f>SUM(C15:C16)-SUM(D15:D16)</f>
        <v>0</v>
      </c>
      <c r="D17" s="434"/>
      <c r="E17" s="436"/>
      <c r="F17" s="1088" t="s">
        <v>715</v>
      </c>
      <c r="G17" s="1178">
        <v>20.774000000000001</v>
      </c>
      <c r="H17" s="1087"/>
      <c r="I17" s="1179">
        <f>AVERAGE(G17/24)</f>
        <v>0.86558333333333337</v>
      </c>
    </row>
    <row r="18" spans="1:9" ht="15.75" customHeight="1">
      <c r="B18" s="172" t="s">
        <v>374</v>
      </c>
      <c r="C18" s="154">
        <f>PGL_Supplies!C8/1000</f>
        <v>0</v>
      </c>
      <c r="D18" s="60"/>
      <c r="E18" s="161"/>
      <c r="F18" s="1086" t="s">
        <v>547</v>
      </c>
      <c r="G18" s="60" t="s">
        <v>11</v>
      </c>
      <c r="H18" s="60"/>
      <c r="I18" s="161"/>
    </row>
    <row r="19" spans="1:9" ht="15.75" customHeight="1" thickBot="1">
      <c r="B19" s="172" t="s">
        <v>375</v>
      </c>
      <c r="C19" s="60"/>
      <c r="D19" s="154">
        <f>PGL_Requirements!C8/1000</f>
        <v>0</v>
      </c>
      <c r="E19" s="161"/>
      <c r="F19" s="170" t="s">
        <v>548</v>
      </c>
      <c r="G19" s="168"/>
      <c r="H19" s="210">
        <v>0</v>
      </c>
      <c r="I19" s="443"/>
    </row>
    <row r="20" spans="1:9" ht="15.75" customHeight="1" thickTop="1" thickBot="1">
      <c r="B20" s="437" t="s">
        <v>553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758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378</v>
      </c>
      <c r="C22" s="447">
        <f>SUM(C21:C21)-SUM(D21)</f>
        <v>0</v>
      </c>
      <c r="D22" s="434"/>
      <c r="E22" s="436"/>
      <c r="F22" s="435" t="s">
        <v>378</v>
      </c>
      <c r="G22" s="447">
        <f>G21</f>
        <v>0</v>
      </c>
      <c r="H22" s="434"/>
      <c r="I22" s="436"/>
    </row>
    <row r="23" spans="1:9" ht="15.75" customHeight="1">
      <c r="B23" s="172" t="s">
        <v>376</v>
      </c>
      <c r="C23" s="154">
        <f>PGL_Supplies!D8/1000</f>
        <v>0</v>
      </c>
      <c r="D23" s="60"/>
      <c r="E23" s="161"/>
      <c r="F23" s="172" t="s">
        <v>379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377</v>
      </c>
      <c r="C24" s="60">
        <v>0</v>
      </c>
      <c r="D24" s="154">
        <f>PGL_Requirements!D8/1000</f>
        <v>0</v>
      </c>
      <c r="E24" s="161"/>
      <c r="F24" s="172" t="s">
        <v>380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552</v>
      </c>
      <c r="C25" s="448">
        <f>C22+C23-D24</f>
        <v>0</v>
      </c>
      <c r="D25" s="438"/>
      <c r="E25" s="440">
        <f>AVERAGE(C25/24)</f>
        <v>0</v>
      </c>
      <c r="F25" s="551" t="s">
        <v>550</v>
      </c>
      <c r="G25" s="904">
        <f>G22+G23-H24+G20</f>
        <v>0</v>
      </c>
      <c r="H25" s="430"/>
      <c r="I25" s="905">
        <f>AVERAGE(G25/24)</f>
        <v>0</v>
      </c>
    </row>
    <row r="26" spans="1:9" ht="15.75" customHeight="1" thickTop="1">
      <c r="B26" t="s">
        <v>712</v>
      </c>
    </row>
    <row r="27" spans="1:9" ht="15.75" customHeight="1">
      <c r="B27" t="s">
        <v>711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649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3" customWidth="1"/>
    <col min="2" max="2" width="8.109375" style="1043" customWidth="1"/>
    <col min="3" max="3" width="7.88671875" style="1043" customWidth="1"/>
    <col min="4" max="4" width="5.88671875" style="1043" customWidth="1"/>
    <col min="5" max="5" width="4.44140625" style="1043" customWidth="1"/>
    <col min="6" max="6" width="5.21875" style="1043" customWidth="1"/>
    <col min="7" max="7" width="9" style="1043" customWidth="1"/>
    <col min="8" max="11" width="8.88671875" style="1043"/>
    <col min="12" max="12" width="14.88671875" style="1043" customWidth="1"/>
    <col min="13" max="13" width="5.6640625" style="1043" customWidth="1"/>
    <col min="14" max="16384" width="8.88671875" style="1043"/>
  </cols>
  <sheetData>
    <row r="1" spans="1:22" ht="22.5">
      <c r="A1" s="938"/>
      <c r="B1" s="934"/>
      <c r="C1" s="945" t="s">
        <v>653</v>
      </c>
      <c r="D1" s="942"/>
      <c r="E1" s="942" t="s">
        <v>654</v>
      </c>
      <c r="F1" s="942"/>
      <c r="G1" s="1041" t="s">
        <v>324</v>
      </c>
      <c r="H1" s="1042">
        <f>Weather_Input!A6</f>
        <v>37020</v>
      </c>
      <c r="I1" s="931"/>
      <c r="J1" s="933"/>
      <c r="K1" s="933"/>
    </row>
    <row r="2" spans="1:22" ht="16.5" customHeight="1">
      <c r="A2" s="951" t="s">
        <v>681</v>
      </c>
      <c r="C2" s="1044">
        <v>380</v>
      </c>
      <c r="F2" s="1045">
        <v>387</v>
      </c>
      <c r="H2" s="933"/>
      <c r="I2" s="931" t="s">
        <v>683</v>
      </c>
      <c r="J2" s="953">
        <f>NSG_Supplies!Q8/1000</f>
        <v>20</v>
      </c>
    </row>
    <row r="3" spans="1:22" ht="16.5" customHeight="1">
      <c r="A3" s="1046">
        <f>PGL_Supplies!J8/1000</f>
        <v>0</v>
      </c>
      <c r="C3" s="1043" t="s">
        <v>11</v>
      </c>
      <c r="G3" s="931"/>
      <c r="H3" s="933"/>
    </row>
    <row r="4" spans="1:22" ht="16.5" customHeight="1">
      <c r="A4" s="941" t="s">
        <v>655</v>
      </c>
      <c r="G4" s="959"/>
      <c r="H4" s="933"/>
      <c r="I4" s="931"/>
      <c r="J4" s="931" t="s">
        <v>679</v>
      </c>
      <c r="K4" s="953">
        <f>Billy_Sheet!C5</f>
        <v>0</v>
      </c>
      <c r="N4" s="953"/>
    </row>
    <row r="5" spans="1:22" ht="16.5" customHeight="1">
      <c r="A5" s="1047">
        <f>PGL_Supplies!K7/1000</f>
        <v>0</v>
      </c>
      <c r="B5" s="1048"/>
      <c r="G5" s="934"/>
      <c r="H5" s="953"/>
      <c r="U5" s="933"/>
      <c r="V5" s="933"/>
    </row>
    <row r="6" spans="1:22" ht="16.5" customHeight="1">
      <c r="A6" s="940" t="s">
        <v>651</v>
      </c>
      <c r="G6" s="934"/>
      <c r="H6" s="953"/>
      <c r="U6" s="933"/>
      <c r="V6" s="953"/>
    </row>
    <row r="7" spans="1:22" ht="18.75" customHeight="1">
      <c r="A7" s="953">
        <f>Billy_Sheet!G14</f>
        <v>0</v>
      </c>
      <c r="G7" s="934"/>
      <c r="H7" s="932"/>
      <c r="U7" s="933"/>
      <c r="V7" s="932"/>
    </row>
    <row r="8" spans="1:22" ht="14.45" customHeight="1">
      <c r="A8" s="931" t="s">
        <v>74</v>
      </c>
      <c r="G8" s="934"/>
      <c r="H8" s="931" t="s">
        <v>178</v>
      </c>
      <c r="I8" s="931"/>
      <c r="K8" s="931"/>
      <c r="L8" s="931"/>
      <c r="N8" s="931"/>
      <c r="O8" s="931"/>
      <c r="U8" s="933"/>
      <c r="V8" s="953"/>
    </row>
    <row r="9" spans="1:22" ht="14.45" customHeight="1">
      <c r="A9" s="953">
        <f>PGL_Supplies!I8/1000</f>
        <v>15</v>
      </c>
      <c r="H9" s="953">
        <v>0</v>
      </c>
      <c r="I9" s="1049"/>
      <c r="K9" s="931" t="s">
        <v>685</v>
      </c>
      <c r="L9" s="953">
        <f>NSG_Deliveries!C6/1000</f>
        <v>38</v>
      </c>
      <c r="N9" s="931"/>
      <c r="O9" s="953"/>
      <c r="U9" s="933"/>
      <c r="V9" s="953"/>
    </row>
    <row r="10" spans="1:22" ht="18" customHeight="1">
      <c r="A10" s="931" t="s">
        <v>68</v>
      </c>
      <c r="H10" s="960" t="s">
        <v>684</v>
      </c>
      <c r="U10" s="933"/>
      <c r="V10" s="953"/>
    </row>
    <row r="11" spans="1:22" ht="14.45" customHeight="1">
      <c r="A11" s="953">
        <f>Billy_Sheet!C20</f>
        <v>0</v>
      </c>
      <c r="B11" s="1049"/>
      <c r="H11" s="953">
        <f>NSG_Supplies!U8/1000</f>
        <v>0</v>
      </c>
      <c r="K11" s="934" t="s">
        <v>686</v>
      </c>
      <c r="L11" s="959">
        <f>SUM(K4+K17+K19+H11+H9-L9)</f>
        <v>2.7759999999999962</v>
      </c>
      <c r="N11" s="934"/>
      <c r="O11" s="959"/>
      <c r="U11" s="933"/>
      <c r="V11" s="947"/>
    </row>
    <row r="12" spans="1:22" ht="14.45" customHeight="1">
      <c r="A12" s="931" t="s">
        <v>745</v>
      </c>
      <c r="H12" s="953"/>
      <c r="U12" s="933"/>
      <c r="V12" s="953"/>
    </row>
    <row r="13" spans="1:22" ht="14.45" customHeight="1">
      <c r="A13" s="1047">
        <f>PGL_Supplies!Y8/1000</f>
        <v>155.15199999999999</v>
      </c>
      <c r="H13" s="953"/>
      <c r="U13" s="933"/>
      <c r="V13" s="953"/>
    </row>
    <row r="14" spans="1:22" ht="14.45" customHeight="1">
      <c r="H14" s="953"/>
      <c r="U14" s="933"/>
      <c r="V14" s="953"/>
    </row>
    <row r="15" spans="1:22" ht="15.6" customHeight="1">
      <c r="B15" s="1043" t="s">
        <v>11</v>
      </c>
      <c r="C15" s="1050">
        <v>390</v>
      </c>
      <c r="F15" s="1050">
        <v>390</v>
      </c>
      <c r="H15" s="959"/>
      <c r="U15" s="943"/>
      <c r="V15" s="959"/>
    </row>
    <row r="16" spans="1:22" ht="42.75" customHeight="1">
      <c r="A16" s="944"/>
      <c r="B16" s="959"/>
      <c r="C16" s="1051"/>
      <c r="D16" s="1052"/>
      <c r="E16" s="1052"/>
      <c r="F16" s="1051"/>
    </row>
    <row r="17" spans="1:17" ht="38.25" customHeight="1">
      <c r="B17" s="1052"/>
      <c r="C17" s="1052"/>
      <c r="D17" s="1053"/>
      <c r="E17" s="1052"/>
      <c r="F17" s="1052"/>
      <c r="G17" s="1052"/>
      <c r="J17" s="931" t="s">
        <v>326</v>
      </c>
      <c r="K17" s="953">
        <f>NSG_Supplies!L8/1000</f>
        <v>0</v>
      </c>
      <c r="N17" s="953"/>
    </row>
    <row r="18" spans="1:17" ht="15" customHeight="1">
      <c r="A18" s="939"/>
      <c r="C18" s="1050">
        <v>544</v>
      </c>
      <c r="D18" s="1052"/>
      <c r="E18" s="1052"/>
      <c r="F18" s="1045">
        <v>770</v>
      </c>
    </row>
    <row r="19" spans="1:17">
      <c r="A19" s="940" t="s">
        <v>652</v>
      </c>
      <c r="C19" s="1043" t="s">
        <v>11</v>
      </c>
      <c r="J19" s="931" t="s">
        <v>680</v>
      </c>
      <c r="K19" s="953">
        <f>NSG_Supplies!R8/1000+NSG_Supplies!F8/1000-NSG_Requirements!H8/1000</f>
        <v>40.775999999999996</v>
      </c>
      <c r="N19" s="1055"/>
    </row>
    <row r="20" spans="1:17" ht="17.25" customHeight="1">
      <c r="A20" s="953">
        <f>Billy_Sheet!G15</f>
        <v>178.863</v>
      </c>
      <c r="G20" s="433"/>
      <c r="J20" s="931"/>
    </row>
    <row r="21" spans="1:17" ht="11.25" customHeight="1">
      <c r="G21" s="932"/>
      <c r="H21" s="932"/>
      <c r="I21" s="934"/>
      <c r="J21" s="959"/>
    </row>
    <row r="22" spans="1:17">
      <c r="A22" s="933" t="s">
        <v>181</v>
      </c>
      <c r="G22" s="931"/>
      <c r="I22" s="934"/>
      <c r="J22" s="931"/>
      <c r="M22" s="934"/>
      <c r="N22" s="959"/>
    </row>
    <row r="23" spans="1:17">
      <c r="A23" s="953">
        <f>Billy_Sheet!C25</f>
        <v>0</v>
      </c>
      <c r="G23" s="931" t="s">
        <v>760</v>
      </c>
      <c r="H23" s="933"/>
      <c r="I23" s="934"/>
      <c r="J23" s="959"/>
      <c r="M23" s="931"/>
      <c r="N23" s="959"/>
      <c r="Q23" s="1056"/>
    </row>
    <row r="24" spans="1:17" ht="9" customHeight="1">
      <c r="G24" s="959">
        <v>0</v>
      </c>
      <c r="H24" s="934"/>
      <c r="I24" s="934"/>
      <c r="J24" s="934"/>
    </row>
    <row r="25" spans="1:17" ht="10.5" customHeight="1">
      <c r="A25" s="933" t="s">
        <v>183</v>
      </c>
      <c r="B25" s="933"/>
      <c r="C25" s="933"/>
      <c r="D25" s="933"/>
      <c r="F25" s="933"/>
      <c r="G25" s="931" t="s">
        <v>688</v>
      </c>
      <c r="H25" s="934"/>
      <c r="I25" s="934"/>
      <c r="J25" s="934"/>
    </row>
    <row r="26" spans="1:17" ht="14.25" customHeight="1">
      <c r="A26" s="953">
        <f>Billy_Sheet!G25</f>
        <v>0</v>
      </c>
      <c r="B26" s="933"/>
      <c r="C26" s="934"/>
      <c r="D26" s="934"/>
      <c r="F26" s="934"/>
      <c r="G26" s="1054">
        <v>9</v>
      </c>
      <c r="H26" s="934"/>
      <c r="I26" s="934"/>
      <c r="J26" s="934" t="s">
        <v>574</v>
      </c>
      <c r="K26" s="1057">
        <f>PGL_Deliveries!C6/1000</f>
        <v>240</v>
      </c>
      <c r="L26" s="931" t="s">
        <v>685</v>
      </c>
      <c r="M26" s="953">
        <f>NSG_Deliveries!C6/1000</f>
        <v>38</v>
      </c>
      <c r="N26" s="953"/>
    </row>
    <row r="27" spans="1:17" ht="8.25" customHeight="1">
      <c r="A27" s="934"/>
      <c r="B27" s="955"/>
      <c r="C27" s="934"/>
      <c r="D27" s="934"/>
      <c r="F27" s="934"/>
      <c r="G27" s="934"/>
      <c r="H27" s="935"/>
      <c r="I27" s="934"/>
      <c r="J27" s="935"/>
    </row>
    <row r="28" spans="1:17" ht="12.75" customHeight="1">
      <c r="A28" s="942" t="s">
        <v>656</v>
      </c>
      <c r="B28" s="953"/>
      <c r="C28" s="933"/>
      <c r="D28" s="934"/>
      <c r="F28" s="931"/>
      <c r="G28" s="943" t="s">
        <v>661</v>
      </c>
      <c r="H28" s="433"/>
      <c r="J28" s="934" t="s">
        <v>687</v>
      </c>
      <c r="K28" s="959">
        <f>SUM(A42)</f>
        <v>200.01499999999999</v>
      </c>
      <c r="L28" s="934" t="s">
        <v>737</v>
      </c>
      <c r="M28" s="959">
        <f>SUM(J2+K17+K19+H11+H9-M26)</f>
        <v>22.775999999999996</v>
      </c>
      <c r="N28" s="959"/>
    </row>
    <row r="29" spans="1:17">
      <c r="A29" s="953">
        <f>PGL_Supplies!M8/1000</f>
        <v>0</v>
      </c>
      <c r="B29" s="953"/>
      <c r="C29" s="934"/>
      <c r="D29" s="1058"/>
      <c r="F29" s="1110">
        <f>PGL_Requirements!A7</f>
        <v>37019</v>
      </c>
      <c r="G29" s="953">
        <f>PGL_Requirements!H7/1000</f>
        <v>0</v>
      </c>
      <c r="H29" s="932"/>
      <c r="J29" s="934" t="s">
        <v>689</v>
      </c>
      <c r="K29" s="953">
        <f>PGL_Supplies!AC8/1000+PGL_Supplies!L8/1000-PGL_Requirements!O8/1000</f>
        <v>47.015999999999998</v>
      </c>
    </row>
    <row r="30" spans="1:17" ht="10.5" customHeight="1">
      <c r="A30" s="936"/>
      <c r="B30" s="953"/>
      <c r="C30" s="934"/>
      <c r="D30" s="953"/>
      <c r="F30" s="1110">
        <f>PGL_Requirements!A8</f>
        <v>37020</v>
      </c>
      <c r="G30" s="953">
        <f>PGL_Requirements!H8/1000</f>
        <v>0</v>
      </c>
    </row>
    <row r="31" spans="1:17" ht="17.25" customHeight="1">
      <c r="A31" s="942" t="s">
        <v>658</v>
      </c>
      <c r="B31" s="1059"/>
      <c r="C31" s="937"/>
      <c r="D31" s="959"/>
      <c r="G31" s="943" t="s">
        <v>659</v>
      </c>
      <c r="H31" s="959"/>
      <c r="J31" s="934" t="s">
        <v>686</v>
      </c>
      <c r="K31" s="959">
        <f>SUM(K28+K29-K26)</f>
        <v>7.0309999999999775</v>
      </c>
    </row>
    <row r="32" spans="1:17">
      <c r="A32" s="953">
        <f>PGL_Supplies!H8/1000</f>
        <v>1</v>
      </c>
      <c r="G32" s="953">
        <f>PGL_Requirements!P8/1000</f>
        <v>150</v>
      </c>
    </row>
    <row r="33" spans="1:11" ht="6.75" customHeight="1"/>
    <row r="34" spans="1:11">
      <c r="A34" s="931" t="s">
        <v>657</v>
      </c>
      <c r="G34" s="934" t="s">
        <v>660</v>
      </c>
    </row>
    <row r="35" spans="1:11">
      <c r="A35" s="1054">
        <v>0</v>
      </c>
      <c r="G35" s="953">
        <f>PGL_Requirements!B8/1000</f>
        <v>0</v>
      </c>
    </row>
    <row r="36" spans="1:11">
      <c r="G36" s="953"/>
    </row>
    <row r="37" spans="1:11">
      <c r="C37" s="931" t="s">
        <v>663</v>
      </c>
      <c r="F37" s="931" t="s">
        <v>664</v>
      </c>
      <c r="G37" s="953"/>
    </row>
    <row r="38" spans="1:11">
      <c r="C38" s="1050">
        <v>548</v>
      </c>
      <c r="F38" s="1050">
        <v>735</v>
      </c>
    </row>
    <row r="39" spans="1:11">
      <c r="A39" s="951" t="s">
        <v>736</v>
      </c>
      <c r="E39" s="933" t="s">
        <v>662</v>
      </c>
      <c r="F39" s="933"/>
    </row>
    <row r="40" spans="1:11">
      <c r="A40" s="959">
        <f>SUM(A3:A35)</f>
        <v>350.01499999999999</v>
      </c>
      <c r="B40" s="947"/>
      <c r="C40" s="946"/>
      <c r="D40" s="947"/>
      <c r="E40" s="947"/>
      <c r="F40" s="1060"/>
      <c r="G40" s="1060">
        <f>SUM(G30:G35)</f>
        <v>150</v>
      </c>
      <c r="H40" s="949"/>
      <c r="I40" s="948"/>
    </row>
    <row r="41" spans="1:11">
      <c r="A41" s="950" t="s">
        <v>678</v>
      </c>
      <c r="B41" s="953"/>
      <c r="C41" s="947"/>
      <c r="D41" s="947"/>
      <c r="E41" s="947"/>
      <c r="F41" s="947"/>
      <c r="G41" s="947"/>
      <c r="H41" s="947"/>
      <c r="I41" s="946"/>
    </row>
    <row r="42" spans="1:11">
      <c r="A42" s="953">
        <f>SUM(A40-G40)</f>
        <v>200.01499999999999</v>
      </c>
      <c r="B42" s="953"/>
      <c r="C42" s="947"/>
      <c r="D42" s="947"/>
      <c r="E42" s="947"/>
      <c r="F42" s="956"/>
      <c r="G42" s="958" t="s">
        <v>682</v>
      </c>
      <c r="H42" s="1061"/>
      <c r="I42" s="1062"/>
      <c r="J42" s="1061"/>
      <c r="K42" s="1052"/>
    </row>
    <row r="43" spans="1:11" ht="14.25" customHeight="1">
      <c r="A43" s="953"/>
      <c r="B43" s="953"/>
      <c r="C43" s="953"/>
      <c r="D43" s="953"/>
      <c r="E43" s="956"/>
      <c r="F43" s="955" t="s">
        <v>677</v>
      </c>
      <c r="G43" s="956" t="s">
        <v>676</v>
      </c>
      <c r="I43" s="953"/>
    </row>
    <row r="44" spans="1:11" ht="12.75" customHeight="1">
      <c r="A44" s="950" t="s">
        <v>665</v>
      </c>
      <c r="B44" s="953" t="s">
        <v>670</v>
      </c>
      <c r="C44" s="953" t="s">
        <v>671</v>
      </c>
      <c r="D44" s="953" t="s">
        <v>672</v>
      </c>
      <c r="E44" s="954"/>
      <c r="F44" s="954" t="s">
        <v>673</v>
      </c>
      <c r="G44" s="947" t="s">
        <v>675</v>
      </c>
      <c r="H44" s="933" t="s">
        <v>674</v>
      </c>
      <c r="I44" s="953"/>
      <c r="K44" s="933"/>
    </row>
    <row r="45" spans="1:11">
      <c r="A45" s="950" t="s">
        <v>669</v>
      </c>
      <c r="B45" s="1063">
        <v>250</v>
      </c>
      <c r="C45" s="1063">
        <v>410</v>
      </c>
      <c r="D45" s="1064">
        <f>SUM(F2+F15)/2</f>
        <v>388.5</v>
      </c>
      <c r="E45" s="1065"/>
      <c r="F45" s="1066">
        <v>6.7000000000000004E-2</v>
      </c>
      <c r="G45" s="1067">
        <f>(C45-D45)*F45</f>
        <v>1.4405000000000001</v>
      </c>
      <c r="H45" s="1067">
        <f>(D45-B45)*F45</f>
        <v>9.2795000000000005</v>
      </c>
      <c r="I45" s="953"/>
      <c r="J45" s="1068"/>
    </row>
    <row r="46" spans="1:11">
      <c r="A46" s="933" t="s">
        <v>666</v>
      </c>
      <c r="B46" s="1069">
        <v>797</v>
      </c>
      <c r="C46" s="1063">
        <v>797</v>
      </c>
      <c r="D46" s="1064">
        <v>797</v>
      </c>
      <c r="E46" s="1065"/>
      <c r="F46" s="1066">
        <v>0.13900000000000001</v>
      </c>
      <c r="G46" s="1067">
        <f>(C46-D46)*F46</f>
        <v>0</v>
      </c>
      <c r="H46" s="1067">
        <f>(D46-B46)*F46</f>
        <v>0</v>
      </c>
      <c r="I46" s="953"/>
    </row>
    <row r="47" spans="1:11">
      <c r="A47" s="933" t="s">
        <v>667</v>
      </c>
      <c r="B47" s="1069">
        <v>250</v>
      </c>
      <c r="C47" s="1063">
        <v>410</v>
      </c>
      <c r="D47" s="1064">
        <f>SUM(C2+C15)/2</f>
        <v>385</v>
      </c>
      <c r="E47" s="1065"/>
      <c r="F47" s="1066">
        <v>0.14099999999999999</v>
      </c>
      <c r="G47" s="1067">
        <f>(C47-D47)*F47</f>
        <v>3.5249999999999995</v>
      </c>
      <c r="H47" s="1067">
        <f>(D47-B47)*F47</f>
        <v>19.034999999999997</v>
      </c>
      <c r="I47" s="953"/>
    </row>
    <row r="48" spans="1:11">
      <c r="A48" s="933" t="s">
        <v>668</v>
      </c>
      <c r="B48" s="1069">
        <v>285</v>
      </c>
      <c r="C48" s="1063">
        <v>750</v>
      </c>
      <c r="D48" s="1064">
        <f>SUM(C18+C38)/2</f>
        <v>546</v>
      </c>
      <c r="E48" s="1065"/>
      <c r="F48" s="1066">
        <v>0.161</v>
      </c>
      <c r="G48" s="1067">
        <f>(C48-D48)*F48</f>
        <v>32.844000000000001</v>
      </c>
      <c r="H48" s="1067">
        <f>(D48-B48)*F48</f>
        <v>42.021000000000001</v>
      </c>
    </row>
    <row r="49" spans="1:8">
      <c r="B49" s="1049"/>
      <c r="C49" s="1049"/>
      <c r="D49" s="1049"/>
      <c r="E49" s="1049"/>
      <c r="F49" s="957" t="s">
        <v>359</v>
      </c>
      <c r="G49" s="1067">
        <f>SUM(G45:G48)</f>
        <v>37.8095</v>
      </c>
      <c r="H49" s="1067">
        <f>SUM(H45:H48)</f>
        <v>70.335499999999996</v>
      </c>
    </row>
    <row r="55" spans="1:8">
      <c r="A55" s="1070"/>
      <c r="G55" s="107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37019</v>
      </c>
      <c r="B5" s="11">
        <v>75</v>
      </c>
      <c r="C5" s="49">
        <v>51</v>
      </c>
      <c r="D5" s="49">
        <v>15</v>
      </c>
      <c r="E5" s="11" t="s">
        <v>786</v>
      </c>
      <c r="F5" s="11">
        <v>20</v>
      </c>
      <c r="G5" s="11">
        <v>6427</v>
      </c>
      <c r="H5" s="11">
        <v>3</v>
      </c>
      <c r="I5" s="910" t="s">
        <v>796</v>
      </c>
      <c r="J5" s="910" t="s">
        <v>11</v>
      </c>
      <c r="K5" s="11">
        <v>5</v>
      </c>
      <c r="L5" s="11">
        <v>1</v>
      </c>
      <c r="N5" s="15" t="str">
        <f>I5&amp;" "&amp;I5</f>
        <v xml:space="preserve">  TODAY - SUNSHINE  TONIGHT - A FEW CLOUDS.   TODAY - SUNSHINE  TONIGHT - A FEW CLOUDS.</v>
      </c>
      <c r="AE5" s="15">
        <v>1</v>
      </c>
      <c r="AH5" s="15" t="s">
        <v>34</v>
      </c>
    </row>
    <row r="6" spans="1:34" ht="16.5" customHeight="1">
      <c r="A6" s="88">
        <f>A5+1</f>
        <v>37020</v>
      </c>
      <c r="B6" s="11">
        <v>81</v>
      </c>
      <c r="C6" s="49">
        <v>58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0" t="s">
        <v>797</v>
      </c>
      <c r="J6" s="910" t="s">
        <v>11</v>
      </c>
      <c r="K6" s="11">
        <v>3</v>
      </c>
      <c r="L6" s="11" t="s">
        <v>627</v>
      </c>
      <c r="N6" s="15" t="str">
        <f>I6&amp;" "&amp;J6</f>
        <v xml:space="preserve">  SUNSHINE AND CLOUDS  </v>
      </c>
      <c r="AE6" s="15">
        <v>1</v>
      </c>
      <c r="AH6" s="15" t="s">
        <v>35</v>
      </c>
    </row>
    <row r="7" spans="1:34" ht="16.5" customHeight="1">
      <c r="A7" s="88">
        <f>A6+1</f>
        <v>37021</v>
      </c>
      <c r="B7" s="11">
        <v>82</v>
      </c>
      <c r="C7" s="49">
        <v>54</v>
      </c>
      <c r="D7" s="49">
        <v>16</v>
      </c>
      <c r="E7" s="11" t="s">
        <v>11</v>
      </c>
      <c r="F7" s="11" t="s">
        <v>11</v>
      </c>
      <c r="G7" s="11"/>
      <c r="H7" s="11" t="s">
        <v>11</v>
      </c>
      <c r="I7" s="910" t="s">
        <v>798</v>
      </c>
      <c r="J7" s="910" t="s">
        <v>799</v>
      </c>
      <c r="K7" s="11">
        <v>3</v>
      </c>
      <c r="L7" s="11" t="s">
        <v>22</v>
      </c>
      <c r="N7" s="15" t="str">
        <f>I7&amp;" "&amp;J7</f>
        <v xml:space="preserve">  TIMES OF CLOUDS AND SUN WITH A COUPLE OF THUNDERSTORMS LATER IN THE    DAY.</v>
      </c>
    </row>
    <row r="8" spans="1:34" ht="16.5" customHeight="1">
      <c r="A8" s="88">
        <f>A7+1</f>
        <v>37022</v>
      </c>
      <c r="B8" s="11">
        <v>70</v>
      </c>
      <c r="C8" s="49">
        <v>48</v>
      </c>
      <c r="D8" s="49">
        <v>14</v>
      </c>
      <c r="E8" s="11" t="s">
        <v>11</v>
      </c>
      <c r="F8" s="11" t="s">
        <v>11</v>
      </c>
      <c r="G8" s="11"/>
      <c r="H8" s="11" t="s">
        <v>11</v>
      </c>
      <c r="I8" s="910" t="s">
        <v>800</v>
      </c>
      <c r="J8" s="910" t="s">
        <v>801</v>
      </c>
      <c r="K8" s="11">
        <v>6</v>
      </c>
      <c r="L8" s="11"/>
      <c r="N8" s="15" t="str">
        <f>I8&amp;" "&amp;J8</f>
        <v xml:space="preserve">  TIMES OF SUN AND CLOUDS WITH A CHANCE OF A THUNDERSTORM EARLY IN    THE DAY.</v>
      </c>
    </row>
    <row r="9" spans="1:34" ht="16.5" customHeight="1">
      <c r="A9" s="88">
        <f>A8+1</f>
        <v>37023</v>
      </c>
      <c r="B9" s="11">
        <v>65</v>
      </c>
      <c r="C9" s="49">
        <v>46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0" t="s">
        <v>802</v>
      </c>
      <c r="J9" s="910" t="s">
        <v>11</v>
      </c>
      <c r="K9" s="11">
        <v>3</v>
      </c>
      <c r="L9" s="11">
        <v>0</v>
      </c>
      <c r="M9" s="89"/>
      <c r="N9" s="15" t="str">
        <f>I10&amp;" "&amp;J9</f>
        <v xml:space="preserve">  SOME SUNSHINE.  </v>
      </c>
    </row>
    <row r="10" spans="1:34" ht="16.5" customHeight="1">
      <c r="A10" s="88">
        <f>A9+1</f>
        <v>37024</v>
      </c>
      <c r="B10" s="11">
        <v>65</v>
      </c>
      <c r="C10" s="49">
        <v>46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0" t="s">
        <v>802</v>
      </c>
      <c r="J10" s="910" t="s">
        <v>11</v>
      </c>
      <c r="K10" s="11">
        <v>3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574</v>
      </c>
      <c r="B2" s="186">
        <f>PGL_Deliveries!U5/1000</f>
        <v>3.681</v>
      </c>
      <c r="C2" s="60"/>
      <c r="D2" s="121" t="s">
        <v>324</v>
      </c>
      <c r="E2" s="426">
        <f>Weather_Input!A5</f>
        <v>37019</v>
      </c>
      <c r="F2" s="60"/>
      <c r="H2"/>
      <c r="I2"/>
      <c r="J2"/>
      <c r="K2"/>
      <c r="L2"/>
      <c r="M2"/>
    </row>
    <row r="3" spans="1:13" ht="15">
      <c r="A3" s="99" t="s">
        <v>575</v>
      </c>
      <c r="B3" s="632">
        <f>PGL_Supplies!J7/1000</f>
        <v>0</v>
      </c>
      <c r="C3" s="185"/>
      <c r="D3" s="1126" t="s">
        <v>769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578</v>
      </c>
      <c r="B5" s="154">
        <f>PGL_Deliveries!D5/1000</f>
        <v>0</v>
      </c>
      <c r="C5" s="64"/>
      <c r="D5" s="59" t="s">
        <v>576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577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580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745</v>
      </c>
      <c r="B8" s="154">
        <f>PGL_Deliveries!V5/1000</f>
        <v>166.25800000000001</v>
      </c>
      <c r="C8" s="631"/>
      <c r="D8" s="117" t="s">
        <v>579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3.681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14.579000000000001</v>
      </c>
      <c r="C11" s="64"/>
      <c r="D11" s="117" t="s">
        <v>581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582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583</v>
      </c>
      <c r="B13" s="154">
        <f>PGL_Deliveries!Y5/1000+PGL_Deliveries!Z5/1000+PGL_Deliveries!AA5/1000-PGL_Deliveries!BE5/1000</f>
        <v>188.04399999999998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-179.77799999999999</v>
      </c>
      <c r="C15" s="64"/>
      <c r="D15" s="59" t="s">
        <v>402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584</v>
      </c>
      <c r="B16" s="60"/>
      <c r="C16" s="226">
        <f>PGL_Deliveries!AO5/1000</f>
        <v>7.6929999999999996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0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585</v>
      </c>
      <c r="B18" s="904">
        <f>SUM(B8:B17)-C16</f>
        <v>181.40999999999997</v>
      </c>
      <c r="C18" s="169"/>
      <c r="D18" s="179" t="s">
        <v>586</v>
      </c>
      <c r="E18" s="178">
        <f>SUM(E5:E17)</f>
        <v>3.681</v>
      </c>
      <c r="F18" s="167"/>
      <c r="H18"/>
      <c r="I18"/>
      <c r="J18"/>
      <c r="K18"/>
      <c r="L18"/>
      <c r="M18"/>
    </row>
    <row r="19" spans="1:13" ht="15">
      <c r="A19" s="444" t="s">
        <v>751</v>
      </c>
      <c r="B19" s="154">
        <f>PGL_Supplies!Y7/1000</f>
        <v>146.58500000000001</v>
      </c>
      <c r="C19" s="631"/>
      <c r="D19" s="117" t="s">
        <v>319</v>
      </c>
      <c r="E19" s="154">
        <f>PGL_Deliveries!AI5/1000</f>
        <v>0</v>
      </c>
      <c r="F19" s="171"/>
      <c r="H19"/>
      <c r="I19"/>
      <c r="J19"/>
      <c r="K19"/>
      <c r="L19"/>
      <c r="M19"/>
    </row>
    <row r="20" spans="1:13" ht="15">
      <c r="A20" s="172" t="s">
        <v>748</v>
      </c>
      <c r="B20" s="154">
        <f>PGL_Supplies!X7/1000</f>
        <v>0</v>
      </c>
      <c r="C20" s="64"/>
      <c r="D20" s="117" t="s">
        <v>189</v>
      </c>
      <c r="E20" s="154">
        <f>PGL_Deliveries!AW5/1000+B41</f>
        <v>2.7117</v>
      </c>
      <c r="F20" s="171"/>
      <c r="H20"/>
      <c r="I20"/>
      <c r="J20"/>
      <c r="K20"/>
      <c r="L20"/>
      <c r="M20"/>
    </row>
    <row r="21" spans="1:13" ht="16.5" thickBot="1">
      <c r="A21" s="172" t="s">
        <v>752</v>
      </c>
      <c r="C21" s="176">
        <f>PGL_Requirements!J7/1000</f>
        <v>5.5</v>
      </c>
      <c r="D21" s="630" t="s">
        <v>587</v>
      </c>
      <c r="E21" s="211">
        <f>SUM(E18:E20)</f>
        <v>6.3926999999999996</v>
      </c>
      <c r="F21" s="177"/>
      <c r="H21"/>
      <c r="I21"/>
      <c r="J21"/>
      <c r="K21"/>
      <c r="L21"/>
      <c r="M21"/>
    </row>
    <row r="22" spans="1:13" ht="15">
      <c r="A22" s="175" t="s">
        <v>359</v>
      </c>
      <c r="B22" s="1132">
        <f>+B19+B20-C21</f>
        <v>141.08500000000001</v>
      </c>
      <c r="C22" s="1125"/>
      <c r="D22" s="251" t="s">
        <v>588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40.200000000000003</v>
      </c>
      <c r="C23" s="64"/>
      <c r="D23" s="251" t="s">
        <v>589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762</v>
      </c>
      <c r="B24" s="633"/>
      <c r="C24" s="226">
        <f>PGL_Requirements!U7/1000</f>
        <v>40.200000000000003</v>
      </c>
      <c r="D24" s="60" t="s">
        <v>590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761</v>
      </c>
      <c r="B25" s="154">
        <f>PGL_Supplies!R7/1000</f>
        <v>0</v>
      </c>
      <c r="C25" s="64"/>
      <c r="D25" s="251" t="s">
        <v>592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594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591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593</v>
      </c>
      <c r="B28" s="154">
        <v>0</v>
      </c>
      <c r="C28" s="64"/>
      <c r="D28" s="251" t="s">
        <v>596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595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597</v>
      </c>
      <c r="B30" s="1079">
        <f>PGL_Supplies!AD7/1000</f>
        <v>1.006</v>
      </c>
      <c r="C30" s="64"/>
      <c r="D30" s="634" t="s">
        <v>599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598</v>
      </c>
      <c r="B31" s="154">
        <f>PGL_Supplies!AE7/1000</f>
        <v>0</v>
      </c>
      <c r="C31" s="64"/>
      <c r="D31" s="251" t="s">
        <v>600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601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733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602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109.55</v>
      </c>
      <c r="F34" s="171"/>
      <c r="H34"/>
      <c r="I34"/>
      <c r="J34"/>
      <c r="K34"/>
      <c r="L34"/>
      <c r="M34"/>
    </row>
    <row r="35" spans="1:13" ht="15">
      <c r="A35" s="172" t="s">
        <v>603</v>
      </c>
      <c r="B35" s="60"/>
      <c r="C35" s="64">
        <f>PGL_Deliveries!AC5/1000</f>
        <v>0</v>
      </c>
      <c r="D35" s="60" t="s">
        <v>604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605</v>
      </c>
      <c r="B36" s="68"/>
      <c r="C36" s="484">
        <f>PGL_Deliveries!AB5/1000</f>
        <v>0</v>
      </c>
      <c r="D36" s="174" t="s">
        <v>606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607</v>
      </c>
      <c r="B37" s="154" t="s">
        <v>11</v>
      </c>
      <c r="C37" s="226">
        <f>PGL_Requirements!P7/1000</f>
        <v>155</v>
      </c>
      <c r="D37" s="251" t="s">
        <v>608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609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6.5" thickBot="1">
      <c r="A39" s="172" t="s">
        <v>610</v>
      </c>
      <c r="B39" s="60"/>
      <c r="C39" s="226">
        <f>PGL_Deliveries!AS5/1000</f>
        <v>0</v>
      </c>
      <c r="D39" s="212" t="s">
        <v>224</v>
      </c>
      <c r="E39" s="211">
        <f>SUM(E22:E37)-SUM(F23:F38)-E33</f>
        <v>109.55</v>
      </c>
      <c r="F39" s="167"/>
      <c r="G39" s="1" t="s">
        <v>11</v>
      </c>
      <c r="H39"/>
      <c r="I39"/>
      <c r="J39"/>
      <c r="K39"/>
      <c r="L39"/>
      <c r="M39"/>
    </row>
    <row r="40" spans="1:13" ht="15">
      <c r="A40" s="172" t="s">
        <v>209</v>
      </c>
      <c r="B40" s="154">
        <f>PGL_Deliveries!AT5/1000</f>
        <v>1.6719999999999999</v>
      </c>
      <c r="C40" s="64"/>
      <c r="D40" s="780" t="s">
        <v>611</v>
      </c>
      <c r="E40" s="807"/>
      <c r="F40" s="176">
        <f>PGL_Requirements!K7/1000</f>
        <v>20.774000000000001</v>
      </c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251" t="s">
        <v>524</v>
      </c>
      <c r="E41" s="808">
        <f>PGL_Supplies!AB7/1000</f>
        <v>144.566</v>
      </c>
      <c r="F41" s="171"/>
      <c r="H41"/>
      <c r="I41"/>
      <c r="J41"/>
      <c r="K41"/>
      <c r="L41"/>
      <c r="M41"/>
    </row>
    <row r="42" spans="1:13" ht="15">
      <c r="A42" s="173" t="s">
        <v>612</v>
      </c>
      <c r="B42" s="154">
        <f>PGL_Deliveries!AF5/1000</f>
        <v>0</v>
      </c>
      <c r="C42" s="64"/>
      <c r="D42" s="60" t="s">
        <v>393</v>
      </c>
      <c r="E42" s="808">
        <f>PGL_Supplies!W7/1000</f>
        <v>0</v>
      </c>
      <c r="F42" s="171"/>
      <c r="H42"/>
      <c r="I42"/>
      <c r="J42"/>
      <c r="K42"/>
      <c r="L42"/>
      <c r="M42"/>
    </row>
    <row r="43" spans="1:13" ht="15">
      <c r="A43" s="172" t="s">
        <v>613</v>
      </c>
      <c r="B43" s="154">
        <f>PGL_Deliveries!AW5/1000</f>
        <v>2.7117</v>
      </c>
      <c r="C43" s="64"/>
      <c r="D43" s="60" t="s">
        <v>527</v>
      </c>
      <c r="E43" s="154"/>
      <c r="F43" s="176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70" t="s">
        <v>742</v>
      </c>
      <c r="B44" s="210" t="s">
        <v>11</v>
      </c>
      <c r="C44" s="226">
        <f>PGL_Requirements!R7/1000</f>
        <v>0.63</v>
      </c>
      <c r="D44" s="60" t="s">
        <v>528</v>
      </c>
      <c r="E44" s="154">
        <f>NSG_Requirements!$AB$7+NSG_Requirements!$AC$7+NSG_Requirements!$AD$7+NSG_Requirements!$AE$7/1000+NSG_Requirements!K7/1000</f>
        <v>0</v>
      </c>
      <c r="F44" s="176"/>
      <c r="H44"/>
      <c r="I44"/>
      <c r="J44"/>
      <c r="K44"/>
      <c r="L44"/>
      <c r="M44"/>
    </row>
    <row r="45" spans="1:13" ht="15">
      <c r="A45" s="444" t="s">
        <v>614</v>
      </c>
      <c r="B45" s="60">
        <f>Weather_Input!B5</f>
        <v>75</v>
      </c>
      <c r="C45" s="185"/>
      <c r="D45" s="60" t="s">
        <v>624</v>
      </c>
      <c r="E45" s="808">
        <f>PGL_Supplies!T7/1000</f>
        <v>21.29</v>
      </c>
      <c r="F45" s="171"/>
    </row>
    <row r="46" spans="1:13" ht="15">
      <c r="A46" s="172" t="s">
        <v>615</v>
      </c>
      <c r="B46" s="239">
        <f>Weather_Input!C5</f>
        <v>51</v>
      </c>
      <c r="C46" s="162"/>
      <c r="D46" s="74" t="s">
        <v>623</v>
      </c>
      <c r="E46" s="60"/>
      <c r="F46" s="176">
        <f>PGL_Deliveries!BE5/1000</f>
        <v>21.574000000000002</v>
      </c>
    </row>
    <row r="47" spans="1:13" ht="15">
      <c r="A47" s="173" t="s">
        <v>616</v>
      </c>
      <c r="B47" s="60" t="str">
        <f>Weather_Input!E5</f>
        <v>N/A</v>
      </c>
      <c r="C47" s="162"/>
      <c r="D47" s="779" t="s">
        <v>794</v>
      </c>
      <c r="E47" s="68"/>
      <c r="F47" s="176">
        <f>PGL_Deliveries!BF5/1000</f>
        <v>20.8</v>
      </c>
    </row>
    <row r="48" spans="1:13" ht="15">
      <c r="A48" s="172" t="s">
        <v>617</v>
      </c>
      <c r="B48" s="227">
        <f>Weather_Input!D5</f>
        <v>15</v>
      </c>
      <c r="C48" s="162"/>
      <c r="D48" s="251" t="s">
        <v>245</v>
      </c>
      <c r="E48" s="154">
        <f>PGL_Deliveries!AI5/1000</f>
        <v>0</v>
      </c>
      <c r="F48" s="161"/>
    </row>
    <row r="49" spans="1:6" ht="15">
      <c r="A49" s="172" t="s">
        <v>618</v>
      </c>
      <c r="B49" s="154">
        <f>PGL_Deliveries!AM5/1000</f>
        <v>1.0329999999999999</v>
      </c>
      <c r="C49" s="162"/>
      <c r="D49" s="60" t="s">
        <v>781</v>
      </c>
      <c r="E49" s="154">
        <f>PGL_Deliveries!AJ5/1000</f>
        <v>14.579000000000001</v>
      </c>
      <c r="F49" s="161"/>
    </row>
    <row r="50" spans="1:6" ht="15.75" outlineLevel="2" thickBot="1">
      <c r="A50" s="102" t="s">
        <v>619</v>
      </c>
      <c r="B50" s="163"/>
      <c r="C50" s="160"/>
      <c r="D50" s="168" t="s">
        <v>620</v>
      </c>
      <c r="E50" s="210">
        <f>PGL_Deliveries!AK5/1000</f>
        <v>0</v>
      </c>
      <c r="F50" s="443"/>
    </row>
    <row r="51" spans="1:6" ht="15" outlineLevel="2">
      <c r="A51" s="421" t="s">
        <v>621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783</v>
      </c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3" t="s">
        <v>5</v>
      </c>
      <c r="B3" s="244">
        <f>NSG_Deliveries!H5/1000</f>
        <v>0</v>
      </c>
      <c r="C3" s="120"/>
      <c r="D3" s="230" t="s">
        <v>324</v>
      </c>
      <c r="E3" s="429">
        <f>Weather_Input!A5</f>
        <v>37019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326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327</v>
      </c>
      <c r="B7" s="217">
        <f>NSG_Deliveries!G5/1000</f>
        <v>0</v>
      </c>
      <c r="C7" s="818"/>
      <c r="D7" s="222" t="s">
        <v>328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19" t="s">
        <v>642</v>
      </c>
      <c r="E8" s="813">
        <f>NSG_Deliveries!F5/1000</f>
        <v>0</v>
      </c>
      <c r="F8" s="812"/>
      <c r="G8"/>
    </row>
    <row r="9" spans="1:11" ht="15" customHeight="1">
      <c r="A9" s="245" t="s">
        <v>323</v>
      </c>
      <c r="B9" s="218" t="s">
        <v>11</v>
      </c>
      <c r="C9" s="134">
        <f>NSG_Requirements!L7/1000</f>
        <v>0</v>
      </c>
      <c r="D9" s="1" t="s">
        <v>632</v>
      </c>
      <c r="E9" s="814" t="s">
        <v>11</v>
      </c>
      <c r="F9" s="1038">
        <f>NSG_Deliveries!M5/1000</f>
        <v>20</v>
      </c>
      <c r="G9" s="122"/>
    </row>
    <row r="10" spans="1:11" ht="15" customHeight="1">
      <c r="A10" s="128" t="s">
        <v>330</v>
      </c>
      <c r="B10" s="219">
        <f>NSG_Supplies!H7/1000</f>
        <v>0</v>
      </c>
      <c r="C10" s="133"/>
      <c r="D10" s="1040" t="s">
        <v>633</v>
      </c>
      <c r="E10" s="446">
        <f>NSG_Deliveries!N5/1000</f>
        <v>0</v>
      </c>
      <c r="F10" s="815"/>
      <c r="G10"/>
    </row>
    <row r="11" spans="1:11" ht="15" customHeight="1" thickBot="1">
      <c r="A11" s="131" t="s">
        <v>331</v>
      </c>
      <c r="B11" s="427" t="s">
        <v>11</v>
      </c>
      <c r="C11" s="428"/>
      <c r="D11" s="170" t="s">
        <v>643</v>
      </c>
      <c r="E11" s="816">
        <f>NSG_Supplies!Q7/1000</f>
        <v>20</v>
      </c>
      <c r="F11" s="817"/>
      <c r="G11"/>
    </row>
    <row r="12" spans="1:11" ht="15" customHeight="1">
      <c r="A12" s="128" t="s">
        <v>394</v>
      </c>
      <c r="B12" s="219">
        <v>0</v>
      </c>
      <c r="C12" s="132"/>
      <c r="D12" t="s">
        <v>329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334</v>
      </c>
      <c r="B13" s="219">
        <f>NSG_Supplies!R7/1000</f>
        <v>31.536000000000001</v>
      </c>
      <c r="C13" s="132"/>
      <c r="D13" s="247" t="s">
        <v>332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333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336</v>
      </c>
      <c r="B15" s="214"/>
      <c r="C15" s="134">
        <f>NSG_Deliveries!K5/1000</f>
        <v>0</v>
      </c>
      <c r="D15" s="238" t="s">
        <v>335</v>
      </c>
      <c r="E15" s="772">
        <f>+NSG_Supplies!O7/1000</f>
        <v>0</v>
      </c>
      <c r="F15" s="215"/>
    </row>
    <row r="16" spans="1:11" ht="15" customHeight="1" thickBot="1">
      <c r="A16" s="130" t="s">
        <v>337</v>
      </c>
      <c r="B16" s="446">
        <f>NSG_Deliveries!L5/1000</f>
        <v>11.215</v>
      </c>
      <c r="C16" s="1039"/>
      <c r="D16" s="827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338</v>
      </c>
      <c r="B17" s="214"/>
      <c r="C17" s="134">
        <f>NSG_Requirements!P7/1000</f>
        <v>0</v>
      </c>
      <c r="D17" s="431" t="s">
        <v>339</v>
      </c>
      <c r="E17" s="430"/>
      <c r="F17" s="432"/>
    </row>
    <row r="18" spans="1:8" ht="15" customHeight="1">
      <c r="A18" s="128" t="s">
        <v>340</v>
      </c>
      <c r="B18" s="219">
        <f>NSG_Supplies!I7/1000</f>
        <v>0</v>
      </c>
      <c r="C18" s="132"/>
      <c r="D18" s="64" t="s">
        <v>341</v>
      </c>
      <c r="E18" s="162"/>
      <c r="F18" s="129">
        <f>NSG_Requirements!N7/1000</f>
        <v>0</v>
      </c>
    </row>
    <row r="19" spans="1:8" ht="15" customHeight="1">
      <c r="A19" s="130" t="s">
        <v>491</v>
      </c>
      <c r="B19" s="446">
        <f>PGL_Requirements!Y7/1000+PGL_Requirements!AB7/1000</f>
        <v>0</v>
      </c>
      <c r="C19" s="445"/>
      <c r="D19" s="232" t="s">
        <v>342</v>
      </c>
      <c r="E19" s="162"/>
      <c r="F19" s="129">
        <f>NSG_Requirements!S7/1000</f>
        <v>0</v>
      </c>
    </row>
    <row r="20" spans="1:8" ht="15" customHeight="1">
      <c r="A20" s="130" t="s">
        <v>343</v>
      </c>
      <c r="B20" s="446">
        <f>PGL_Requirements!Z7/1000</f>
        <v>0</v>
      </c>
      <c r="C20" s="445" t="s">
        <v>11</v>
      </c>
      <c r="D20" s="214" t="s">
        <v>344</v>
      </c>
      <c r="E20" s="162"/>
      <c r="F20" s="129">
        <f>NSG_Requirements!O7/1000</f>
        <v>0</v>
      </c>
    </row>
    <row r="21" spans="1:8" ht="15" customHeight="1">
      <c r="A21" s="130" t="s">
        <v>520</v>
      </c>
      <c r="B21" s="446">
        <f>PGL_Requirements!AA7/1000</f>
        <v>0</v>
      </c>
      <c r="C21" s="445"/>
      <c r="D21" s="223" t="s">
        <v>345</v>
      </c>
      <c r="E21" s="219">
        <f>NSG_Supplies!L7/1000</f>
        <v>0</v>
      </c>
      <c r="F21" s="144"/>
    </row>
    <row r="22" spans="1:8" ht="15" customHeight="1">
      <c r="A22" s="128" t="s">
        <v>325</v>
      </c>
      <c r="B22" s="214"/>
      <c r="C22" s="134">
        <f>NSG_Requirements!C7/1000</f>
        <v>0</v>
      </c>
      <c r="D22" s="223" t="s">
        <v>369</v>
      </c>
      <c r="E22" s="219">
        <f>NSG_Supplies!M7/1000</f>
        <v>0</v>
      </c>
      <c r="F22" s="144"/>
    </row>
    <row r="23" spans="1:8" ht="15" customHeight="1">
      <c r="A23" s="128" t="s">
        <v>346</v>
      </c>
      <c r="B23" s="214"/>
      <c r="C23" s="134">
        <f>NSG_Requirements!R7/1000</f>
        <v>0</v>
      </c>
      <c r="D23" s="223" t="s">
        <v>347</v>
      </c>
      <c r="E23" s="219">
        <f>PGL_Supplies!S7/1000</f>
        <v>0</v>
      </c>
      <c r="F23" s="129" t="s">
        <v>11</v>
      </c>
    </row>
    <row r="24" spans="1:8" ht="15" customHeight="1">
      <c r="A24" s="128" t="s">
        <v>348</v>
      </c>
      <c r="B24" s="219">
        <f>NSG_Supplies!K7/1000</f>
        <v>0</v>
      </c>
      <c r="C24" s="132"/>
      <c r="D24" s="231" t="s">
        <v>349</v>
      </c>
      <c r="E24" s="224">
        <f>NSG_Supplies!P7/1000</f>
        <v>0</v>
      </c>
      <c r="F24" s="127"/>
    </row>
    <row r="25" spans="1:8" ht="15" customHeight="1">
      <c r="A25" s="130" t="s">
        <v>350</v>
      </c>
      <c r="B25" s="214"/>
      <c r="C25" s="134">
        <f>NSG_Requirements!Q7/1000</f>
        <v>0</v>
      </c>
      <c r="D25" s="231" t="s">
        <v>351</v>
      </c>
      <c r="E25" s="219">
        <f>PGL_Requirements!V71/1000</f>
        <v>0</v>
      </c>
      <c r="F25" s="118"/>
    </row>
    <row r="26" spans="1:8" ht="15" customHeight="1">
      <c r="A26" s="145" t="s">
        <v>352</v>
      </c>
      <c r="B26" s="220">
        <f>NSG_Supplies!J7/1000</f>
        <v>0</v>
      </c>
      <c r="C26" s="146"/>
      <c r="D26" s="773" t="s">
        <v>353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42.751000000000005</v>
      </c>
      <c r="C27" s="148"/>
      <c r="D27" s="241" t="s">
        <v>354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8" t="s">
        <v>11</v>
      </c>
      <c r="C2" s="928" t="s">
        <v>11</v>
      </c>
      <c r="D2" s="928" t="s">
        <v>172</v>
      </c>
      <c r="E2" s="928" t="s">
        <v>11</v>
      </c>
      <c r="F2" s="928" t="s">
        <v>172</v>
      </c>
      <c r="G2" s="928" t="s">
        <v>11</v>
      </c>
    </row>
    <row r="4" spans="2:7">
      <c r="B4" s="929" t="s">
        <v>172</v>
      </c>
    </row>
    <row r="6" spans="2:7">
      <c r="B6" s="928" t="s">
        <v>11</v>
      </c>
    </row>
    <row r="7" spans="2:7">
      <c r="B7" s="928"/>
    </row>
    <row r="8" spans="2:7">
      <c r="B8" s="928" t="s">
        <v>11</v>
      </c>
    </row>
    <row r="9" spans="2:7">
      <c r="B9" s="928"/>
    </row>
    <row r="10" spans="2:7">
      <c r="B10" s="928" t="s">
        <v>11</v>
      </c>
    </row>
    <row r="11" spans="2:7">
      <c r="B11" s="928" t="s">
        <v>11</v>
      </c>
    </row>
    <row r="12" spans="2:7">
      <c r="B12" s="928" t="s">
        <v>11</v>
      </c>
    </row>
    <row r="13" spans="2:7">
      <c r="B13" s="928"/>
    </row>
    <row r="14" spans="2:7">
      <c r="B14" s="928" t="s">
        <v>11</v>
      </c>
    </row>
    <row r="15" spans="2:7">
      <c r="B15" s="928"/>
    </row>
    <row r="16" spans="2:7">
      <c r="B16" s="928" t="s">
        <v>11</v>
      </c>
    </row>
    <row r="17" spans="2:5">
      <c r="B17" s="928"/>
    </row>
    <row r="18" spans="2:5">
      <c r="B18" s="928" t="s">
        <v>11</v>
      </c>
    </row>
    <row r="19" spans="2:5">
      <c r="B19" s="928"/>
    </row>
    <row r="20" spans="2:5">
      <c r="B20" s="928" t="s">
        <v>11</v>
      </c>
    </row>
    <row r="21" spans="2:5">
      <c r="B21" s="928"/>
    </row>
    <row r="22" spans="2:5">
      <c r="B22" s="928" t="s">
        <v>11</v>
      </c>
    </row>
    <row r="24" spans="2:5">
      <c r="B24" s="928" t="s">
        <v>11</v>
      </c>
    </row>
    <row r="25" spans="2:5">
      <c r="E25" s="928" t="s">
        <v>11</v>
      </c>
    </row>
    <row r="27" spans="2:5">
      <c r="B27" s="928" t="s">
        <v>11</v>
      </c>
    </row>
    <row r="29" spans="2:5">
      <c r="B29" s="928" t="s">
        <v>11</v>
      </c>
    </row>
    <row r="30" spans="2:5">
      <c r="B30" s="928"/>
    </row>
    <row r="31" spans="2:5">
      <c r="B31" s="928" t="s">
        <v>11</v>
      </c>
    </row>
    <row r="32" spans="2:5">
      <c r="B32" s="928"/>
    </row>
    <row r="33" spans="2:2">
      <c r="B33" s="928" t="s">
        <v>11</v>
      </c>
    </row>
    <row r="34" spans="2:2">
      <c r="B34" s="928"/>
    </row>
    <row r="35" spans="2:2">
      <c r="B35" s="928" t="s">
        <v>11</v>
      </c>
    </row>
    <row r="36" spans="2:2">
      <c r="B36" s="928"/>
    </row>
    <row r="37" spans="2:2">
      <c r="B37" s="928" t="s">
        <v>11</v>
      </c>
    </row>
    <row r="38" spans="2:2">
      <c r="B38" s="928"/>
    </row>
    <row r="39" spans="2:2">
      <c r="B39" s="928" t="s">
        <v>11</v>
      </c>
    </row>
    <row r="40" spans="2:2">
      <c r="B40" s="928"/>
    </row>
    <row r="41" spans="2:2">
      <c r="B41" s="928" t="s">
        <v>11</v>
      </c>
    </row>
    <row r="42" spans="2:2">
      <c r="B42" s="928"/>
    </row>
    <row r="43" spans="2:2">
      <c r="B43" s="928" t="s">
        <v>11</v>
      </c>
    </row>
    <row r="44" spans="2:2">
      <c r="B44" s="928"/>
    </row>
    <row r="45" spans="2:2">
      <c r="B45" s="928" t="s">
        <v>11</v>
      </c>
    </row>
    <row r="47" spans="2:2">
      <c r="B47" s="928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7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37019</v>
      </c>
      <c r="C1" s="4"/>
    </row>
    <row r="2" spans="1:19">
      <c r="A2" s="111" t="s">
        <v>357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358</v>
      </c>
      <c r="C4" s="202"/>
      <c r="D4" s="198" t="s">
        <v>359</v>
      </c>
      <c r="E4" s="198" t="s">
        <v>359</v>
      </c>
      <c r="F4" s="6" t="s">
        <v>360</v>
      </c>
      <c r="G4" s="199"/>
      <c r="H4" s="6" t="s">
        <v>358</v>
      </c>
      <c r="I4" s="6"/>
      <c r="J4" s="198" t="s">
        <v>359</v>
      </c>
      <c r="K4" s="198" t="s">
        <v>359</v>
      </c>
      <c r="L4" s="6" t="s">
        <v>360</v>
      </c>
      <c r="M4" s="199"/>
      <c r="N4" s="6" t="s">
        <v>358</v>
      </c>
      <c r="O4" s="6"/>
      <c r="P4" s="198" t="s">
        <v>359</v>
      </c>
      <c r="Q4" s="198" t="s">
        <v>359</v>
      </c>
      <c r="R4" s="6" t="s">
        <v>360</v>
      </c>
      <c r="S4" s="6"/>
    </row>
    <row r="5" spans="1:19">
      <c r="A5" s="105"/>
      <c r="B5" s="208" t="s">
        <v>361</v>
      </c>
      <c r="C5" s="203" t="s">
        <v>362</v>
      </c>
      <c r="D5" s="200" t="s">
        <v>363</v>
      </c>
      <c r="E5" s="200" t="s">
        <v>364</v>
      </c>
      <c r="F5" s="200" t="s">
        <v>361</v>
      </c>
      <c r="G5" s="201" t="s">
        <v>362</v>
      </c>
      <c r="H5" s="200" t="s">
        <v>361</v>
      </c>
      <c r="I5" s="200" t="s">
        <v>362</v>
      </c>
      <c r="J5" s="200" t="s">
        <v>363</v>
      </c>
      <c r="K5" s="200" t="s">
        <v>364</v>
      </c>
      <c r="L5" s="200" t="s">
        <v>361</v>
      </c>
      <c r="M5" s="201" t="s">
        <v>362</v>
      </c>
      <c r="N5" s="200" t="s">
        <v>361</v>
      </c>
      <c r="O5" s="200" t="s">
        <v>362</v>
      </c>
      <c r="P5" s="200" t="s">
        <v>363</v>
      </c>
      <c r="Q5" s="200" t="s">
        <v>364</v>
      </c>
      <c r="R5" s="200" t="s">
        <v>361</v>
      </c>
      <c r="S5" s="200" t="s">
        <v>362</v>
      </c>
    </row>
    <row r="6" spans="1:19">
      <c r="A6" s="4">
        <f>B1-1</f>
        <v>37018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172515</v>
      </c>
      <c r="O6" s="204">
        <v>0</v>
      </c>
      <c r="P6" s="204">
        <v>46309621</v>
      </c>
      <c r="Q6" s="204">
        <v>15045098</v>
      </c>
      <c r="R6" s="204">
        <v>31264523</v>
      </c>
      <c r="S6" s="204">
        <v>0</v>
      </c>
    </row>
    <row r="7" spans="1:19">
      <c r="A7" s="4">
        <f>B1</f>
        <v>37019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147591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46457212</v>
      </c>
      <c r="Q7">
        <f>IF(O7&gt;0,Q6+O7,Q6)</f>
        <v>15045098</v>
      </c>
      <c r="R7">
        <f>IF(P7&gt;Q7,P7-Q7,0)</f>
        <v>31412114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7" t="s">
        <v>728</v>
      </c>
      <c r="BE1" t="s">
        <v>729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725</v>
      </c>
      <c r="BC2" t="s">
        <v>726</v>
      </c>
      <c r="BE2" s="1092">
        <v>1</v>
      </c>
      <c r="BF2" s="198" t="s">
        <v>726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707</v>
      </c>
      <c r="AP3" s="1072"/>
      <c r="AQ3" s="795" t="s">
        <v>708</v>
      </c>
      <c r="AR3" s="1072"/>
      <c r="AS3" s="795" t="s">
        <v>709</v>
      </c>
      <c r="AT3" s="1072"/>
      <c r="AU3" s="433" t="s">
        <v>184</v>
      </c>
      <c r="AV3" s="433" t="s">
        <v>184</v>
      </c>
      <c r="AW3" s="433"/>
      <c r="AX3" s="433" t="s">
        <v>184</v>
      </c>
      <c r="AZ3" s="122" t="s">
        <v>723</v>
      </c>
      <c r="BA3" s="122"/>
      <c r="BB3" s="162"/>
      <c r="BC3" s="122" t="s">
        <v>43</v>
      </c>
      <c r="BE3" s="1092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743</v>
      </c>
      <c r="W4" s="3" t="s">
        <v>68</v>
      </c>
      <c r="X4" s="3" t="s">
        <v>69</v>
      </c>
      <c r="Y4" s="3" t="s">
        <v>570</v>
      </c>
      <c r="Z4" s="3" t="s">
        <v>571</v>
      </c>
      <c r="AA4" s="3" t="s">
        <v>776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1" t="s">
        <v>705</v>
      </c>
      <c r="AP4" s="3" t="s">
        <v>706</v>
      </c>
      <c r="AQ4" s="3" t="s">
        <v>705</v>
      </c>
      <c r="AR4" s="3" t="s">
        <v>706</v>
      </c>
      <c r="AS4" s="3" t="s">
        <v>705</v>
      </c>
      <c r="AT4" s="3" t="s">
        <v>706</v>
      </c>
      <c r="AU4" s="433" t="s">
        <v>203</v>
      </c>
      <c r="AV4" s="433" t="s">
        <v>741</v>
      </c>
      <c r="AW4" s="433" t="s">
        <v>212</v>
      </c>
      <c r="AX4" s="433" t="s">
        <v>704</v>
      </c>
      <c r="AY4" s="1"/>
      <c r="AZ4" s="1093" t="s">
        <v>42</v>
      </c>
      <c r="BA4" s="1094" t="s">
        <v>43</v>
      </c>
      <c r="BB4" s="1095" t="s">
        <v>722</v>
      </c>
      <c r="BC4" s="1095" t="s">
        <v>727</v>
      </c>
      <c r="BE4" s="198" t="s">
        <v>400</v>
      </c>
      <c r="BF4" s="198" t="s">
        <v>724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37019</v>
      </c>
      <c r="B5" s="1">
        <f>(Weather_Input!B5+Weather_Input!C5)/2</f>
        <v>63</v>
      </c>
      <c r="C5" s="911">
        <v>240000</v>
      </c>
      <c r="D5" s="912">
        <v>0</v>
      </c>
      <c r="E5" s="912">
        <v>0</v>
      </c>
      <c r="F5" s="912">
        <v>0</v>
      </c>
      <c r="G5" s="912">
        <v>0</v>
      </c>
      <c r="H5" s="912">
        <v>0</v>
      </c>
      <c r="I5" s="912">
        <v>0</v>
      </c>
      <c r="J5" s="912">
        <v>0</v>
      </c>
      <c r="K5" s="912">
        <v>0</v>
      </c>
      <c r="L5" s="912">
        <v>0</v>
      </c>
      <c r="M5" s="912">
        <v>0</v>
      </c>
      <c r="N5" s="912">
        <v>0</v>
      </c>
      <c r="O5" s="912">
        <v>0</v>
      </c>
      <c r="P5" s="912">
        <v>0</v>
      </c>
      <c r="Q5" s="912">
        <v>0</v>
      </c>
      <c r="R5" s="912">
        <v>0</v>
      </c>
      <c r="S5" s="917">
        <v>3681</v>
      </c>
      <c r="T5" s="1159">
        <v>0</v>
      </c>
      <c r="U5" s="911">
        <f>SUM(D5:S5)-T5</f>
        <v>3681</v>
      </c>
      <c r="V5" s="911">
        <v>166258</v>
      </c>
      <c r="W5" s="11">
        <v>0</v>
      </c>
      <c r="X5" s="11">
        <v>0</v>
      </c>
      <c r="Y5" s="11">
        <v>0</v>
      </c>
      <c r="Z5" s="11">
        <v>182722</v>
      </c>
      <c r="AA5" s="11">
        <v>26896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14579</v>
      </c>
      <c r="AK5" s="11">
        <v>0</v>
      </c>
      <c r="AL5" s="11">
        <v>0</v>
      </c>
      <c r="AM5" s="1">
        <v>1033</v>
      </c>
      <c r="AN5" s="1"/>
      <c r="AO5" s="1">
        <v>7693</v>
      </c>
      <c r="AP5" s="1">
        <v>0</v>
      </c>
      <c r="AQ5" s="1">
        <v>6156</v>
      </c>
      <c r="AR5" s="1">
        <v>0</v>
      </c>
      <c r="AS5" s="1">
        <v>0</v>
      </c>
      <c r="AT5" s="1">
        <v>1672</v>
      </c>
      <c r="AU5" s="1">
        <v>180780</v>
      </c>
      <c r="AV5" s="1">
        <v>670</v>
      </c>
      <c r="AW5" s="627">
        <f>AU5*0.015</f>
        <v>2711.7</v>
      </c>
      <c r="AX5" s="1">
        <v>0</v>
      </c>
      <c r="AY5" s="1"/>
      <c r="AZ5" s="1">
        <v>2561</v>
      </c>
      <c r="BA5" s="1">
        <v>10</v>
      </c>
      <c r="BB5" s="1">
        <v>0</v>
      </c>
      <c r="BC5" s="1">
        <v>0</v>
      </c>
      <c r="BD5" s="1"/>
      <c r="BE5" s="1">
        <v>21574</v>
      </c>
      <c r="BF5" s="1">
        <v>20800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37020</v>
      </c>
      <c r="B6" s="930">
        <f>(Weather_Input!B6+Weather_Input!C6)/2</f>
        <v>69.5</v>
      </c>
      <c r="C6" s="911">
        <v>240000</v>
      </c>
      <c r="D6" s="913" t="s">
        <v>11</v>
      </c>
      <c r="E6" s="914"/>
      <c r="F6" s="914"/>
      <c r="G6" s="914"/>
      <c r="H6" s="914"/>
      <c r="I6" s="914" t="s">
        <v>11</v>
      </c>
      <c r="J6" s="914"/>
      <c r="K6" s="914"/>
      <c r="L6" s="914" t="s">
        <v>11</v>
      </c>
      <c r="M6" s="914"/>
      <c r="N6" s="914"/>
      <c r="O6" s="914"/>
      <c r="P6" s="914"/>
      <c r="Q6" s="914"/>
      <c r="R6" s="914"/>
      <c r="S6" s="914"/>
      <c r="T6" s="914"/>
      <c r="U6" s="914"/>
      <c r="V6" s="91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703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37021</v>
      </c>
      <c r="B7" s="930">
        <f>(Weather_Input!B7+Weather_Input!C7)/2</f>
        <v>68</v>
      </c>
      <c r="C7" s="911">
        <v>240000</v>
      </c>
      <c r="D7" s="913" t="s">
        <v>11</v>
      </c>
      <c r="E7" s="914"/>
      <c r="F7" s="914"/>
      <c r="G7" s="914"/>
      <c r="H7" s="915" t="s">
        <v>77</v>
      </c>
      <c r="I7" s="914"/>
      <c r="J7" s="914"/>
      <c r="K7" s="914"/>
      <c r="L7" s="914"/>
      <c r="M7" s="914"/>
      <c r="N7" s="914"/>
      <c r="O7" s="914"/>
      <c r="P7" s="914"/>
      <c r="Q7" s="914"/>
      <c r="R7" s="914" t="s">
        <v>537</v>
      </c>
      <c r="S7" s="918">
        <v>0</v>
      </c>
      <c r="T7" s="918"/>
      <c r="U7" s="914"/>
      <c r="V7" s="91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37022</v>
      </c>
      <c r="B8" s="930">
        <f>(Weather_Input!B8+Weather_Input!C8)/2</f>
        <v>59</v>
      </c>
      <c r="C8" s="911">
        <v>265000</v>
      </c>
      <c r="D8" s="913" t="s">
        <v>11</v>
      </c>
      <c r="E8" s="914" t="s">
        <v>11</v>
      </c>
      <c r="F8" s="914"/>
      <c r="G8" s="914"/>
      <c r="H8" s="916" t="s">
        <v>78</v>
      </c>
      <c r="I8" s="914"/>
      <c r="J8" s="914"/>
      <c r="K8" s="914"/>
      <c r="L8" s="914"/>
      <c r="M8" s="914"/>
      <c r="N8" s="914"/>
      <c r="O8" s="914"/>
      <c r="P8" s="914"/>
      <c r="Q8" s="914"/>
      <c r="R8" s="914" t="s">
        <v>538</v>
      </c>
      <c r="S8" s="918">
        <v>0</v>
      </c>
      <c r="T8" s="918"/>
      <c r="U8" s="914"/>
      <c r="V8" s="914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37023</v>
      </c>
      <c r="B9" s="930">
        <f>(Weather_Input!B9+Weather_Input!C9)/2</f>
        <v>55.5</v>
      </c>
      <c r="C9" s="911">
        <v>270000</v>
      </c>
      <c r="D9" s="913" t="s">
        <v>11</v>
      </c>
      <c r="E9" s="914"/>
      <c r="F9" s="914"/>
      <c r="G9" s="914"/>
      <c r="H9" s="914" t="s">
        <v>79</v>
      </c>
      <c r="I9" s="914"/>
      <c r="J9" s="914"/>
      <c r="K9" s="914"/>
      <c r="L9" s="914"/>
      <c r="M9" s="914"/>
      <c r="N9" s="914"/>
      <c r="O9" s="914"/>
      <c r="P9" s="914"/>
      <c r="Q9" s="914"/>
      <c r="R9" s="914" t="s">
        <v>539</v>
      </c>
      <c r="S9" s="918">
        <v>0</v>
      </c>
      <c r="T9" s="918"/>
      <c r="U9" s="914"/>
      <c r="V9" s="91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37024</v>
      </c>
      <c r="B10" s="930">
        <f>(Weather_Input!B10+Weather_Input!C10)/2</f>
        <v>55.5</v>
      </c>
      <c r="C10" s="911">
        <v>285000</v>
      </c>
      <c r="D10" s="913" t="s">
        <v>11</v>
      </c>
      <c r="E10" s="914" t="s">
        <v>11</v>
      </c>
      <c r="F10" s="914"/>
      <c r="G10" s="914"/>
      <c r="H10" s="914" t="s">
        <v>80</v>
      </c>
      <c r="I10" s="914"/>
      <c r="J10" s="914"/>
      <c r="K10" s="914"/>
      <c r="L10" s="914"/>
      <c r="M10" s="914"/>
      <c r="N10" s="914"/>
      <c r="O10" s="914"/>
      <c r="P10" s="914"/>
      <c r="Q10" s="914"/>
      <c r="R10" s="914" t="s">
        <v>542</v>
      </c>
      <c r="S10" s="918">
        <v>0</v>
      </c>
      <c r="T10" s="918"/>
      <c r="U10" s="914"/>
      <c r="V10" s="914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1" t="s">
        <v>11</v>
      </c>
      <c r="T16" s="83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701</v>
      </c>
      <c r="L2" t="s">
        <v>701</v>
      </c>
      <c r="M2" t="s">
        <v>701</v>
      </c>
      <c r="N2" t="s">
        <v>701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637</v>
      </c>
      <c r="G3" s="156" t="s">
        <v>82</v>
      </c>
      <c r="H3" s="3" t="s">
        <v>15</v>
      </c>
      <c r="I3" s="156" t="s">
        <v>83</v>
      </c>
      <c r="K3" t="s">
        <v>702</v>
      </c>
      <c r="L3" t="s">
        <v>702</v>
      </c>
      <c r="M3" t="s">
        <v>702</v>
      </c>
      <c r="N3" t="s">
        <v>702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699</v>
      </c>
      <c r="L4" s="1" t="s">
        <v>700</v>
      </c>
      <c r="M4" s="1" t="s">
        <v>699</v>
      </c>
      <c r="N4" s="1" t="s">
        <v>700</v>
      </c>
    </row>
    <row r="5" spans="1:14">
      <c r="A5" s="12">
        <f>Weather_Input!A5</f>
        <v>37019</v>
      </c>
      <c r="B5" s="1">
        <f>(Weather_Input!B5+Weather_Input!C5)/2</f>
        <v>63</v>
      </c>
      <c r="C5" s="911">
        <v>43700</v>
      </c>
      <c r="D5" s="911">
        <v>0</v>
      </c>
      <c r="E5" s="911">
        <v>0</v>
      </c>
      <c r="F5" s="911">
        <v>0</v>
      </c>
      <c r="G5" s="911">
        <v>0</v>
      </c>
      <c r="H5" s="919">
        <f>SUM(D5:G5)</f>
        <v>0</v>
      </c>
      <c r="I5" s="1">
        <v>1010</v>
      </c>
      <c r="J5" s="1" t="s">
        <v>11</v>
      </c>
      <c r="K5" s="1">
        <v>0</v>
      </c>
      <c r="L5" s="1">
        <v>11215</v>
      </c>
      <c r="M5" s="1">
        <v>20000</v>
      </c>
      <c r="N5" s="1">
        <v>0</v>
      </c>
    </row>
    <row r="6" spans="1:14">
      <c r="A6" s="12">
        <f>A5+1</f>
        <v>37020</v>
      </c>
      <c r="B6" s="930">
        <f>(Weather_Input!B6+Weather_Input!C6)/2</f>
        <v>69.5</v>
      </c>
      <c r="C6" s="911">
        <v>38000</v>
      </c>
      <c r="D6" s="914" t="s">
        <v>11</v>
      </c>
      <c r="E6" s="914"/>
      <c r="F6" s="914"/>
      <c r="G6" s="914"/>
      <c r="H6" s="15"/>
      <c r="I6" s="1" t="s">
        <v>11</v>
      </c>
    </row>
    <row r="7" spans="1:14">
      <c r="A7" s="12">
        <f>A6+1</f>
        <v>37021</v>
      </c>
      <c r="B7" s="930">
        <f>(Weather_Input!B7+Weather_Input!C7)/2</f>
        <v>68</v>
      </c>
      <c r="C7" s="911">
        <v>38000</v>
      </c>
      <c r="D7" s="914" t="s">
        <v>11</v>
      </c>
      <c r="E7" s="914" t="s">
        <v>11</v>
      </c>
      <c r="F7" s="914"/>
      <c r="G7" s="914"/>
      <c r="H7" s="15"/>
    </row>
    <row r="8" spans="1:14">
      <c r="A8" s="12">
        <f>A7+1</f>
        <v>37022</v>
      </c>
      <c r="B8" s="930">
        <f>(Weather_Input!B8+Weather_Input!C8)/2</f>
        <v>59</v>
      </c>
      <c r="C8" s="911">
        <v>44000</v>
      </c>
      <c r="D8" s="914" t="s">
        <v>11</v>
      </c>
      <c r="E8" s="914"/>
      <c r="F8" s="914"/>
      <c r="G8" s="914"/>
      <c r="H8" s="15"/>
    </row>
    <row r="9" spans="1:14">
      <c r="A9" s="12">
        <f>A8+1</f>
        <v>37023</v>
      </c>
      <c r="B9" s="930">
        <f>(Weather_Input!B9+Weather_Input!C9)/2</f>
        <v>55.5</v>
      </c>
      <c r="C9" s="911">
        <v>44000</v>
      </c>
      <c r="D9" s="914" t="s">
        <v>11</v>
      </c>
      <c r="E9" s="914"/>
      <c r="F9" s="914"/>
      <c r="G9" s="914"/>
      <c r="H9" s="15"/>
    </row>
    <row r="10" spans="1:14">
      <c r="A10" s="12">
        <f>A9+1</f>
        <v>37024</v>
      </c>
      <c r="B10" s="930">
        <f>(Weather_Input!B10+Weather_Input!C10)/2</f>
        <v>55.5</v>
      </c>
      <c r="C10" s="911">
        <v>47000</v>
      </c>
      <c r="D10" s="914" t="s">
        <v>11</v>
      </c>
      <c r="E10" s="914"/>
      <c r="F10" s="914"/>
      <c r="G10" s="914"/>
      <c r="H10" s="15"/>
    </row>
    <row r="11" spans="1:14">
      <c r="A11" s="1" t="s">
        <v>172</v>
      </c>
      <c r="C11" s="1189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8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636</v>
      </c>
      <c r="I4" s="3" t="s">
        <v>1</v>
      </c>
      <c r="J4" s="3" t="s">
        <v>754</v>
      </c>
      <c r="K4" s="3" t="s">
        <v>724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400</v>
      </c>
      <c r="I5" s="109" t="s">
        <v>720</v>
      </c>
      <c r="J5" s="54" t="s">
        <v>743</v>
      </c>
      <c r="K5" s="3" t="s">
        <v>792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7" t="s">
        <v>767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3" t="s">
        <v>96</v>
      </c>
      <c r="G6" s="54" t="s">
        <v>99</v>
      </c>
      <c r="H6" s="806" t="s">
        <v>416</v>
      </c>
      <c r="I6" s="1073" t="s">
        <v>721</v>
      </c>
      <c r="J6" s="54" t="s">
        <v>753</v>
      </c>
      <c r="K6" s="54" t="s">
        <v>791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738</v>
      </c>
      <c r="S6" s="54" t="s">
        <v>103</v>
      </c>
      <c r="T6" s="1074" t="s">
        <v>717</v>
      </c>
      <c r="U6" s="1073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2">
        <f>Weather_Input!A5</f>
        <v>37019</v>
      </c>
      <c r="B7" s="920">
        <v>0</v>
      </c>
      <c r="C7" s="921">
        <v>0</v>
      </c>
      <c r="D7" s="625">
        <v>0</v>
      </c>
      <c r="E7" s="625">
        <v>3900</v>
      </c>
      <c r="F7" s="920">
        <v>1006</v>
      </c>
      <c r="G7" s="920">
        <v>0</v>
      </c>
      <c r="H7" s="922">
        <v>0</v>
      </c>
      <c r="I7" s="624">
        <v>0</v>
      </c>
      <c r="J7" s="624">
        <v>5500</v>
      </c>
      <c r="K7" s="625">
        <v>20774</v>
      </c>
      <c r="L7" s="624">
        <v>0</v>
      </c>
      <c r="M7" s="625">
        <v>0</v>
      </c>
      <c r="N7" s="625">
        <v>0</v>
      </c>
      <c r="O7" s="626">
        <v>0</v>
      </c>
      <c r="P7" s="625">
        <v>155000</v>
      </c>
      <c r="Q7" s="627">
        <f t="shared" ref="Q7:Q12" si="0">P7*0.015</f>
        <v>2325</v>
      </c>
      <c r="R7" s="625">
        <v>630</v>
      </c>
      <c r="S7" s="625">
        <v>0</v>
      </c>
      <c r="T7" s="625">
        <v>0</v>
      </c>
      <c r="U7" s="624">
        <v>40200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2">
        <f>Weather_Input!A5</f>
        <v>37019</v>
      </c>
    </row>
    <row r="8" spans="1:89" s="1" customFormat="1" ht="12.75">
      <c r="A8" s="832">
        <f>A7+1</f>
        <v>37020</v>
      </c>
      <c r="B8" s="920">
        <v>0</v>
      </c>
      <c r="C8" s="921">
        <v>0</v>
      </c>
      <c r="D8" s="625">
        <v>0</v>
      </c>
      <c r="E8" s="625">
        <v>0</v>
      </c>
      <c r="F8" s="920">
        <v>0</v>
      </c>
      <c r="G8" s="920">
        <v>0</v>
      </c>
      <c r="H8" s="922">
        <v>0</v>
      </c>
      <c r="I8" s="624">
        <v>0</v>
      </c>
      <c r="J8" s="624">
        <v>0</v>
      </c>
      <c r="K8" s="625">
        <v>20774</v>
      </c>
      <c r="L8" s="624">
        <v>0</v>
      </c>
      <c r="M8" s="625">
        <v>0</v>
      </c>
      <c r="N8" s="625">
        <v>0</v>
      </c>
      <c r="O8" s="626">
        <v>0</v>
      </c>
      <c r="P8" s="625">
        <v>150000</v>
      </c>
      <c r="Q8" s="627">
        <f t="shared" si="0"/>
        <v>2250</v>
      </c>
      <c r="R8" s="625">
        <v>630</v>
      </c>
      <c r="S8" s="625">
        <v>0</v>
      </c>
      <c r="T8" s="625">
        <v>0</v>
      </c>
      <c r="U8" s="624">
        <v>40200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2">
        <f>AJ7+1</f>
        <v>37020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2">
        <f>A8+1</f>
        <v>37021</v>
      </c>
      <c r="B9" s="920">
        <v>0</v>
      </c>
      <c r="C9" s="921">
        <v>0</v>
      </c>
      <c r="D9" s="625">
        <v>0</v>
      </c>
      <c r="E9" s="625">
        <v>0</v>
      </c>
      <c r="F9" s="920">
        <v>0</v>
      </c>
      <c r="G9" s="920">
        <v>0</v>
      </c>
      <c r="H9" s="922">
        <v>0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150000</v>
      </c>
      <c r="Q9" s="627">
        <f t="shared" si="0"/>
        <v>2250</v>
      </c>
      <c r="R9" s="625">
        <v>630</v>
      </c>
      <c r="S9" s="625">
        <v>0</v>
      </c>
      <c r="T9" s="625">
        <v>0</v>
      </c>
      <c r="U9" s="624">
        <v>40200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2">
        <f>AJ8+1</f>
        <v>37021</v>
      </c>
      <c r="AN9" s="624"/>
    </row>
    <row r="10" spans="1:89" s="1" customFormat="1" ht="12.75">
      <c r="A10" s="832">
        <f>A9+1</f>
        <v>37022</v>
      </c>
      <c r="B10" s="920">
        <v>0</v>
      </c>
      <c r="C10" s="921">
        <v>0</v>
      </c>
      <c r="D10" s="625">
        <v>0</v>
      </c>
      <c r="E10" s="625">
        <v>0</v>
      </c>
      <c r="F10" s="920">
        <v>0</v>
      </c>
      <c r="G10" s="920">
        <v>0</v>
      </c>
      <c r="H10" s="922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150000</v>
      </c>
      <c r="Q10" s="627">
        <f t="shared" si="0"/>
        <v>2250</v>
      </c>
      <c r="R10" s="625">
        <v>630</v>
      </c>
      <c r="S10" s="625">
        <v>0</v>
      </c>
      <c r="T10" s="625">
        <v>0</v>
      </c>
      <c r="U10" s="624">
        <v>40200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2">
        <f>AJ9+1</f>
        <v>37022</v>
      </c>
    </row>
    <row r="11" spans="1:89" s="1" customFormat="1" ht="12.75">
      <c r="A11" s="832">
        <f>A10+1</f>
        <v>37023</v>
      </c>
      <c r="B11" s="920">
        <v>0</v>
      </c>
      <c r="C11" s="921">
        <v>0</v>
      </c>
      <c r="D11" s="625">
        <v>0</v>
      </c>
      <c r="E11" s="625">
        <v>0</v>
      </c>
      <c r="F11" s="920">
        <v>0</v>
      </c>
      <c r="G11" s="920">
        <v>0</v>
      </c>
      <c r="H11" s="922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150000</v>
      </c>
      <c r="Q11" s="627">
        <f t="shared" si="0"/>
        <v>2250</v>
      </c>
      <c r="R11" s="625">
        <v>630</v>
      </c>
      <c r="S11" s="625">
        <v>0</v>
      </c>
      <c r="T11" s="625">
        <v>0</v>
      </c>
      <c r="U11" s="624">
        <v>40200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2">
        <f>AJ10+1</f>
        <v>37023</v>
      </c>
    </row>
    <row r="12" spans="1:89" s="1" customFormat="1" ht="12.75">
      <c r="A12" s="832">
        <f>A11+1</f>
        <v>37024</v>
      </c>
      <c r="B12" s="920">
        <v>0</v>
      </c>
      <c r="C12" s="921">
        <v>0</v>
      </c>
      <c r="D12" s="625">
        <v>0</v>
      </c>
      <c r="E12" s="625">
        <v>0</v>
      </c>
      <c r="F12" s="920">
        <v>0</v>
      </c>
      <c r="G12" s="920">
        <v>0</v>
      </c>
      <c r="H12" s="922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150000</v>
      </c>
      <c r="Q12" s="627">
        <f t="shared" si="0"/>
        <v>2250</v>
      </c>
      <c r="R12" s="625">
        <v>630</v>
      </c>
      <c r="S12" s="625">
        <v>0</v>
      </c>
      <c r="T12" s="625">
        <v>0</v>
      </c>
      <c r="U12" s="624">
        <v>40200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2">
        <f>AJ11+1</f>
        <v>37024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635</v>
      </c>
      <c r="V4" s="3" t="s">
        <v>765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400</v>
      </c>
      <c r="U5" s="109" t="s">
        <v>720</v>
      </c>
      <c r="V5" s="3" t="s">
        <v>763</v>
      </c>
      <c r="W5" s="3"/>
      <c r="X5" s="59" t="s">
        <v>743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694</v>
      </c>
      <c r="M6" s="57" t="s">
        <v>60</v>
      </c>
      <c r="N6" s="54" t="s">
        <v>11</v>
      </c>
      <c r="O6" s="54" t="s">
        <v>11</v>
      </c>
      <c r="P6" s="54" t="s">
        <v>11</v>
      </c>
      <c r="Q6" s="1136" t="s">
        <v>6</v>
      </c>
      <c r="R6" s="1074" t="s">
        <v>90</v>
      </c>
      <c r="S6" s="69" t="s">
        <v>11</v>
      </c>
      <c r="T6" s="806" t="s">
        <v>795</v>
      </c>
      <c r="U6" s="1074" t="s">
        <v>721</v>
      </c>
      <c r="V6" s="54" t="s">
        <v>764</v>
      </c>
      <c r="W6" s="54" t="s">
        <v>11</v>
      </c>
      <c r="X6" s="1124" t="s">
        <v>750</v>
      </c>
      <c r="Y6" s="69" t="s">
        <v>743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2">
        <f>Weather_Input!A5</f>
        <v>37019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920">
        <v>0</v>
      </c>
      <c r="H7" s="625">
        <v>1000</v>
      </c>
      <c r="I7" s="625">
        <v>15000</v>
      </c>
      <c r="J7" s="625">
        <v>0</v>
      </c>
      <c r="K7" s="923">
        <v>0</v>
      </c>
      <c r="L7" s="626">
        <v>780</v>
      </c>
      <c r="M7" s="924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3">
        <v>0</v>
      </c>
      <c r="T7" s="925">
        <v>21290</v>
      </c>
      <c r="U7" s="625">
        <v>0</v>
      </c>
      <c r="V7" s="626">
        <v>177809</v>
      </c>
      <c r="W7" s="626">
        <v>0</v>
      </c>
      <c r="X7" s="624">
        <v>0</v>
      </c>
      <c r="Y7" s="923">
        <v>146585</v>
      </c>
      <c r="Z7" s="626">
        <v>40200</v>
      </c>
      <c r="AA7" s="1">
        <v>0</v>
      </c>
      <c r="AB7" s="624">
        <v>144566</v>
      </c>
      <c r="AC7" s="624">
        <v>109550</v>
      </c>
      <c r="AD7" s="624">
        <v>1006</v>
      </c>
      <c r="AE7" s="923">
        <v>0</v>
      </c>
      <c r="AF7" s="51">
        <f>Weather_Input!A5</f>
        <v>37019</v>
      </c>
      <c r="AI7" s="624"/>
      <c r="AJ7" s="624"/>
      <c r="AK7" s="624"/>
    </row>
    <row r="8" spans="1:37">
      <c r="A8" s="832">
        <f>A7+1</f>
        <v>37020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0">
        <v>0</v>
      </c>
      <c r="H8" s="625">
        <v>1000</v>
      </c>
      <c r="I8" s="625">
        <v>15000</v>
      </c>
      <c r="J8" s="625">
        <v>0</v>
      </c>
      <c r="K8" s="923">
        <v>0</v>
      </c>
      <c r="L8" s="626">
        <v>0</v>
      </c>
      <c r="M8" s="924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3">
        <v>0</v>
      </c>
      <c r="T8" s="925">
        <v>0</v>
      </c>
      <c r="U8" s="625">
        <v>0</v>
      </c>
      <c r="V8" s="626">
        <v>174809</v>
      </c>
      <c r="W8" s="626">
        <v>0</v>
      </c>
      <c r="X8" s="624">
        <v>0</v>
      </c>
      <c r="Y8" s="923">
        <v>155152</v>
      </c>
      <c r="Z8" s="626">
        <v>40200</v>
      </c>
      <c r="AA8" s="1">
        <v>0</v>
      </c>
      <c r="AB8" s="624">
        <v>199637</v>
      </c>
      <c r="AC8" s="624">
        <v>47016</v>
      </c>
      <c r="AD8" s="624">
        <v>0</v>
      </c>
      <c r="AE8" s="923">
        <v>0</v>
      </c>
      <c r="AF8" s="832">
        <f>AF7+1</f>
        <v>37020</v>
      </c>
      <c r="AI8" s="624"/>
      <c r="AJ8" s="624"/>
      <c r="AK8" s="624"/>
    </row>
    <row r="9" spans="1:37" s="624" customFormat="1">
      <c r="A9" s="832">
        <f>A8+1</f>
        <v>37021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0">
        <v>0</v>
      </c>
      <c r="H9" s="625">
        <v>1000</v>
      </c>
      <c r="I9" s="625">
        <v>15000</v>
      </c>
      <c r="J9" s="625">
        <v>0</v>
      </c>
      <c r="K9" s="923">
        <v>0</v>
      </c>
      <c r="L9" s="626">
        <v>0</v>
      </c>
      <c r="M9" s="924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3">
        <v>0</v>
      </c>
      <c r="T9" s="925">
        <v>0</v>
      </c>
      <c r="U9" s="625">
        <v>0</v>
      </c>
      <c r="V9" s="626">
        <v>174809</v>
      </c>
      <c r="W9" s="626">
        <v>0</v>
      </c>
      <c r="X9" s="624">
        <v>0</v>
      </c>
      <c r="Y9" s="923">
        <v>155152</v>
      </c>
      <c r="Z9" s="626">
        <v>40200</v>
      </c>
      <c r="AA9" s="1">
        <v>0</v>
      </c>
      <c r="AB9" s="624">
        <v>199637</v>
      </c>
      <c r="AC9" s="624">
        <v>47016</v>
      </c>
      <c r="AD9" s="624">
        <v>0</v>
      </c>
      <c r="AE9" s="923">
        <v>0</v>
      </c>
      <c r="AF9" s="832">
        <f>AF8+1</f>
        <v>37021</v>
      </c>
    </row>
    <row r="10" spans="1:37">
      <c r="A10" s="832">
        <f>A9+1</f>
        <v>37022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0">
        <v>0</v>
      </c>
      <c r="H10" s="625">
        <v>1000</v>
      </c>
      <c r="I10" s="625">
        <v>15000</v>
      </c>
      <c r="J10" s="625">
        <v>0</v>
      </c>
      <c r="K10" s="923">
        <v>0</v>
      </c>
      <c r="L10" s="626">
        <v>0</v>
      </c>
      <c r="M10" s="924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3">
        <v>0</v>
      </c>
      <c r="T10" s="925">
        <v>0</v>
      </c>
      <c r="U10" s="625">
        <v>0</v>
      </c>
      <c r="V10" s="626">
        <v>174809</v>
      </c>
      <c r="W10" s="626">
        <v>0</v>
      </c>
      <c r="X10" s="624">
        <v>0</v>
      </c>
      <c r="Y10" s="923">
        <v>155152</v>
      </c>
      <c r="Z10" s="626">
        <v>40200</v>
      </c>
      <c r="AA10" s="1">
        <v>0</v>
      </c>
      <c r="AB10" s="624">
        <v>199637</v>
      </c>
      <c r="AC10" s="624">
        <v>47016</v>
      </c>
      <c r="AD10" s="624">
        <v>0</v>
      </c>
      <c r="AE10" s="923">
        <v>0</v>
      </c>
      <c r="AF10" s="832">
        <f>AF9+1</f>
        <v>37022</v>
      </c>
      <c r="AI10" s="624"/>
      <c r="AJ10" s="624"/>
      <c r="AK10" s="624"/>
    </row>
    <row r="11" spans="1:37">
      <c r="A11" s="832">
        <f>A10+1</f>
        <v>37023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0">
        <v>0</v>
      </c>
      <c r="H11" s="625">
        <v>1000</v>
      </c>
      <c r="I11" s="625">
        <v>15000</v>
      </c>
      <c r="J11" s="625">
        <v>0</v>
      </c>
      <c r="K11" s="923">
        <v>0</v>
      </c>
      <c r="L11" s="626">
        <v>0</v>
      </c>
      <c r="M11" s="924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3">
        <v>0</v>
      </c>
      <c r="T11" s="925">
        <v>0</v>
      </c>
      <c r="U11" s="625">
        <v>0</v>
      </c>
      <c r="V11" s="626">
        <v>174809</v>
      </c>
      <c r="W11" s="626">
        <v>0</v>
      </c>
      <c r="X11" s="624">
        <v>0</v>
      </c>
      <c r="Y11" s="923">
        <v>155152</v>
      </c>
      <c r="Z11" s="626">
        <v>40200</v>
      </c>
      <c r="AA11" s="1">
        <v>0</v>
      </c>
      <c r="AB11" s="624">
        <v>199637</v>
      </c>
      <c r="AC11" s="624">
        <v>47016</v>
      </c>
      <c r="AD11" s="624">
        <v>0</v>
      </c>
      <c r="AE11" s="923">
        <v>0</v>
      </c>
      <c r="AF11" s="832">
        <f>AF10+1</f>
        <v>37023</v>
      </c>
    </row>
    <row r="12" spans="1:37">
      <c r="A12" s="832">
        <f>A11+1</f>
        <v>37024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0">
        <v>0</v>
      </c>
      <c r="H12" s="625">
        <v>1000</v>
      </c>
      <c r="I12" s="625">
        <v>15000</v>
      </c>
      <c r="J12" s="625">
        <v>0</v>
      </c>
      <c r="K12" s="923">
        <v>0</v>
      </c>
      <c r="L12" s="626">
        <v>0</v>
      </c>
      <c r="M12" s="924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3">
        <v>0</v>
      </c>
      <c r="T12" s="925">
        <v>0</v>
      </c>
      <c r="U12" s="625">
        <v>0</v>
      </c>
      <c r="V12" s="626">
        <v>174809</v>
      </c>
      <c r="W12" s="626">
        <v>0</v>
      </c>
      <c r="X12" s="624">
        <v>0</v>
      </c>
      <c r="Y12" s="923">
        <v>155152</v>
      </c>
      <c r="Z12" s="626">
        <v>40200</v>
      </c>
      <c r="AA12" s="1">
        <v>0</v>
      </c>
      <c r="AB12" s="624">
        <v>199637</v>
      </c>
      <c r="AC12" s="624">
        <v>47016</v>
      </c>
      <c r="AD12" s="624">
        <v>0</v>
      </c>
      <c r="AE12" s="923">
        <v>0</v>
      </c>
      <c r="AF12" s="832">
        <f>AF11+1</f>
        <v>37024</v>
      </c>
    </row>
    <row r="13" spans="1:37">
      <c r="G13" s="1" t="s">
        <v>11</v>
      </c>
      <c r="I13" s="11"/>
      <c r="P13" s="1" t="s">
        <v>11</v>
      </c>
      <c r="T13" s="925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694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3">
        <f>Weather_Input!A5</f>
        <v>37019</v>
      </c>
      <c r="B7" s="920">
        <v>0</v>
      </c>
      <c r="C7" s="625">
        <v>0</v>
      </c>
      <c r="D7" s="625">
        <v>0</v>
      </c>
      <c r="E7" s="625">
        <v>0</v>
      </c>
      <c r="F7" s="625">
        <v>0</v>
      </c>
      <c r="G7" s="924">
        <v>0</v>
      </c>
      <c r="H7" s="625">
        <v>0</v>
      </c>
      <c r="I7" s="921">
        <v>7197</v>
      </c>
      <c r="J7" s="921">
        <v>15900</v>
      </c>
      <c r="K7" s="628">
        <v>0</v>
      </c>
      <c r="L7" s="926">
        <v>0</v>
      </c>
      <c r="M7" s="926">
        <v>0</v>
      </c>
      <c r="N7" s="926">
        <v>0</v>
      </c>
      <c r="O7" s="926">
        <v>0</v>
      </c>
      <c r="P7" s="625">
        <v>0</v>
      </c>
      <c r="Q7" s="926">
        <v>0</v>
      </c>
      <c r="R7" s="625">
        <v>0</v>
      </c>
      <c r="S7" s="834">
        <v>0</v>
      </c>
      <c r="T7" s="625">
        <v>0</v>
      </c>
      <c r="U7" s="625">
        <v>0</v>
      </c>
      <c r="V7" s="834">
        <v>0</v>
      </c>
      <c r="W7" s="625">
        <v>0</v>
      </c>
      <c r="X7" s="625">
        <v>0</v>
      </c>
      <c r="Y7" s="834">
        <v>0</v>
      </c>
      <c r="Z7" s="625">
        <v>0</v>
      </c>
      <c r="AA7" s="625">
        <v>0</v>
      </c>
      <c r="AB7" s="924">
        <v>0</v>
      </c>
      <c r="AC7" s="625">
        <v>0</v>
      </c>
      <c r="AD7" s="625">
        <v>0</v>
      </c>
      <c r="AE7" s="625">
        <v>0</v>
      </c>
      <c r="AF7" s="832">
        <f>Weather_Input!A5</f>
        <v>37019</v>
      </c>
      <c r="AG7" s="624"/>
      <c r="AH7" s="624"/>
      <c r="AI7" s="624"/>
      <c r="AJ7" s="624"/>
      <c r="AK7" s="624"/>
    </row>
    <row r="8" spans="1:128" s="1" customFormat="1" ht="12.75">
      <c r="A8" s="833">
        <f>Weather_Input!A6</f>
        <v>37020</v>
      </c>
      <c r="B8" s="920">
        <v>0</v>
      </c>
      <c r="C8" s="625">
        <v>0</v>
      </c>
      <c r="D8" s="625">
        <v>0</v>
      </c>
      <c r="E8" s="625">
        <v>0</v>
      </c>
      <c r="F8" s="625">
        <v>0</v>
      </c>
      <c r="G8" s="924">
        <v>0</v>
      </c>
      <c r="H8" s="625">
        <v>0</v>
      </c>
      <c r="I8" s="921">
        <v>7197</v>
      </c>
      <c r="J8" s="921">
        <v>20000</v>
      </c>
      <c r="K8" s="628">
        <v>0</v>
      </c>
      <c r="L8" s="926">
        <v>0</v>
      </c>
      <c r="M8" s="926">
        <v>0</v>
      </c>
      <c r="N8" s="926">
        <v>0</v>
      </c>
      <c r="O8" s="926">
        <v>0</v>
      </c>
      <c r="P8" s="625">
        <v>0</v>
      </c>
      <c r="Q8" s="926">
        <v>0</v>
      </c>
      <c r="R8" s="625">
        <v>0</v>
      </c>
      <c r="S8" s="834">
        <v>0</v>
      </c>
      <c r="T8" s="625">
        <v>0</v>
      </c>
      <c r="U8" s="625">
        <v>0</v>
      </c>
      <c r="V8" s="834">
        <v>0</v>
      </c>
      <c r="W8" s="625">
        <v>0</v>
      </c>
      <c r="X8" s="625">
        <v>0</v>
      </c>
      <c r="Y8" s="834">
        <v>0</v>
      </c>
      <c r="Z8" s="625">
        <v>0</v>
      </c>
      <c r="AA8" s="625">
        <v>0</v>
      </c>
      <c r="AB8" s="924">
        <v>0</v>
      </c>
      <c r="AC8" s="625">
        <v>0</v>
      </c>
      <c r="AD8" s="625">
        <v>0</v>
      </c>
      <c r="AE8" s="625">
        <v>0</v>
      </c>
      <c r="AF8" s="833">
        <f>AF7+1</f>
        <v>37020</v>
      </c>
      <c r="AG8" s="624"/>
      <c r="AH8" s="624"/>
      <c r="AI8" s="624"/>
      <c r="AJ8" s="624"/>
      <c r="AK8" s="624"/>
    </row>
    <row r="9" spans="1:128" s="1" customFormat="1" ht="12.75">
      <c r="A9" s="832">
        <f>A8+1</f>
        <v>37021</v>
      </c>
      <c r="B9" s="920">
        <v>0</v>
      </c>
      <c r="C9" s="625">
        <v>0</v>
      </c>
      <c r="D9" s="625">
        <v>0</v>
      </c>
      <c r="E9" s="625">
        <v>0</v>
      </c>
      <c r="F9" s="625">
        <v>0</v>
      </c>
      <c r="G9" s="924">
        <v>0</v>
      </c>
      <c r="H9" s="625">
        <v>0</v>
      </c>
      <c r="I9" s="921">
        <v>7197</v>
      </c>
      <c r="J9" s="921">
        <v>20000</v>
      </c>
      <c r="K9" s="628">
        <v>0</v>
      </c>
      <c r="L9" s="926">
        <v>0</v>
      </c>
      <c r="M9" s="926">
        <v>0</v>
      </c>
      <c r="N9" s="926">
        <v>0</v>
      </c>
      <c r="O9" s="926">
        <v>0</v>
      </c>
      <c r="P9" s="625">
        <v>0</v>
      </c>
      <c r="Q9" s="926">
        <v>0</v>
      </c>
      <c r="R9" s="625">
        <v>0</v>
      </c>
      <c r="S9" s="834">
        <v>0</v>
      </c>
      <c r="T9" s="625">
        <v>0</v>
      </c>
      <c r="U9" s="625">
        <v>0</v>
      </c>
      <c r="V9" s="834">
        <v>0</v>
      </c>
      <c r="W9" s="625">
        <v>0</v>
      </c>
      <c r="X9" s="625">
        <v>0</v>
      </c>
      <c r="Y9" s="834">
        <v>0</v>
      </c>
      <c r="Z9" s="625">
        <v>0</v>
      </c>
      <c r="AA9" s="625">
        <v>0</v>
      </c>
      <c r="AB9" s="924">
        <v>0</v>
      </c>
      <c r="AC9" s="625">
        <v>0</v>
      </c>
      <c r="AD9" s="625">
        <v>0</v>
      </c>
      <c r="AE9" s="625">
        <v>0</v>
      </c>
      <c r="AF9" s="832">
        <f>AF8+1</f>
        <v>37021</v>
      </c>
      <c r="AG9" s="624"/>
      <c r="AH9" s="624"/>
      <c r="AI9" s="624"/>
      <c r="AJ9" s="624"/>
      <c r="AK9" s="624"/>
    </row>
    <row r="10" spans="1:128" s="1" customFormat="1" ht="12.75">
      <c r="A10" s="832">
        <f>A9+1</f>
        <v>37022</v>
      </c>
      <c r="B10" s="920">
        <v>0</v>
      </c>
      <c r="C10" s="625">
        <v>0</v>
      </c>
      <c r="D10" s="625">
        <v>0</v>
      </c>
      <c r="E10" s="625">
        <v>0</v>
      </c>
      <c r="F10" s="625">
        <v>0</v>
      </c>
      <c r="G10" s="924">
        <v>0</v>
      </c>
      <c r="H10" s="625">
        <v>0</v>
      </c>
      <c r="I10" s="921">
        <v>7197</v>
      </c>
      <c r="J10" s="921">
        <v>20000</v>
      </c>
      <c r="K10" s="628">
        <v>0</v>
      </c>
      <c r="L10" s="926">
        <v>0</v>
      </c>
      <c r="M10" s="926">
        <v>0</v>
      </c>
      <c r="N10" s="926">
        <v>0</v>
      </c>
      <c r="O10" s="926">
        <v>0</v>
      </c>
      <c r="P10" s="625">
        <v>0</v>
      </c>
      <c r="Q10" s="926">
        <v>0</v>
      </c>
      <c r="R10" s="625">
        <v>0</v>
      </c>
      <c r="S10" s="834">
        <v>0</v>
      </c>
      <c r="T10" s="625">
        <v>0</v>
      </c>
      <c r="U10" s="625">
        <v>0</v>
      </c>
      <c r="V10" s="834">
        <v>0</v>
      </c>
      <c r="W10" s="625">
        <v>0</v>
      </c>
      <c r="X10" s="625">
        <v>0</v>
      </c>
      <c r="Y10" s="834">
        <v>0</v>
      </c>
      <c r="Z10" s="625">
        <v>0</v>
      </c>
      <c r="AA10" s="625">
        <v>0</v>
      </c>
      <c r="AB10" s="924">
        <v>0</v>
      </c>
      <c r="AC10" s="625">
        <v>0</v>
      </c>
      <c r="AD10" s="625">
        <v>0</v>
      </c>
      <c r="AE10" s="625">
        <v>0</v>
      </c>
      <c r="AF10" s="832">
        <f>AF9+1</f>
        <v>37022</v>
      </c>
      <c r="AG10" s="624"/>
      <c r="AH10" s="624"/>
      <c r="AI10" s="624"/>
      <c r="AJ10" s="624"/>
      <c r="AK10" s="624"/>
    </row>
    <row r="11" spans="1:128" s="1" customFormat="1" ht="12.75">
      <c r="A11" s="832">
        <f>A10+1</f>
        <v>37023</v>
      </c>
      <c r="B11" s="920">
        <v>0</v>
      </c>
      <c r="C11" s="625">
        <v>0</v>
      </c>
      <c r="D11" s="625">
        <v>0</v>
      </c>
      <c r="E11" s="625">
        <v>0</v>
      </c>
      <c r="F11" s="625">
        <v>0</v>
      </c>
      <c r="G11" s="924">
        <v>0</v>
      </c>
      <c r="H11" s="625">
        <v>0</v>
      </c>
      <c r="I11" s="921">
        <v>7197</v>
      </c>
      <c r="J11" s="921">
        <v>20000</v>
      </c>
      <c r="K11" s="628">
        <v>0</v>
      </c>
      <c r="L11" s="926">
        <v>0</v>
      </c>
      <c r="M11" s="926">
        <v>0</v>
      </c>
      <c r="N11" s="926">
        <v>0</v>
      </c>
      <c r="O11" s="926">
        <v>0</v>
      </c>
      <c r="P11" s="625">
        <v>0</v>
      </c>
      <c r="Q11" s="926">
        <v>0</v>
      </c>
      <c r="R11" s="625">
        <v>0</v>
      </c>
      <c r="S11" s="834">
        <v>0</v>
      </c>
      <c r="T11" s="625">
        <v>0</v>
      </c>
      <c r="U11" s="625">
        <v>0</v>
      </c>
      <c r="V11" s="834">
        <v>0</v>
      </c>
      <c r="W11" s="625">
        <v>0</v>
      </c>
      <c r="X11" s="625">
        <v>0</v>
      </c>
      <c r="Y11" s="834">
        <v>0</v>
      </c>
      <c r="Z11" s="625">
        <v>0</v>
      </c>
      <c r="AA11" s="625">
        <v>0</v>
      </c>
      <c r="AB11" s="924">
        <v>0</v>
      </c>
      <c r="AC11" s="625">
        <v>0</v>
      </c>
      <c r="AD11" s="625">
        <v>0</v>
      </c>
      <c r="AE11" s="625">
        <v>0</v>
      </c>
      <c r="AF11" s="832">
        <f>AF10+1</f>
        <v>37023</v>
      </c>
      <c r="AG11" s="624"/>
      <c r="AH11" s="624"/>
      <c r="AI11" s="624"/>
      <c r="AJ11" s="624"/>
      <c r="AK11" s="624"/>
    </row>
    <row r="12" spans="1:128" s="1" customFormat="1" ht="12.75">
      <c r="A12" s="832">
        <f>A11+1</f>
        <v>37024</v>
      </c>
      <c r="B12" s="920">
        <v>0</v>
      </c>
      <c r="C12" s="625">
        <v>0</v>
      </c>
      <c r="D12" s="625">
        <v>0</v>
      </c>
      <c r="E12" s="625">
        <v>0</v>
      </c>
      <c r="F12" s="625">
        <v>0</v>
      </c>
      <c r="G12" s="924">
        <v>0</v>
      </c>
      <c r="H12" s="625">
        <v>0</v>
      </c>
      <c r="I12" s="921">
        <v>7197</v>
      </c>
      <c r="J12" s="921">
        <v>20000</v>
      </c>
      <c r="K12" s="628">
        <v>0</v>
      </c>
      <c r="L12" s="926">
        <v>0</v>
      </c>
      <c r="M12" s="926">
        <v>0</v>
      </c>
      <c r="N12" s="926">
        <v>0</v>
      </c>
      <c r="O12" s="926">
        <v>0</v>
      </c>
      <c r="P12" s="625">
        <v>0</v>
      </c>
      <c r="Q12" s="926">
        <v>0</v>
      </c>
      <c r="R12" s="625">
        <v>0</v>
      </c>
      <c r="S12" s="834">
        <v>0</v>
      </c>
      <c r="T12" s="625">
        <v>0</v>
      </c>
      <c r="U12" s="625">
        <v>0</v>
      </c>
      <c r="V12" s="834">
        <v>0</v>
      </c>
      <c r="W12" s="625">
        <v>0</v>
      </c>
      <c r="X12" s="625">
        <v>0</v>
      </c>
      <c r="Y12" s="834">
        <v>0</v>
      </c>
      <c r="Z12" s="625">
        <v>0</v>
      </c>
      <c r="AA12" s="625">
        <v>0</v>
      </c>
      <c r="AB12" s="924">
        <v>0</v>
      </c>
      <c r="AC12" s="625">
        <v>0</v>
      </c>
      <c r="AD12" s="625">
        <v>0</v>
      </c>
      <c r="AE12" s="625">
        <v>0</v>
      </c>
      <c r="AF12" s="832">
        <f>AF11+1</f>
        <v>37024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4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634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694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638</v>
      </c>
      <c r="R6" s="54" t="s">
        <v>131</v>
      </c>
      <c r="S6" s="1074" t="s">
        <v>38</v>
      </c>
      <c r="T6" s="54" t="s">
        <v>416</v>
      </c>
      <c r="U6" s="69" t="s">
        <v>61</v>
      </c>
    </row>
    <row r="7" spans="1:24">
      <c r="A7" s="832">
        <f>Weather_Input!A5</f>
        <v>37019</v>
      </c>
      <c r="B7" s="627">
        <v>0</v>
      </c>
      <c r="C7" s="628">
        <v>0</v>
      </c>
      <c r="D7" s="627">
        <v>0</v>
      </c>
      <c r="E7" s="627">
        <v>0</v>
      </c>
      <c r="F7" s="627">
        <v>8060</v>
      </c>
      <c r="G7" s="627">
        <f>(R7+S7+C7+PGL_Requirements!Y7+PGL_Requirements!Z7-NSG_Requirements!C7)*0.05</f>
        <v>2606.3500000000004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1">
        <v>0</v>
      </c>
      <c r="P7" s="627">
        <v>0</v>
      </c>
      <c r="Q7" s="627">
        <v>20000</v>
      </c>
      <c r="R7" s="627">
        <v>31536</v>
      </c>
      <c r="S7" s="627">
        <v>20591</v>
      </c>
      <c r="T7" s="627">
        <v>0</v>
      </c>
      <c r="U7" s="627">
        <v>0</v>
      </c>
      <c r="V7" s="832">
        <f>Weather_Input!A5</f>
        <v>37019</v>
      </c>
      <c r="W7" s="624"/>
      <c r="X7" s="624"/>
    </row>
    <row r="8" spans="1:24">
      <c r="A8" s="832">
        <f>A7+1</f>
        <v>37020</v>
      </c>
      <c r="B8" s="627">
        <v>0</v>
      </c>
      <c r="C8" s="628">
        <v>0</v>
      </c>
      <c r="D8" s="627">
        <v>0</v>
      </c>
      <c r="E8" s="627">
        <v>0</v>
      </c>
      <c r="F8" s="627">
        <v>9000</v>
      </c>
      <c r="G8" s="627">
        <f>(R8+S8+C8+PGL_Requirements!Y8+PGL_Requirements!Z8-NSG_Requirements!C8)*0.05</f>
        <v>2630.3500000000004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1">
        <v>0</v>
      </c>
      <c r="P8" s="627">
        <v>0</v>
      </c>
      <c r="Q8" s="627">
        <v>20000</v>
      </c>
      <c r="R8" s="627">
        <v>31776</v>
      </c>
      <c r="S8" s="627">
        <v>20831</v>
      </c>
      <c r="T8" s="627">
        <v>0</v>
      </c>
      <c r="U8" s="627">
        <v>0</v>
      </c>
      <c r="V8" s="832">
        <f>V7+1</f>
        <v>37020</v>
      </c>
      <c r="W8" s="624"/>
      <c r="X8" s="624"/>
    </row>
    <row r="9" spans="1:24">
      <c r="A9" s="832">
        <f>A8+1</f>
        <v>37021</v>
      </c>
      <c r="B9" s="627">
        <v>0</v>
      </c>
      <c r="C9" s="628">
        <v>0</v>
      </c>
      <c r="D9" s="627">
        <v>0</v>
      </c>
      <c r="E9" s="627">
        <v>0</v>
      </c>
      <c r="F9" s="627">
        <v>9000</v>
      </c>
      <c r="G9" s="627">
        <f>(R9+S9+C9+PGL_Requirements!Y9+PGL_Requirements!Z9-NSG_Requirements!C9)*0.05</f>
        <v>2618.3500000000004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1">
        <v>0</v>
      </c>
      <c r="P9" s="627">
        <v>0</v>
      </c>
      <c r="Q9" s="627">
        <v>20000</v>
      </c>
      <c r="R9" s="627">
        <v>31776</v>
      </c>
      <c r="S9" s="627">
        <v>20591</v>
      </c>
      <c r="T9" s="627">
        <v>0</v>
      </c>
      <c r="U9" s="627">
        <v>0</v>
      </c>
      <c r="V9" s="832">
        <f>V8+1</f>
        <v>37021</v>
      </c>
      <c r="W9" s="624"/>
      <c r="X9" s="624"/>
    </row>
    <row r="10" spans="1:24">
      <c r="A10" s="832">
        <f>A9+1</f>
        <v>37022</v>
      </c>
      <c r="B10" s="627">
        <v>0</v>
      </c>
      <c r="C10" s="628">
        <v>0</v>
      </c>
      <c r="D10" s="627">
        <v>0</v>
      </c>
      <c r="E10" s="627">
        <v>0</v>
      </c>
      <c r="F10" s="627">
        <v>9000</v>
      </c>
      <c r="G10" s="627">
        <f>(R10+S10+C10+PGL_Requirements!Y10+PGL_Requirements!Z10-NSG_Requirements!C10)*0.05</f>
        <v>2618.3500000000004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1">
        <v>0</v>
      </c>
      <c r="P10" s="627">
        <v>0</v>
      </c>
      <c r="Q10" s="627">
        <v>20000</v>
      </c>
      <c r="R10" s="627">
        <v>31776</v>
      </c>
      <c r="S10" s="627">
        <v>20591</v>
      </c>
      <c r="T10" s="627">
        <v>0</v>
      </c>
      <c r="U10" s="627">
        <v>0</v>
      </c>
      <c r="V10" s="832">
        <f>V9+1</f>
        <v>37022</v>
      </c>
      <c r="W10" s="624"/>
      <c r="X10" s="624"/>
    </row>
    <row r="11" spans="1:24">
      <c r="A11" s="832">
        <f>A10+1</f>
        <v>37023</v>
      </c>
      <c r="B11" s="627">
        <v>0</v>
      </c>
      <c r="C11" s="628">
        <v>0</v>
      </c>
      <c r="D11" s="627">
        <v>0</v>
      </c>
      <c r="E11" s="627">
        <v>0</v>
      </c>
      <c r="F11" s="627">
        <v>9000</v>
      </c>
      <c r="G11" s="627">
        <f>(R11+S11+C11+PGL_Requirements!Y11+PGL_Requirements!Z11-NSG_Requirements!C11)*0.05</f>
        <v>2618.3500000000004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1">
        <v>0</v>
      </c>
      <c r="P11" s="627">
        <v>0</v>
      </c>
      <c r="Q11" s="627">
        <v>20000</v>
      </c>
      <c r="R11" s="627">
        <v>31776</v>
      </c>
      <c r="S11" s="627">
        <v>20591</v>
      </c>
      <c r="T11" s="627">
        <v>0</v>
      </c>
      <c r="U11" s="627">
        <v>0</v>
      </c>
      <c r="V11" s="832">
        <f>V10+1</f>
        <v>37023</v>
      </c>
      <c r="W11" s="624"/>
      <c r="X11" s="624"/>
    </row>
    <row r="12" spans="1:24">
      <c r="A12" s="832">
        <f>A11+1</f>
        <v>37024</v>
      </c>
      <c r="B12" s="627">
        <v>0</v>
      </c>
      <c r="C12" s="628">
        <v>0</v>
      </c>
      <c r="D12" s="627">
        <v>0</v>
      </c>
      <c r="E12" s="627">
        <v>0</v>
      </c>
      <c r="F12" s="627">
        <v>9000</v>
      </c>
      <c r="G12" s="627">
        <f>(R12+S12+C12+PGL_Requirements!Y12+PGL_Requirements!Z12-NSG_Requirements!C12)*0.05</f>
        <v>2618.3500000000004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1">
        <v>0</v>
      </c>
      <c r="P12" s="627">
        <v>0</v>
      </c>
      <c r="Q12" s="627">
        <v>20000</v>
      </c>
      <c r="R12" s="627">
        <v>31776</v>
      </c>
      <c r="S12" s="627">
        <v>20591</v>
      </c>
      <c r="T12" s="627">
        <v>0</v>
      </c>
      <c r="U12" s="627">
        <v>0</v>
      </c>
      <c r="V12" s="832">
        <f>V11+1</f>
        <v>37024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activeCell="A5" sqref="A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7" t="s">
        <v>0</v>
      </c>
      <c r="B1" s="835"/>
      <c r="C1" s="902"/>
      <c r="D1" s="835"/>
      <c r="E1" s="835"/>
      <c r="F1" s="835" t="s">
        <v>11</v>
      </c>
      <c r="G1" s="835" t="s">
        <v>135</v>
      </c>
      <c r="H1" s="836" t="str">
        <f>D3</f>
        <v>TUE</v>
      </c>
      <c r="I1" s="837">
        <f>D4</f>
        <v>37019</v>
      </c>
    </row>
    <row r="2" spans="1:256" ht="15.75">
      <c r="A2" s="838" t="s">
        <v>136</v>
      </c>
      <c r="B2" s="839"/>
      <c r="C2" s="839"/>
      <c r="D2" s="839"/>
      <c r="E2" s="839"/>
      <c r="F2" s="839"/>
      <c r="G2" s="839"/>
      <c r="H2" s="839"/>
      <c r="I2" s="840"/>
    </row>
    <row r="3" spans="1:256" ht="16.5" thickBot="1">
      <c r="A3" s="841"/>
      <c r="B3" s="839"/>
      <c r="C3" s="839"/>
      <c r="D3" s="842" t="str">
        <f t="shared" ref="D3:I3" si="0">CHOOSE(WEEKDAY(D4),"SUN","MON","TUE","WED","THU","FRI","SAT")</f>
        <v>TUE</v>
      </c>
      <c r="E3" s="842" t="str">
        <f t="shared" si="0"/>
        <v>WED</v>
      </c>
      <c r="F3" s="842" t="str">
        <f t="shared" si="0"/>
        <v>THU</v>
      </c>
      <c r="G3" s="842" t="str">
        <f t="shared" si="0"/>
        <v>FRI</v>
      </c>
      <c r="H3" s="842" t="str">
        <f t="shared" si="0"/>
        <v>SAT</v>
      </c>
      <c r="I3" s="843" t="str">
        <f t="shared" si="0"/>
        <v>SUN</v>
      </c>
    </row>
    <row r="4" spans="1:256" ht="15.75" thickBot="1">
      <c r="A4" s="844"/>
      <c r="B4" s="845"/>
      <c r="C4" s="845"/>
      <c r="D4" s="466">
        <f>Weather_Input!A5</f>
        <v>37019</v>
      </c>
      <c r="E4" s="466">
        <f>Weather_Input!A6</f>
        <v>37020</v>
      </c>
      <c r="F4" s="466">
        <f>Weather_Input!A7</f>
        <v>37021</v>
      </c>
      <c r="G4" s="466">
        <f>Weather_Input!A8</f>
        <v>37022</v>
      </c>
      <c r="H4" s="466">
        <f>Weather_Input!A9</f>
        <v>37023</v>
      </c>
      <c r="I4" s="467">
        <f>Weather_Input!A10</f>
        <v>37024</v>
      </c>
    </row>
    <row r="5" spans="1:256" ht="16.5" customHeight="1" thickTop="1">
      <c r="A5" s="848" t="s">
        <v>137</v>
      </c>
      <c r="B5" s="839"/>
      <c r="C5" s="839" t="s">
        <v>138</v>
      </c>
      <c r="D5" s="468" t="str">
        <f>TEXT(Weather_Input!B5,"0")&amp;"/"&amp;TEXT(Weather_Input!C5,"0") &amp; "/" &amp; TEXT((Weather_Input!B5+Weather_Input!C5)/2,"0")</f>
        <v>75/51/63</v>
      </c>
      <c r="E5" s="468" t="str">
        <f>TEXT(Weather_Input!B6,"0")&amp;"/"&amp;TEXT(Weather_Input!C6,"0") &amp; "/" &amp; TEXT((Weather_Input!B6+Weather_Input!C6)/2,"0")</f>
        <v>81/58/70</v>
      </c>
      <c r="F5" s="468" t="str">
        <f>TEXT(Weather_Input!B7,"0")&amp;"/"&amp;TEXT(Weather_Input!C7,"0") &amp; "/" &amp; TEXT((Weather_Input!B7+Weather_Input!C7)/2,"0")</f>
        <v>82/54/68</v>
      </c>
      <c r="G5" s="468" t="str">
        <f>TEXT(Weather_Input!B8,"0")&amp;"/"&amp;TEXT(Weather_Input!C8,"0") &amp; "/" &amp; TEXT((Weather_Input!B8+Weather_Input!C8)/2,"0")</f>
        <v>70/48/59</v>
      </c>
      <c r="H5" s="468" t="str">
        <f>TEXT(Weather_Input!B9,"0")&amp;"/"&amp;TEXT(Weather_Input!C9,"0") &amp; "/" &amp; TEXT((Weather_Input!B9+Weather_Input!C9)/2,"0")</f>
        <v>65/46/56</v>
      </c>
      <c r="I5" s="469" t="str">
        <f>TEXT(Weather_Input!B10,"0")&amp;"/"&amp;TEXT(Weather_Input!C10,"0") &amp; "/" &amp; TEXT((Weather_Input!B10+Weather_Input!C10)/2,"0")</f>
        <v>65/46/56</v>
      </c>
    </row>
    <row r="6" spans="1:256" ht="15.75">
      <c r="A6" s="851" t="s">
        <v>139</v>
      </c>
      <c r="B6" s="839"/>
      <c r="C6" s="839"/>
      <c r="D6" s="468">
        <f>PGL_Deliveries!C5/1000</f>
        <v>240</v>
      </c>
      <c r="E6" s="468">
        <f>PGL_Deliveries!C6/1000</f>
        <v>240</v>
      </c>
      <c r="F6" s="468">
        <f>PGL_Deliveries!C7/1000</f>
        <v>240</v>
      </c>
      <c r="G6" s="468">
        <f>PGL_Deliveries!C8/1000</f>
        <v>265</v>
      </c>
      <c r="H6" s="468">
        <f>PGL_Deliveries!C9/1000</f>
        <v>270</v>
      </c>
      <c r="I6" s="469">
        <f>PGL_Deliveries!C10/1000</f>
        <v>285</v>
      </c>
    </row>
    <row r="7" spans="1:256" ht="15.75">
      <c r="A7" s="851" t="s">
        <v>568</v>
      </c>
      <c r="B7" s="839" t="s">
        <v>416</v>
      </c>
      <c r="C7" s="839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1" t="s">
        <v>793</v>
      </c>
      <c r="B8" s="839"/>
      <c r="C8" s="839"/>
      <c r="D8" s="468">
        <f>PGL_Requirements!I7/1000+PGL_Requirements!K7/1000</f>
        <v>20.774000000000001</v>
      </c>
      <c r="E8" s="468">
        <f>PGL_Requirements!I8/1000+PGL_Requirements!K8/1000</f>
        <v>20.774000000000001</v>
      </c>
      <c r="F8" s="468">
        <f>PGL_Requirements!I9/1000+PGL_Requirements!K9/1000</f>
        <v>0</v>
      </c>
      <c r="G8" s="468">
        <f>PGL_Requirements!I10/1000+PGL_Requirements!K10/1000</f>
        <v>0</v>
      </c>
      <c r="H8" s="468">
        <f>PGL_Requirements!I11/1000+PGL_Requirements!K11/1000</f>
        <v>0</v>
      </c>
      <c r="I8" s="469">
        <f>PGL_Requirements!I12/1000+PGL_Requirements!K12/1000</f>
        <v>0</v>
      </c>
    </row>
    <row r="9" spans="1:256" ht="15.75">
      <c r="A9" s="848" t="s">
        <v>140</v>
      </c>
      <c r="B9" s="839" t="s">
        <v>143</v>
      </c>
      <c r="C9" s="852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8"/>
      <c r="B10" s="839" t="s">
        <v>147</v>
      </c>
      <c r="C10" s="852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8"/>
      <c r="B11" s="839" t="s">
        <v>416</v>
      </c>
      <c r="C11" s="839"/>
      <c r="D11" s="468">
        <v>0</v>
      </c>
      <c r="E11" s="468">
        <v>0</v>
      </c>
      <c r="F11" s="468">
        <v>0</v>
      </c>
      <c r="G11" s="468">
        <v>0</v>
      </c>
      <c r="H11" s="468">
        <v>0</v>
      </c>
      <c r="I11" s="469">
        <v>0</v>
      </c>
    </row>
    <row r="12" spans="1:256" ht="15.75">
      <c r="A12" s="848"/>
      <c r="B12" s="839" t="s">
        <v>141</v>
      </c>
      <c r="C12" s="839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8" t="s">
        <v>144</v>
      </c>
      <c r="B13" s="839" t="s">
        <v>145</v>
      </c>
      <c r="C13" s="839" t="s">
        <v>60</v>
      </c>
      <c r="D13" s="468">
        <f>PGL_Requirements!P7/1000</f>
        <v>155</v>
      </c>
      <c r="E13" s="468">
        <f>PGL_Requirements!P8/1000</f>
        <v>150</v>
      </c>
      <c r="F13" s="468">
        <f>PGL_Requirements!P9/1000</f>
        <v>150</v>
      </c>
      <c r="G13" s="468">
        <f>PGL_Requirements!P10/1000</f>
        <v>150</v>
      </c>
      <c r="H13" s="468">
        <f>PGL_Requirements!P11/1000</f>
        <v>150</v>
      </c>
      <c r="I13" s="469">
        <f>PGL_Requirements!P12/1000</f>
        <v>150</v>
      </c>
    </row>
    <row r="14" spans="1:256" ht="15.75">
      <c r="A14" s="848"/>
      <c r="B14" s="839"/>
      <c r="C14" s="839" t="s">
        <v>101</v>
      </c>
      <c r="D14" s="468">
        <f>PGL_Requirements!Q7/1000</f>
        <v>2.3250000000000002</v>
      </c>
      <c r="E14" s="468">
        <f>PGL_Requirements!Q8/1000</f>
        <v>2.25</v>
      </c>
      <c r="F14" s="468">
        <f>PGL_Requirements!Q9/1000</f>
        <v>2.25</v>
      </c>
      <c r="G14" s="468">
        <f>PGL_Requirements!Q10/1000</f>
        <v>2.25</v>
      </c>
      <c r="H14" s="468">
        <f>PGL_Requirements!Q11/1000</f>
        <v>2.25</v>
      </c>
      <c r="I14" s="469">
        <f>PGL_Requirements!Q12/1000</f>
        <v>2.25</v>
      </c>
    </row>
    <row r="15" spans="1:256" ht="15.75">
      <c r="A15" s="848"/>
      <c r="C15" s="839" t="s">
        <v>738</v>
      </c>
      <c r="D15" s="468">
        <f>PGL_Requirements!R7/1000</f>
        <v>0.63</v>
      </c>
      <c r="E15" s="468">
        <f>PGL_Requirements!R8/1000</f>
        <v>0.63</v>
      </c>
      <c r="F15" s="468">
        <f>PGL_Requirements!R9/1000</f>
        <v>0.63</v>
      </c>
      <c r="G15" s="468">
        <f>PGL_Requirements!R10/1000</f>
        <v>0.63</v>
      </c>
      <c r="H15" s="468">
        <f>PGL_Requirements!R11/1000</f>
        <v>0.63</v>
      </c>
      <c r="I15" s="469">
        <f>PGL_Requirements!R12/1000</f>
        <v>0.63</v>
      </c>
    </row>
    <row r="16" spans="1:256" ht="15.75">
      <c r="A16" s="848"/>
      <c r="C16" s="839" t="s">
        <v>771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8"/>
      <c r="B17" s="839" t="s">
        <v>184</v>
      </c>
      <c r="C17" s="839" t="s">
        <v>717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8"/>
      <c r="B18" s="839" t="s">
        <v>143</v>
      </c>
      <c r="C18" s="839" t="s">
        <v>90</v>
      </c>
      <c r="D18" s="468">
        <f>PGL_Requirements!U7/1000</f>
        <v>40.200000000000003</v>
      </c>
      <c r="E18" s="468">
        <f>PGL_Requirements!U8/1000</f>
        <v>40.200000000000003</v>
      </c>
      <c r="F18" s="468">
        <f>PGL_Requirements!U9/1000</f>
        <v>40.200000000000003</v>
      </c>
      <c r="G18" s="468">
        <f>PGL_Requirements!U10/1000</f>
        <v>40.200000000000003</v>
      </c>
      <c r="H18" s="468">
        <f>PGL_Requirements!U11/1000</f>
        <v>40.200000000000003</v>
      </c>
      <c r="I18" s="469">
        <f>PGL_Requirements!U12/1000</f>
        <v>40.200000000000003</v>
      </c>
    </row>
    <row r="19" spans="1:10" ht="15.75">
      <c r="A19" s="848"/>
      <c r="B19" s="839" t="s">
        <v>141</v>
      </c>
      <c r="C19" s="839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1" t="s">
        <v>146</v>
      </c>
      <c r="B20" s="855" t="s">
        <v>143</v>
      </c>
      <c r="C20" s="855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8"/>
      <c r="B21" s="855" t="s">
        <v>141</v>
      </c>
      <c r="C21" s="855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8"/>
      <c r="B22" s="839" t="s">
        <v>416</v>
      </c>
      <c r="C22" s="855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8"/>
      <c r="B23" s="853" t="s">
        <v>148</v>
      </c>
      <c r="C23" s="855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1" t="s">
        <v>149</v>
      </c>
      <c r="B24" s="839"/>
      <c r="C24" s="839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8" t="s">
        <v>150</v>
      </c>
      <c r="B25" s="839" t="s">
        <v>756</v>
      </c>
      <c r="C25" s="839"/>
      <c r="D25" s="468">
        <f>PGL_Requirements!J7/1000</f>
        <v>5.5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8"/>
      <c r="B26" s="839" t="s">
        <v>68</v>
      </c>
      <c r="C26" s="839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8"/>
      <c r="B27" s="839" t="s">
        <v>93</v>
      </c>
      <c r="C27" s="839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8"/>
      <c r="B28" s="839" t="s">
        <v>416</v>
      </c>
      <c r="C28" s="839"/>
      <c r="D28" s="468">
        <f>PGL_Requirements!E7/1000</f>
        <v>3.9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8"/>
      <c r="B29" s="839" t="s">
        <v>96</v>
      </c>
      <c r="C29" s="839"/>
      <c r="D29" s="470">
        <f>PGL_Requirements!F7/1000</f>
        <v>1.006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6" t="s">
        <v>151</v>
      </c>
      <c r="B30" s="857"/>
      <c r="C30" s="857"/>
      <c r="D30" s="472">
        <f t="shared" ref="D30:I30" si="1">SUM(D6:D29)</f>
        <v>469.33499999999992</v>
      </c>
      <c r="E30" s="472">
        <f t="shared" si="1"/>
        <v>453.85399999999998</v>
      </c>
      <c r="F30" s="472">
        <f t="shared" si="1"/>
        <v>433.08</v>
      </c>
      <c r="G30" s="472">
        <f t="shared" si="1"/>
        <v>458.08</v>
      </c>
      <c r="H30" s="472">
        <f t="shared" si="1"/>
        <v>463.08</v>
      </c>
      <c r="I30" s="1173">
        <f t="shared" si="1"/>
        <v>478.08</v>
      </c>
    </row>
    <row r="31" spans="1:10" ht="17.25" thickTop="1" thickBot="1">
      <c r="A31" s="860"/>
      <c r="B31" s="839"/>
      <c r="C31" s="839"/>
      <c r="D31" s="473"/>
      <c r="E31" s="474"/>
      <c r="F31" s="474"/>
      <c r="G31" s="474"/>
      <c r="H31" s="474"/>
      <c r="I31" s="475"/>
    </row>
    <row r="32" spans="1:10" ht="16.5" thickTop="1" thickBot="1">
      <c r="A32" s="861" t="s">
        <v>152</v>
      </c>
      <c r="B32" s="862"/>
      <c r="C32" s="862"/>
      <c r="D32" s="476"/>
      <c r="E32" s="477"/>
      <c r="F32" s="477"/>
      <c r="G32" s="477"/>
      <c r="H32" s="477"/>
      <c r="I32" s="1174"/>
    </row>
    <row r="33" spans="1:9" ht="16.5" thickTop="1">
      <c r="A33" s="848" t="s">
        <v>153</v>
      </c>
      <c r="B33" s="839" t="s">
        <v>145</v>
      </c>
      <c r="C33" s="839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8"/>
      <c r="B34" s="839"/>
      <c r="C34" s="839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8"/>
      <c r="B35" s="839"/>
      <c r="C35" s="839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8"/>
      <c r="B36" s="839" t="s">
        <v>143</v>
      </c>
      <c r="C36" s="839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8"/>
      <c r="B37" s="839" t="s">
        <v>141</v>
      </c>
      <c r="C37" s="839" t="s">
        <v>90</v>
      </c>
      <c r="D37" s="468">
        <f>PGL_Supplies!L7/1000</f>
        <v>0.78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1" t="s">
        <v>155</v>
      </c>
      <c r="B38" s="839" t="s">
        <v>143</v>
      </c>
      <c r="C38" s="839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1"/>
      <c r="B39" s="839" t="s">
        <v>416</v>
      </c>
      <c r="C39" s="852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1"/>
      <c r="B40" s="839" t="s">
        <v>141</v>
      </c>
      <c r="C40" s="839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1"/>
      <c r="B41" s="839" t="s">
        <v>156</v>
      </c>
      <c r="C41" s="839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1" t="s">
        <v>719</v>
      </c>
      <c r="B42" s="839"/>
      <c r="C42" s="839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1" t="s">
        <v>622</v>
      </c>
      <c r="B43" s="839" t="s">
        <v>416</v>
      </c>
      <c r="C43" s="839"/>
      <c r="D43" s="468">
        <f>PGL_Supplies!T7/1000*0.5</f>
        <v>10.645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8"/>
      <c r="B44" s="839" t="s">
        <v>147</v>
      </c>
      <c r="C44" s="852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8"/>
      <c r="B45" s="839" t="s">
        <v>416</v>
      </c>
      <c r="C45" s="852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8"/>
      <c r="B46" s="839" t="s">
        <v>141</v>
      </c>
      <c r="C46" s="839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5" t="s">
        <v>766</v>
      </c>
      <c r="B47" s="839" t="s">
        <v>744</v>
      </c>
      <c r="C47" s="839"/>
      <c r="D47" s="468">
        <f>PGL_Supplies!Y7/1000</f>
        <v>146.58500000000001</v>
      </c>
      <c r="E47" s="468">
        <f>PGL_Supplies!Y8/1000</f>
        <v>155.15199999999999</v>
      </c>
      <c r="F47" s="468">
        <f>PGL_Supplies!Y9/1000</f>
        <v>155.15199999999999</v>
      </c>
      <c r="G47" s="468">
        <f>PGL_Supplies!Y10/1000</f>
        <v>155.15199999999999</v>
      </c>
      <c r="H47" s="468">
        <f>PGL_Supplies!Y11/1000</f>
        <v>155.15199999999999</v>
      </c>
      <c r="I47" s="469">
        <f>PGL_Supplies!Y12/1000</f>
        <v>155.15199999999999</v>
      </c>
    </row>
    <row r="48" spans="1:9" ht="15.75">
      <c r="A48" s="851"/>
      <c r="B48" s="839" t="s">
        <v>143</v>
      </c>
      <c r="C48" s="852"/>
      <c r="D48" s="468">
        <f>PGL_Supplies!Z7/1000</f>
        <v>40.200000000000003</v>
      </c>
      <c r="E48" s="468">
        <f>PGL_Supplies!Z8/1000</f>
        <v>40.200000000000003</v>
      </c>
      <c r="F48" s="468">
        <f>PGL_Supplies!Z9/1000</f>
        <v>40.200000000000003</v>
      </c>
      <c r="G48" s="468">
        <f>PGL_Supplies!Z10/1000</f>
        <v>40.200000000000003</v>
      </c>
      <c r="H48" s="468">
        <f>PGL_Supplies!Z11/1000</f>
        <v>40.200000000000003</v>
      </c>
      <c r="I48" s="469">
        <f>PGL_Supplies!Z12/1000</f>
        <v>40.200000000000003</v>
      </c>
    </row>
    <row r="49" spans="1:10" ht="15.75">
      <c r="A49" s="851"/>
      <c r="B49" s="839" t="s">
        <v>147</v>
      </c>
      <c r="C49" s="852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 ht="15.75">
      <c r="A50" s="851"/>
      <c r="B50" s="839" t="s">
        <v>416</v>
      </c>
      <c r="C50" s="852"/>
      <c r="D50" s="468">
        <f>PGL_Supplies!AB7/1000</f>
        <v>144.566</v>
      </c>
      <c r="E50" s="468">
        <f>PGL_Supplies!AB8/1000</f>
        <v>199.637</v>
      </c>
      <c r="F50" s="468">
        <f>PGL_Supplies!AB9/1000</f>
        <v>199.637</v>
      </c>
      <c r="G50" s="468">
        <f>PGL_Supplies!AB10/1000</f>
        <v>199.637</v>
      </c>
      <c r="H50" s="468">
        <f>PGL_Supplies!AB11/1000</f>
        <v>199.637</v>
      </c>
      <c r="I50" s="469">
        <f>PGL_Supplies!AB12/1000</f>
        <v>199.637</v>
      </c>
    </row>
    <row r="51" spans="1:10" ht="15.75">
      <c r="A51" s="851"/>
      <c r="B51" s="839" t="s">
        <v>141</v>
      </c>
      <c r="C51" s="839"/>
      <c r="D51" s="468">
        <f>PGL_Supplies!AC7/1000</f>
        <v>109.55</v>
      </c>
      <c r="E51" s="468">
        <f>PGL_Supplies!AC8/1000</f>
        <v>47.015999999999998</v>
      </c>
      <c r="F51" s="468">
        <f>PGL_Supplies!AC9/1000</f>
        <v>47.015999999999998</v>
      </c>
      <c r="G51" s="468">
        <f>PGL_Supplies!AC10/1000</f>
        <v>47.015999999999998</v>
      </c>
      <c r="H51" s="468">
        <f>PGL_Supplies!AC11/1000</f>
        <v>47.015999999999998</v>
      </c>
      <c r="I51" s="469">
        <f>PGL_Supplies!AC12/1000</f>
        <v>47.015999999999998</v>
      </c>
    </row>
    <row r="52" spans="1:10" ht="15.75">
      <c r="A52" s="851"/>
      <c r="B52" s="839" t="s">
        <v>142</v>
      </c>
      <c r="C52" s="839"/>
      <c r="D52" s="468">
        <f>PGL_Supplies!AD7/1000</f>
        <v>1.006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5"/>
      <c r="B53" s="839" t="s">
        <v>158</v>
      </c>
      <c r="C53" s="839"/>
      <c r="D53" s="468">
        <f>PGL_Supplies!I7/1000</f>
        <v>15</v>
      </c>
      <c r="E53" s="468">
        <f>PGL_Supplies!I8/1000</f>
        <v>15</v>
      </c>
      <c r="F53" s="468">
        <f>PGL_Supplies!I9/1000</f>
        <v>15</v>
      </c>
      <c r="G53" s="468">
        <f>PGL_Supplies!I10/1000</f>
        <v>15</v>
      </c>
      <c r="H53" s="468">
        <f>PGL_Supplies!I11/1000</f>
        <v>15</v>
      </c>
      <c r="I53" s="469">
        <f>PGL_Supplies!I12/1000</f>
        <v>15</v>
      </c>
      <c r="J53" s="113" t="s">
        <v>11</v>
      </c>
    </row>
    <row r="54" spans="1:10" ht="15.75">
      <c r="A54" s="848"/>
      <c r="B54" s="839" t="s">
        <v>159</v>
      </c>
      <c r="C54" s="839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1" t="s">
        <v>782</v>
      </c>
      <c r="B55" s="839"/>
      <c r="C55" s="839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8" t="s">
        <v>755</v>
      </c>
      <c r="B56" s="839" t="s">
        <v>744</v>
      </c>
      <c r="C56" s="839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8"/>
      <c r="B57" s="839" t="s">
        <v>143</v>
      </c>
      <c r="C57" s="839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8"/>
      <c r="B58" s="853" t="s">
        <v>147</v>
      </c>
      <c r="C58" s="839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8"/>
      <c r="B59" s="839" t="s">
        <v>416</v>
      </c>
      <c r="C59" s="839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6"/>
      <c r="B60" s="867" t="s">
        <v>142</v>
      </c>
      <c r="C60" s="867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69" t="s">
        <v>160</v>
      </c>
      <c r="B61" s="870"/>
      <c r="C61" s="870"/>
      <c r="D61" s="478">
        <f t="shared" ref="D61:I61" si="2">SUM(D33:D60)</f>
        <v>469.33200000000005</v>
      </c>
      <c r="E61" s="478">
        <f t="shared" si="2"/>
        <v>458.005</v>
      </c>
      <c r="F61" s="478">
        <f t="shared" si="2"/>
        <v>458.005</v>
      </c>
      <c r="G61" s="478">
        <f t="shared" si="2"/>
        <v>458.005</v>
      </c>
      <c r="H61" s="478">
        <f t="shared" si="2"/>
        <v>458.005</v>
      </c>
      <c r="I61" s="1175">
        <f t="shared" si="2"/>
        <v>458.005</v>
      </c>
    </row>
    <row r="62" spans="1:10">
      <c r="A62" s="871" t="s">
        <v>161</v>
      </c>
      <c r="B62" s="872"/>
      <c r="C62" s="872"/>
      <c r="D62" s="479">
        <f t="shared" ref="D62:I62" si="3">IF(D61-D30&lt;0,0,D61-D30)</f>
        <v>0</v>
      </c>
      <c r="E62" s="479">
        <f t="shared" si="3"/>
        <v>4.1510000000000105</v>
      </c>
      <c r="F62" s="479">
        <f t="shared" si="3"/>
        <v>24.925000000000011</v>
      </c>
      <c r="G62" s="479">
        <f t="shared" si="3"/>
        <v>0</v>
      </c>
      <c r="H62" s="479">
        <f t="shared" si="3"/>
        <v>0</v>
      </c>
      <c r="I62" s="1176">
        <f t="shared" si="3"/>
        <v>0</v>
      </c>
    </row>
    <row r="63" spans="1:10" ht="15.75" thickBot="1">
      <c r="A63" s="873" t="s">
        <v>162</v>
      </c>
      <c r="B63" s="857"/>
      <c r="C63" s="874"/>
      <c r="D63" s="480">
        <f t="shared" ref="D63:I63" si="4">IF(D30-D61&lt;0,0,D30-D61)</f>
        <v>2.999999999872216E-3</v>
      </c>
      <c r="E63" s="480">
        <f t="shared" si="4"/>
        <v>0</v>
      </c>
      <c r="F63" s="480">
        <f t="shared" si="4"/>
        <v>0</v>
      </c>
      <c r="G63" s="480">
        <f t="shared" si="4"/>
        <v>7.4999999999988631E-2</v>
      </c>
      <c r="H63" s="480">
        <f t="shared" si="4"/>
        <v>5.0749999999999886</v>
      </c>
      <c r="I63" s="1177">
        <f t="shared" si="4"/>
        <v>20.074999999999989</v>
      </c>
    </row>
    <row r="64" spans="1:10" ht="16.5" thickTop="1" thickBot="1">
      <c r="A64" s="1164" t="s">
        <v>770</v>
      </c>
      <c r="B64" s="1165"/>
      <c r="C64" s="1165"/>
      <c r="D64" s="1166">
        <f>PGL_Supplies!V7/1000</f>
        <v>177.809</v>
      </c>
      <c r="E64" s="1166">
        <f>PGL_Supplies!V8/1000</f>
        <v>174.809</v>
      </c>
      <c r="F64" s="1166">
        <f>PGL_Supplies!V9/1000</f>
        <v>174.809</v>
      </c>
      <c r="G64" s="1166">
        <f>PGL_Supplies!V10/1000</f>
        <v>174.809</v>
      </c>
      <c r="H64" s="1166">
        <f>PGL_Supplies!V11/1000</f>
        <v>174.809</v>
      </c>
      <c r="I64" s="1167">
        <f>PGL_Supplies!V12/1000</f>
        <v>174.809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2001-05-08T20:36:38Z</cp:lastPrinted>
  <dcterms:created xsi:type="dcterms:W3CDTF">1997-07-16T16:14:22Z</dcterms:created>
  <dcterms:modified xsi:type="dcterms:W3CDTF">2023-09-10T17:20:42Z</dcterms:modified>
</cp:coreProperties>
</file>