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B74BA5-4A1E-4FE2-87AF-975D4F8F44F2}" xr6:coauthVersionLast="47" xr6:coauthVersionMax="47" xr10:uidLastSave="{00000000-0000-0000-0000-000000000000}"/>
  <bookViews>
    <workbookView xWindow="-120" yWindow="-120" windowWidth="38640" windowHeight="15720" activeTab="1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<sst xmlns="http://schemas.openxmlformats.org/spreadsheetml/2006/main" count="2127" uniqueCount="804">
  <si>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</si>
  <si>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</si>
  <si>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</si>
  <si>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</si>
  <si>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</si>
  <si>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</si>
  <si>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</si>
  <si>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</si>
  <si>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</si>
  <si>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</si>
  <si>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</si>
  <si>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</si>
  <si>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</si>
  <si>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</si>
  <si>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</si>
  <si>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</si>
  <si>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</si>
  <si>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</si>
  <si>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</si>
  <si>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</si>
  <si>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</si>
  <si>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</si>
  <si>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</si>
  <si>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</si>
  <si>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</si>
  <si>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</si>
  <si>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</si>
  <si>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</si>
  <si>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</si>
  <si>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</si>
  <si>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</si>
  <si>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</si>
  <si>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</si>
  <si>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</si>
  <si>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</si>
  <si>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</si>
  <si>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</si>
  <si>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</si>
  <si>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</si>
  <si>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</si>
  <si>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</si>
  <si>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</si>
  <si>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</si>
  <si>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</si>
  <si>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</si>
  <si>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</si>
  <si>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</si>
  <si>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</si>
  <si>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</si>
  <si>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</si>
  <si>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</si>
  <si>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</si>
  <si>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</si>
  <si>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</si>
  <si>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</si>
  <si>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</si>
  <si>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</si>
  <si>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</si>
  <si>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</si>
  <si>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</si>
  <si>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</si>
  <si>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</si>
  <si>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</si>
  <si>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</si>
  <si>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</si>
  <si>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</si>
  <si>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</si>
  <si>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</si>
  <si>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</si>
  <si>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</si>
  <si>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</si>
  <si>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</si>
  <si>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</si>
  <si>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</si>
  <si>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</si>
  <si>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</si>
  <si>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</si>
  <si>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</si>
  <si>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</si>
  <si>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</si>
  <si>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</si>
  <si>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</si>
  <si>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</si>
  <si>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</si>
  <si>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</si>
  <si>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</si>
  <si>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</si>
  <si>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</si>
  <si>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</si>
  <si>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</si>
  <si>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</si>
  <si>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</si>
  <si>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</si>
  <si>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</si>
  <si>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</si>
  <si>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</si>
  <si>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</si>
  <si>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</si>
  <si>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</si>
  <si>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</si>
  <si>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</si>
  <si>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</si>
  <si>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</si>
  <si>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</si>
  <si>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</si>
  <si>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</si>
  <si>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</si>
  <si>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</si>
  <si>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</si>
  <si>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</si>
  <si>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</si>
  <si>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</si>
  <si>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</si>
  <si>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</si>
  <si>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</si>
  <si>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</si>
  <si>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</si>
  <si>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</si>
  <si>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</si>
  <si>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</si>
  <si>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</si>
  <si>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</si>
  <si>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</si>
  <si>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</si>
  <si>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</si>
  <si>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</si>
  <si>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</si>
  <si>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</si>
  <si>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</si>
  <si>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</si>
  <si>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</si>
  <si>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</si>
  <si>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</si>
  <si>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</si>
  <si>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</si>
  <si>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</si>
  <si>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</si>
  <si>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</si>
  <si>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</si>
  <si>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</si>
  <si>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</si>
  <si>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</si>
  <si>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</si>
  <si>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</si>
  <si>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</si>
  <si>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</si>
  <si>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</si>
  <si>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</si>
  <si>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</si>
  <si>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</si>
  <si>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</si>
  <si>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</si>
  <si>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</si>
  <si>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</si>
  <si>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</si>
  <si>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</si>
  <si>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</si>
  <si>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</si>
  <si>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</si>
  <si>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</si>
  <si>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</si>
  <si>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</si>
  <si>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</si>
  <si>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</si>
  <si>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</si>
  <si>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</si>
  <si>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</si>
  <si>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</si>
  <si>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</si>
  <si>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</si>
  <si>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</si>
  <si>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</si>
  <si>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</si>
  <si>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</si>
  <si>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</si>
  <si>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</si>
  <si>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</si>
  <si>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</si>
  <si>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</si>
  <si>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</si>
  <si>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</si>
  <si>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</si>
  <si>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</si>
  <si>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</si>
  <si>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</si>
  <si>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</si>
  <si>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</si>
  <si>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</si>
  <si>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</si>
  <si>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</si>
  <si>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</si>
  <si>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</si>
  <si>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</si>
  <si>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</si>
  <si>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</si>
  <si>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</si>
  <si>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</si>
  <si>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</si>
  <si>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</si>
  <si>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</si>
  <si>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</si>
  <si>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</si>
  <si>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</si>
  <si>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</si>
  <si>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</si>
  <si>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</si>
  <si>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</si>
  <si>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</si>
  <si>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</si>
  <si>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</si>
  <si>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</si>
  <si>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</si>
  <si>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</si>
  <si>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</si>
  <si>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</si>
  <si>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</si>
  <si>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</si>
  <si>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</si>
  <si>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</si>
  <si>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</si>
  <si>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</si>
  <si>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</si>
  <si>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</si>
  <si>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</si>
  <si>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</si>
  <si>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</si>
  <si>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</si>
  <si>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</si>
  <si>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</si>
  <si>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</si>
  <si>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</si>
  <si>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</si>
  <si>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</si>
  <si>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</si>
  <si>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</si>
  <si>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</si>
  <si>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</si>
  <si>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</si>
  <si>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</si>
  <si>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</si>
  <si>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</si>
  <si>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</si>
  <si>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</si>
  <si>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</si>
  <si>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</si>
  <si>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</si>
  <si>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</si>
  <si>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</si>
  <si>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</si>
  <si>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</si>
  <si>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</si>
  <si>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</si>
  <si>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</si>
  <si>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</si>
  <si>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</si>
  <si>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</si>
  <si>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</si>
  <si>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</si>
  <si>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</si>
  <si>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</si>
  <si>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</si>
  <si>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</si>
  <si>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</si>
  <si>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</si>
  <si>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</si>
  <si>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</si>
  <si>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</si>
  <si>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</si>
  <si>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</si>
  <si>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</si>
  <si>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</si>
  <si>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</si>
  <si>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</si>
  <si>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</si>
  <si>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</si>
  <si>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</si>
  <si>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</si>
  <si>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</si>
  <si>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</si>
  <si>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</si>
  <si>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</si>
  <si>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</si>
  <si>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</si>
  <si>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</si>
  <si>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</si>
  <si>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</si>
  <si>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</si>
  <si>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</si>
  <si>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</si>
  <si>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</si>
  <si>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</si>
  <si>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</si>
  <si>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</si>
  <si>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</si>
  <si>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</si>
  <si>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</si>
  <si>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</si>
  <si>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</si>
  <si>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</si>
  <si>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</si>
  <si>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</si>
  <si>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</si>
  <si>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</si>
  <si>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</si>
  <si>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</si>
  <si>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</si>
  <si>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</si>
  <si>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</si>
  <si>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</si>
  <si>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</si>
  <si>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</si>
  <si>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</si>
  <si>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</si>
  <si>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</si>
  <si>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</si>
  <si>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</si>
  <si>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</si>
  <si>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</si>
  <si>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</si>
  <si>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</si>
  <si>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</si>
  <si>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</si>
  <si>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</si>
  <si>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</si>
  <si>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</si>
  <si>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</si>
  <si>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</si>
  <si>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</si>
  <si>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</si>
  <si>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</si>
  <si>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</si>
  <si>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</si>
  <si>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</si>
  <si>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</si>
  <si>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</si>
  <si>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</si>
  <si>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</si>
  <si>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</si>
  <si>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</si>
  <si>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</si>
  <si>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</si>
  <si>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</si>
  <si>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</si>
  <si>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</si>
  <si>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</si>
  <si>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</si>
  <si>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</si>
  <si>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</si>
  <si>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</si>
  <si>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</si>
  <si>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</si>
  <si>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</si>
  <si>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</si>
  <si>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</si>
  <si>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</si>
  <si>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</si>
  <si>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</si>
  <si>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</si>
  <si>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</si>
  <si>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</si>
  <si>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</si>
  <si>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</si>
  <si>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</si>
  <si>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</si>
  <si>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</si>
  <si>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</si>
  <si>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</si>
  <si>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</si>
  <si>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</si>
  <si>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</si>
  <si>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</si>
  <si>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</si>
  <si>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</si>
  <si>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</si>
  <si>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</si>
  <si>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</si>
  <si>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</si>
  <si>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</si>
  <si>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</si>
  <si>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</si>
  <si>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</si>
  <si>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</si>
  <si>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</si>
  <si>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</si>
  <si>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</si>
  <si>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</si>
  <si>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</si>
  <si>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</si>
  <si>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</si>
  <si>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</si>
  <si>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</si>
  <si>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</si>
  <si>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</si>
  <si>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</si>
  <si>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</si>
  <si>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</si>
  <si>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</si>
  <si>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</si>
  <si>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</si>
  <si>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</si>
  <si>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</si>
  <si>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</si>
  <si>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</si>
  <si>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</si>
  <si>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</si>
  <si>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</si>
  <si>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</si>
  <si>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</si>
  <si>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</si>
  <si>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</si>
  <si>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</si>
  <si>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</si>
  <si>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</si>
  <si>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</si>
  <si>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</si>
  <si>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</si>
  <si>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</si>
  <si>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</si>
  <si>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</si>
  <si>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</si>
  <si>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</si>
  <si>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</si>
  <si>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</si>
  <si>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</si>
  <si>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</si>
  <si>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</si>
  <si>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</si>
  <si>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</si>
  <si>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</si>
  <si>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</si>
  <si>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</si>
  <si>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</si>
  <si>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</si>
  <si>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</si>
  <si>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</si>
  <si>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</si>
  <si>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</si>
  <si>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</si>
  <si>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</si>
  <si>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</si>
  <si>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</si>
  <si>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</si>
  <si>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</si>
  <si>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</si>
  <si>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</si>
  <si>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</si>
  <si>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</si>
  <si>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</si>
  <si>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</si>
  <si>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</si>
  <si>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</si>
  <si>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</si>
  <si>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</si>
  <si>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</si>
  <si>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</si>
  <si>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</si>
  <si>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</si>
  <si>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</si>
  <si>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</si>
  <si>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</si>
  <si>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</si>
  <si>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</si>
  <si>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</si>
  <si>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</si>
  <si>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</si>
  <si>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</si>
  <si>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</si>
  <si>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</si>
  <si>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</si>
  <si>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</si>
  <si>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</si>
  <si>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</si>
  <si>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</si>
  <si>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</si>
  <si>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</si>
  <si>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</si>
  <si>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</si>
  <si>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</si>
  <si>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</si>
  <si>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</si>
  <si>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</si>
  <si>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</si>
  <si>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</si>
  <si>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</si>
  <si>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</si>
  <si>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</si>
  <si>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</si>
  <si>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</si>
  <si>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</si>
  <si>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</si>
  <si>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</si>
  <si>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</si>
  <si>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</si>
  <si>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</si>
  <si>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</si>
  <si>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</si>
  <si>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</si>
  <si>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</si>
  <si>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</si>
  <si>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</si>
  <si>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</si>
  <si>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</si>
  <si>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</si>
  <si>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</si>
  <si>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</si>
  <si>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</si>
  <si>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</si>
  <si>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</si>
  <si>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</si>
  <si>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</si>
  <si>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</si>
  <si>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</si>
  <si>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</si>
  <si>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</si>
  <si>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</si>
  <si>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</si>
  <si>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</si>
  <si>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</si>
  <si>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</si>
  <si>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</si>
  <si>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</si>
  <si>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</si>
  <si>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</si>
  <si>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</si>
  <si>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</si>
  <si>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</si>
  <si>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</si>
  <si>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</si>
  <si>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</si>
  <si>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</si>
  <si>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</si>
  <si>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</si>
  <si>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</si>
  <si>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</si>
  <si>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</si>
  <si>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</si>
  <si>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</si>
  <si>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</si>
  <si>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</si>
  <si>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</si>
  <si>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</si>
  <si>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</si>
  <si>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</si>
  <si>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</si>
  <si>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</si>
  <si>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</si>
  <si>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</si>
  <si>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</si>
  <si>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</si>
  <si>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</si>
  <si>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</si>
  <si>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</si>
  <si>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</si>
  <si>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</si>
  <si>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</si>
  <si>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</si>
  <si>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</si>
  <si>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</si>
  <si>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</si>
  <si>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</si>
  <si>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</si>
  <si>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</si>
  <si>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</si>
  <si>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</si>
  <si>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</si>
  <si>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</si>
  <si>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</si>
  <si>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</si>
  <si>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</si>
  <si>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</si>
  <si>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</si>
  <si>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</si>
  <si>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</si>
  <si>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</si>
  <si>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</si>
  <si>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</si>
  <si>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</si>
  <si>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</si>
  <si>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</si>
  <si>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</si>
  <si>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</si>
  <si>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</si>
  <si>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</si>
  <si>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</si>
  <si>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</si>
  <si>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</si>
  <si>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</si>
  <si>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</si>
  <si>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</si>
  <si>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</si>
  <si>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</si>
  <si>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</si>
  <si>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</si>
  <si>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</si>
  <si>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</si>
  <si>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</si>
  <si>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</si>
  <si>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</si>
  <si>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</si>
  <si>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</si>
  <si>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</si>
  <si>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</si>
  <si>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</si>
  <si>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</si>
  <si>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</si>
  <si>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</si>
  <si>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</si>
  <si>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</si>
  <si>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</si>
  <si>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</si>
  <si>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</si>
  <si>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</si>
  <si>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</si>
  <si>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</si>
  <si>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</si>
  <si>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</si>
  <si>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</si>
  <si>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</si>
  <si>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</si>
  <si>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</si>
  <si>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</si>
  <si>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</si>
  <si>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</si>
  <si>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</si>
  <si>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</si>
  <si>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</si>
  <si>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</si>
  <si>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</si>
  <si>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</si>
  <si>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</si>
  <si>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</si>
  <si>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</si>
  <si>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</si>
  <si>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</si>
  <si>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</si>
  <si>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</si>
  <si>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</si>
  <si>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</si>
  <si>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</si>
  <si>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</si>
  <si>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</si>
  <si>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</si>
  <si>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</si>
  <si>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</si>
  <si>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</si>
  <si>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</si>
  <si>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</si>
  <si>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</si>
  <si>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</si>
  <si>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</si>
  <si>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</si>
  <si>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</si>
  <si>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</si>
  <si>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</si>
  <si>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</si>
  <si>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</si>
  <si>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</si>
  <si>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</si>
  <si>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</si>
  <si>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</si>
  <si>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</si>
  <si>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</si>
  <si>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</si>
  <si>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</si>
  <si>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</si>
  <si>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</si>
  <si>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</si>
  <si>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</si>
  <si>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</si>
  <si>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</si>
  <si>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</si>
  <si>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</si>
  <si>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</si>
  <si>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</si>
  <si>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</si>
  <si>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</si>
  <si>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</si>
  <si>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</si>
  <si>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</si>
  <si>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</si>
  <si>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</si>
  <si>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</si>
  <si>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</si>
  <si>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</si>
  <si>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</si>
  <si>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</si>
  <si>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</si>
  <si>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</si>
  <si>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</si>
  <si>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</si>
  <si>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</si>
  <si>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</si>
  <si>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</si>
  <si>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</si>
  <si>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</si>
  <si>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</si>
  <si>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</si>
  <si>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</si>
  <si>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</si>
  <si>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</si>
  <si>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</si>
  <si>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</si>
  <si>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</si>
  <si>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</si>
  <si>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</si>
  <si>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</si>
  <si>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</si>
  <si>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</si>
  <si>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</si>
  <si>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</si>
  <si>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</si>
  <si>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</si>
  <si>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</si>
  <si>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</si>
  <si>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</si>
  <si>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</si>
  <si>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</si>
  <si>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</si>
  <si>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</si>
  <si>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</si>
  <si>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</si>
  <si>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</si>
  <si>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</si>
  <si>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</si>
  <si>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</si>
  <si>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</si>
  <si>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</si>
  <si>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</si>
  <si>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</si>
  <si>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</si>
  <si>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</si>
  <si>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</si>
  <si>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</si>
  <si>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</si>
  <si>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</si>
  <si>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</si>
  <si>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</si>
  <si>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</si>
  <si>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</si>
  <si>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</si>
  <si>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</si>
  <si>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</si>
  <si>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</si>
  <si>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</si>
  <si>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</si>
  <si>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</si>
  <si>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</si>
  <si>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</si>
  <si>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</si>
  <si>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</si>
  <si>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</si>
  <si>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</si>
  <si>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</si>
  <si>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</si>
  <si>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</si>
  <si>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</si>
  <si>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</si>
  <si>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</si>
  <si>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</si>
  <si>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</si>
  <si>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</si>
  <si>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</si>
  <si>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</si>
  <si>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</si>
  <si>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</si>
  <si>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</si>
  <si>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</si>
  <si>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</si>
  <si>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</si>
  <si>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</si>
  <si>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</si>
  <si>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</si>
  <si>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</si>
  <si>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</si>
  <si>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</si>
  <si>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</si>
  <si>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</si>
  <si>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</si>
  <si>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</si>
  <si>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</si>
  <si>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</si>
  <si>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</si>
  <si>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</si>
  <si>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t</t>
  </si>
  <si>
    <t>DELIVERY TO MANLOVE</t>
  </si>
  <si>
    <t>ALIIANCE TO MANLOVE</t>
  </si>
  <si>
    <t>N/A</t>
  </si>
  <si>
    <t xml:space="preserve">  TODAY - A BRIEF SHOWER EARLY, CLOUDY MOST OF THE TIME AND BREEZY.</t>
  </si>
  <si>
    <t xml:space="preserve">  TONIGHT - CLEAR TO PARTLY CLOUDY.</t>
  </si>
  <si>
    <t xml:space="preserve">  SOME SUN; NICE EARLY IN THE DAY, BECOMING  BREEZY AND WARM LATER </t>
  </si>
  <si>
    <t xml:space="preserve">  IN THE DAY.</t>
  </si>
  <si>
    <t xml:space="preserve">  COOL WITH SUN AND CLOUDS.</t>
  </si>
  <si>
    <t xml:space="preserve">  SUNNY TO PARTLY CLOUDY.</t>
  </si>
  <si>
    <t xml:space="preserve">  OCCASIONAL RAIN WITH CONSIDERABLE CLOUDINESS.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</si>
  <si>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</si>
  <si>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</si>
  <si>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</si>
  <si>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</si>
  <si>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</si>
  <si>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</si>
  <si>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</si>
  <si>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Energy (Wilton/Lincoln) -</t>
  </si>
  <si>
    <t>Allegheny Gas Uasage</t>
  </si>
  <si>
    <t>N Border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</si>
</sst>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2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0" borderId="58" xfId="0" applyNumberFormat="1" applyFont="1" applyBorder="1" applyAlignment="1">
      <alignment horizontal="center"/>
    </xf>
    <xf numFmtId="0" fontId="41" fillId="0" borderId="5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51DB293E-6419-F2B8-D000-0B1F42AD90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82A3D107-0709-D9BF-181D-AD0DA9D9F5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C4A339EC-36E4-6EDE-E440-389B5525F3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14DD20B4-811F-4ACD-4D91-6EF4669096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323321BC-E136-090E-086F-8744BEA4A8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D1126F4-EC02-95A7-BFC8-C1B3520509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1C770F39-6176-FAB4-9BE4-6F40032AA8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E485193A-7737-82B2-62B8-E8788A48B6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CF800A35-4DEA-CE7F-E239-993D677751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958951AA-0941-8F3A-0410-8A5E1D01BC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42146D14-EF6F-6127-4BDB-11B2D0980E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2DE25D2E-ACE8-6C79-5BD8-EF024B1FCA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30B4A29-DD6A-A49E-5DC2-182CDA19F3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7B88798F-5B04-DDD0-0A45-8353F4E57C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D0658586-62BC-07AA-E612-C2BA37A300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77B40958-8A6E-56BB-262E-D4CB215420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CD63E7A6-B88C-DF36-C3BF-E8F678D9FE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5B33EAC0-E598-1A12-DA09-B32F420CE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6E0AD4D6-F53A-C9E2-28E1-28830774C5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5713704-B9D6-A563-B9DA-BFF90DC10E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7C884D6-E1EA-E12E-89DE-1858474EB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70B8E1EC-3CB9-0C0D-402D-46B64FC5D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35CBE498-6ECE-10BA-C778-805E31931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E674ECC4-EB4D-C19E-C9CA-D5FA5A756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221AB37B-15D5-5091-D81C-EF34AFC85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CC3C465A-EB41-B24D-96DC-25393F734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436B538B-0463-B27C-69EC-20CDAC43B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EA7F5585-EAC6-6096-61C1-59119EDB8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D94059CC-B2ED-F8E6-5889-4AF0BFF99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FD72DCDD-6C49-84ED-AD9F-466709695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CA7475A2-C1DC-0C51-F72D-F0AE834AB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17EE3E64-B561-9D27-8CE2-62CF10B15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F14F6B84-C84E-A168-5260-F70E63701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97338C57-AD7C-ABAB-CECA-CDF2C53F8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B3A3C392-7931-450F-CF2B-9020F1567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5C49F88A-8C36-8C8C-DD05-CC5897385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0F032FB7-A650-F7A0-EA7E-2DA5C3861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4E0D7ACA-FA3D-9583-1248-CEDE5CAEA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D5DF87C0-6D83-CD3B-361C-9AA0D94FB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6F8F24FF-8E39-B688-0CF2-510222899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1F81794D-01D4-0F14-9BC4-FFA0FCF6D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9B365F7F-88AF-9CCF-984F-2EA2696C4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0EAA17A7-D93C-9F9D-57CF-EFCAED012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69DAA7D4-5310-0E15-5DAD-7940F949D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899" name="Day_1">
          <a:extLst>
            <a:ext uri="{FF2B5EF4-FFF2-40B4-BE49-F238E27FC236}">
              <a16:creationId xmlns:a16="http://schemas.microsoft.com/office/drawing/2014/main" id="{6842AA56-D95B-93E3-57DE-4FC0A8F07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900" name="Day_2">
          <a:extLst>
            <a:ext uri="{FF2B5EF4-FFF2-40B4-BE49-F238E27FC236}">
              <a16:creationId xmlns:a16="http://schemas.microsoft.com/office/drawing/2014/main" id="{4858266E-449E-22DA-9C3D-12D91444D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901" name="Day_3">
          <a:extLst>
            <a:ext uri="{FF2B5EF4-FFF2-40B4-BE49-F238E27FC236}">
              <a16:creationId xmlns:a16="http://schemas.microsoft.com/office/drawing/2014/main" id="{6BA8275A-2F1F-6707-23F6-B68F47BF5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902" name="Day_4">
          <a:extLst>
            <a:ext uri="{FF2B5EF4-FFF2-40B4-BE49-F238E27FC236}">
              <a16:creationId xmlns:a16="http://schemas.microsoft.com/office/drawing/2014/main" id="{7446E8DA-D761-E92C-FA4A-185355C7F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903" name="Day_5">
          <a:extLst>
            <a:ext uri="{FF2B5EF4-FFF2-40B4-BE49-F238E27FC236}">
              <a16:creationId xmlns:a16="http://schemas.microsoft.com/office/drawing/2014/main" id="{0FFB7E53-8E2F-2640-820A-5B92FB39A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904" name="Day_6">
          <a:extLst>
            <a:ext uri="{FF2B5EF4-FFF2-40B4-BE49-F238E27FC236}">
              <a16:creationId xmlns:a16="http://schemas.microsoft.com/office/drawing/2014/main" id="{9AEBC98B-DC9F-E775-D7A6-DDB84A324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DCBAE667-060C-0564-DC93-2CF168F8280B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4E761D58-B5F5-10C1-9BC4-320E91420881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03C45058-5F3D-A7D1-B367-834E834C2997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0AD14354-C3E3-5674-BCDF-AC6833091704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9BC88F1B-69DA-C8EC-0D0C-7A2C971BD840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6973161F-FE64-29BC-F15E-A04872C78DFE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E5BC0946-C19D-2913-D1ED-51EC17671D9F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A732B688-0CFB-11BC-5057-340028EC6456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697A3626-28B0-9E59-FB64-C39EAC6D4483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93520C21-EC3C-5011-A6FC-E98DE3D0C772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14D642C9-1448-F880-19E2-E7AAA95EB1DA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1322D02C-ECA0-A8C6-D4C4-C727DDE864F5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B799FB74-219F-3A74-21E3-18C97C9A57AD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0F08E5C9-5585-813E-177A-17A19B0E6A86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995E1364-D6FF-BC8E-7841-3262BC37A359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AE028163-EB63-494B-52A6-59B0E8DE91A3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2912FAA5-3E4E-EDF6-7882-78289C2A0996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E67E72C1-876D-0691-7DD1-37C5CBA4F579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68C9782D-29C8-DFB4-366B-7F9CFEB31D49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6DA274A5-1DAD-2E94-0B7B-6FF0E9FED5F1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D7B94B37-02FF-4BA3-F6F6-F759C702B4AA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DD03EC8D-AEFE-E32D-8CD8-A4D86BC2A903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15445EEE-6E75-DBE8-8F23-845704DC0380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12EABDA5-95D8-F9DA-1177-7512DFE2751F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490CEB50-3E4E-2190-3637-839F3C37A1C6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D7FA48BA-9639-7291-3702-37A3AB461328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889AD5BA-E50C-EE72-8277-BEBB3AF9869B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5B6CC80B-27BC-EB8E-DB3E-85475FF303A7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4CD64A58-DA47-0996-4FBC-00AB02E2A7D3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483BBCD9-11E1-1E8A-D2EC-0C196EF5A130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19662A1E-3A42-C5E7-79AF-425CD54A1197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CC835C1F-D3FE-6AD5-9D2E-078BAD45CDB0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4AA93488-B6DA-7AD9-9F26-645E3BA66B2F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B53692C1-89FF-778E-CFC4-8D871BDEB624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79BC1D4F-422F-E1EF-AB63-FE702F6ED699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E69E90C7-18F4-0001-ABA5-9096A60058A3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3EFB3A6C-032F-2381-757A-8EA2FAB82EAD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E2E99858-170A-39E0-9CF0-A6A5185FB56B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48629A75-0ADA-3761-7C00-C5016662021D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0DED0AA9-5493-55AC-5DAE-844B67F1BE20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6CEE3C38-C39B-7DAD-9225-94343CBF48D0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2EB2F84A-A941-6C8D-D9C8-0A991226054C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354D900E-3545-141E-2F65-F228757C5646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41462B97-BE1C-F4D8-0A3D-05D84604A1C4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8B0E74E6-70B2-E7C6-E6C4-84C016894684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0820D0D6-32EB-C65A-3944-A81572F2C227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7E024371-0243-DC1B-5B59-B72630787341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852F5559-618C-48AB-199F-CDDB2B79AF40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C590CEDE-91A8-D7A2-2F19-DEBE1A4A4950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D297C72F-1D0D-830D-F971-6C0807F7F4FB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B8A207ED-022A-85BB-6044-AC9AB921009E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0FD2AB59-14AA-9A9A-AADB-5666A763F2CF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CA01A8BA-03D7-DB5E-5AC6-37F5CD4B6D3F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CFB6FD58-20C7-DBC4-BEDF-FD83D26A32E6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3C3D37BD-EA28-F57B-B607-EAE0D3594342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3D079B06-638B-28A7-038D-D80CE34808D8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BA97CDDB-6AAA-0ACE-F024-08827B74CABC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074686C8-CC82-6DDA-9709-FA0DE1E08975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84410D80-FD11-4062-A1AC-5B92111C9C50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E4FCCE34-0FA6-FB33-7BED-7D8DFBD7FD5B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533F04CD-4965-CF04-215F-42613C4E4DCA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012DFE9A-A97A-D57E-DC22-8913B03C2090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9CD1BDED-8B99-5E9D-CF16-8752605B38B1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238FC81A-3D75-760B-10DB-C88354D155A8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6C8F2816-9CC1-A386-600D-B8E06EF8A34D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D202CCE7-686F-3EFB-8DC1-2BF1CBF5A02D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538545D0-054F-0011-10A4-6A23EE9F520A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31265801-9882-5582-A7C6-1E171ED87404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E599BA6D-51FC-43E1-5DB5-F6B49E04B49A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CBD7EA70-EBE9-3777-8405-E4F8EB5F0683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8D4F0CBC-85AD-BFCF-C7E0-F6BE587BC21A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8C430988-DB8B-E41F-38C7-963BB5D1B17C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CAE05A84-57F5-A627-C919-F9F3446B97A0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CE5CE91B-E6DE-E6E5-AC74-7650EA5C38C1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7AF88726-44E5-6C50-4F8C-E950BB44FFD8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D6B44D00-3305-415C-A378-CB7DD9ACF392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2664CFDB-D2FF-9BF8-0EB4-025E61D26747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B457CEC3-E9E5-787B-842F-2CFC771B6D5F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E0F0650B-9435-5E11-FC22-C9CEDE4447D9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796F89DC-CF40-CA82-044E-2109D8647CB5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50D66EBB-2063-346D-B0C0-539DE3299E7A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CFC0CE5D-07BE-1316-5F8E-6A3CCF1D87EA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B77411B2-3153-EA2B-9FC4-A096AC89150D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FEB868D3-C511-3DF7-3F41-EBA57C118431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E947DBDD-44B1-9820-14FF-7FDB87325330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6E5586E8-FC13-F857-CCBD-9076A3DAB199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54BA1C86-5E9F-23AA-2450-434D5BE8716B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28B042E6-AB8A-D9DD-CBBE-17355482FCBD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7C31A04A-7890-D833-A23B-DC7F70559FAD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50AED814-792D-3F0C-FA6F-21D7F61BA7D4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93218416-44DE-1E02-EDF2-FC9A135E2C13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847D0CF8-A754-4C39-9543-C41559EC8693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C8850F31-3011-B7BA-0AD4-88328371D636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98D6D71B-FFE9-E88F-45C2-5A9CC1A745EA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5585B04B-A3DC-AAE0-4AD0-74E997BE259D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62040685-5ED7-6D35-CF3F-764D5B80CF43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38344D4F-B741-419F-6E46-0D21C9BE1817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9FE89BE4-8541-1457-FA9C-945D2AF7A177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B02D8865-0C51-3E84-2526-3DC099CCAE36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FA59C291-0327-D8E9-AD7B-EA201F6CE0E6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EB446707-659A-5D25-A157-274AAFB687C0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BC9560FE-A3D2-7F24-3239-222AC6B7EB76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8F6EFCDF-2344-CA1F-0A6D-F8A9A6F30D31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11EF1EE5-92A8-A3B7-20C2-7665403660C7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0C058B96-B8FB-4427-4A20-102363FB0B5C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15CDAC21-47A6-5A5A-A51E-F2C1197CD924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1BB83814-FE6A-914E-9466-6B43ED8991E0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404D1784-5548-2B8A-B866-780046625D1B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F96B5D8A-132F-1F42-1A0E-F88DEDF26E57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0E39D9F7-A16C-06F9-5760-1B2680D3CBF1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D17AC1FF-0493-361F-23E1-1508090F6F89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B5E4EA1C-4D8D-393F-0181-4D2EC6BBA019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BEFD15B8-0B40-7F17-FBBF-6F06B5E8133A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B5E40916-B448-7479-8742-246AD1A05BE0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34B4695F-FA6B-1F5E-030B-3BF16C951C1B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1DB5365D-092D-75C8-9FC2-33B2734267BD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02E5E242-07A1-470E-71E0-E150782B491F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F8FD2CE2-56FF-E520-AF26-74F9C8DA98DC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3800B342-1F20-20DD-E3CA-EA7063D9CF79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E90001AA-8705-7399-3A7D-CF8EBA97CBA8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662C9226-A0E5-5537-A9A3-F2CA3D499C1C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3E98FFD9-2CAD-BACA-1A75-89A1A364595E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2AB69007-0066-EA37-CCF0-E0CE1583BF43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FE20E7F7-57BA-C10E-B749-EB3708860249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8A320210-3593-1140-112B-F3CF8646558A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E4930B64-B1D3-76D0-94D7-417806626FDB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56B85A6D-96C6-6626-7285-EBBAEACDEF36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0F805ABA-9D33-453E-FD29-D272DE4C72EF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FC95E477-8534-B62D-E057-3C83A61C9115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156DE520-105F-0BED-74C7-F3C49B8DD797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>
      <selection activeCell="D1" sqref="D1"/>
    </sheetView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09" t="s">
        <v>11</v>
      </c>
      <c r="B1" s="811"/>
    </row>
    <row r="2" spans="1:88">
      <c r="A2" s="1109" t="s">
        <v>11</v>
      </c>
      <c r="B2" t="s">
        <v>11</v>
      </c>
    </row>
    <row r="3" spans="1:88" ht="15.75" thickBot="1">
      <c r="A3" s="1108" t="s">
        <v>698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1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716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7" t="s">
        <v>698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631</v>
      </c>
    </row>
    <row r="11" spans="1:88">
      <c r="A11" t="s">
        <v>11</v>
      </c>
      <c r="B11" s="811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631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780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628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628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631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631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7" t="s">
        <v>650</v>
      </c>
      <c r="B1" s="835"/>
      <c r="C1" s="835"/>
      <c r="D1" s="835"/>
      <c r="E1" s="835"/>
      <c r="F1" s="835"/>
      <c r="G1" s="835" t="s">
        <v>135</v>
      </c>
      <c r="H1" s="878" t="str">
        <f>D3</f>
        <v>MON</v>
      </c>
      <c r="I1" s="879">
        <f>D4</f>
        <v>37018</v>
      </c>
      <c r="J1" s="112"/>
    </row>
    <row r="2" spans="1:10" ht="20.100000000000001" customHeight="1">
      <c r="A2" s="838" t="s">
        <v>163</v>
      </c>
      <c r="B2" s="839"/>
      <c r="C2" s="839"/>
      <c r="D2" s="839"/>
      <c r="E2" s="839"/>
      <c r="F2" s="839"/>
      <c r="G2" s="839"/>
      <c r="H2" s="839"/>
      <c r="I2" s="840"/>
      <c r="J2" s="112"/>
    </row>
    <row r="3" spans="1:10" ht="20.100000000000001" customHeight="1" thickBot="1">
      <c r="A3" s="841"/>
      <c r="B3" s="839"/>
      <c r="C3" s="839"/>
      <c r="D3" s="842" t="str">
        <f t="shared" ref="D3:I3" si="0">CHOOSE(WEEKDAY(D4),"SUN","MON","TUE","WED","THU","FRI","SAT")</f>
        <v>MON</v>
      </c>
      <c r="E3" s="842" t="str">
        <f t="shared" si="0"/>
        <v>TUE</v>
      </c>
      <c r="F3" s="842" t="str">
        <f t="shared" si="0"/>
        <v>WED</v>
      </c>
      <c r="G3" s="842" t="str">
        <f t="shared" si="0"/>
        <v>THU</v>
      </c>
      <c r="H3" s="842" t="str">
        <f t="shared" si="0"/>
        <v>FRI</v>
      </c>
      <c r="I3" s="843" t="str">
        <f t="shared" si="0"/>
        <v>SAT</v>
      </c>
      <c r="J3" s="112"/>
    </row>
    <row r="4" spans="1:10" ht="20.100000000000001" customHeight="1" thickBot="1">
      <c r="A4" s="844" t="s">
        <v>164</v>
      </c>
      <c r="B4" s="845"/>
      <c r="C4" s="845"/>
      <c r="D4" s="846">
        <f>Weather_Input!A5</f>
        <v>37018</v>
      </c>
      <c r="E4" s="846">
        <f>Weather_Input!A6</f>
        <v>37019</v>
      </c>
      <c r="F4" s="846">
        <f>Weather_Input!A7</f>
        <v>37020</v>
      </c>
      <c r="G4" s="846">
        <f>Weather_Input!A8</f>
        <v>37021</v>
      </c>
      <c r="H4" s="846">
        <f>Weather_Input!A9</f>
        <v>37022</v>
      </c>
      <c r="I4" s="847">
        <f>Weather_Input!A10</f>
        <v>37023</v>
      </c>
      <c r="J4" s="112"/>
    </row>
    <row r="5" spans="1:10" s="113" customFormat="1" ht="20.100000000000001" customHeight="1" thickTop="1">
      <c r="A5" s="848" t="s">
        <v>137</v>
      </c>
      <c r="B5" s="839"/>
      <c r="C5" s="839" t="s">
        <v>138</v>
      </c>
      <c r="D5" s="880" t="str">
        <f>TEXT(Weather_Input!B5,"0")&amp;"/"&amp;TEXT(Weather_Input!C5,"0") &amp; "/" &amp; TEXT((Weather_Input!B5+Weather_Input!C5)/2,"0")</f>
        <v>66/46/56</v>
      </c>
      <c r="E5" s="880" t="str">
        <f>TEXT(Weather_Input!B6,"0")&amp;"/"&amp;TEXT(Weather_Input!C6,"0") &amp; "/" &amp; TEXT((Weather_Input!B6+Weather_Input!C6)/2,"0")</f>
        <v>74/49/62</v>
      </c>
      <c r="F5" s="880" t="str">
        <f>TEXT(Weather_Input!B7,"0")&amp;"/"&amp;TEXT(Weather_Input!C7,"0") &amp; "/" &amp; TEXT((Weather_Input!B7+Weather_Input!C7)/2,"0")</f>
        <v>77/58/68</v>
      </c>
      <c r="G5" s="880" t="str">
        <f>TEXT(Weather_Input!B8,"0")&amp;"/"&amp;TEXT(Weather_Input!C8,"0") &amp; "/" &amp; TEXT((Weather_Input!B8+Weather_Input!C8)/2,"0")</f>
        <v>82/54/68</v>
      </c>
      <c r="H5" s="880" t="str">
        <f>TEXT(Weather_Input!B9,"0")&amp;"/"&amp;TEXT(Weather_Input!C9,"0") &amp; "/" &amp; TEXT((Weather_Input!B9+Weather_Input!C9)/2,"0")</f>
        <v>70/48/59</v>
      </c>
      <c r="I5" s="881" t="str">
        <f>TEXT(Weather_Input!B10,"0")&amp;"/"&amp;TEXT(Weather_Input!C10,"0") &amp; "/" &amp; TEXT((Weather_Input!B10+Weather_Input!C10)/2,"0")</f>
        <v>70/48/59</v>
      </c>
      <c r="J5" s="112"/>
    </row>
    <row r="6" spans="1:10" ht="20.100000000000001" customHeight="1">
      <c r="A6" s="851" t="s">
        <v>139</v>
      </c>
      <c r="B6" s="839"/>
      <c r="C6" s="839"/>
      <c r="D6" s="849">
        <f ca="1">VLOOKUP(D4,NSG_Sendouts,CELL("Col",NSG_Deliveries!C5),FALSE)/1000</f>
        <v>42</v>
      </c>
      <c r="E6" s="849">
        <f ca="1">VLOOKUP(E4,NSG_Sendouts,CELL("Col",NSG_Deliveries!C6),FALSE)/1000</f>
        <v>44</v>
      </c>
      <c r="F6" s="849">
        <f ca="1">VLOOKUP(F4,NSG_Sendouts,CELL("Col",NSG_Deliveries!C7),FALSE)/1000</f>
        <v>44</v>
      </c>
      <c r="G6" s="849">
        <f ca="1">VLOOKUP(G4,NSG_Sendouts,CELL("Col",NSG_Deliveries!C8),FALSE)/1000</f>
        <v>44</v>
      </c>
      <c r="H6" s="849">
        <f ca="1">VLOOKUP(H4,NSG_Sendouts,CELL("Col",NSG_Deliveries!C9),FALSE)/1000</f>
        <v>40</v>
      </c>
      <c r="I6" s="854">
        <f ca="1">VLOOKUP(I4,NSG_Sendouts,CELL("Col",NSG_Deliveries!C10),FALSE)/1000</f>
        <v>38</v>
      </c>
      <c r="J6" s="113"/>
    </row>
    <row r="7" spans="1:10" ht="20.100000000000001" customHeight="1">
      <c r="A7" s="848" t="s">
        <v>140</v>
      </c>
      <c r="B7" s="839" t="s">
        <v>141</v>
      </c>
      <c r="C7" s="839"/>
      <c r="D7" s="849">
        <f>NSG_Requirements!C7/1000</f>
        <v>0</v>
      </c>
      <c r="E7" s="849">
        <f>NSG_Requirements!C8/1000</f>
        <v>0</v>
      </c>
      <c r="F7" s="849">
        <f>NSG_Requirements!C9/1000</f>
        <v>0</v>
      </c>
      <c r="G7" s="849">
        <f>NSG_Requirements!C10/1000</f>
        <v>0</v>
      </c>
      <c r="H7" s="849">
        <f>NSG_Requirements!C11/1000</f>
        <v>0</v>
      </c>
      <c r="I7" s="850">
        <f>NSG_Requirements!C12/1000</f>
        <v>0</v>
      </c>
      <c r="J7" s="112"/>
    </row>
    <row r="8" spans="1:10" ht="20.100000000000001" customHeight="1">
      <c r="A8" s="848"/>
      <c r="B8" s="839" t="s">
        <v>143</v>
      </c>
      <c r="C8" s="839"/>
      <c r="D8" s="849">
        <f>NSG_Requirements!D7/1000</f>
        <v>0</v>
      </c>
      <c r="E8" s="849">
        <f>NSG_Requirements!D8/1000</f>
        <v>0</v>
      </c>
      <c r="F8" s="849">
        <f>NSG_Requirements!D9/1000</f>
        <v>0</v>
      </c>
      <c r="G8" s="849">
        <f>NSG_Requirements!D10/1000</f>
        <v>0</v>
      </c>
      <c r="H8" s="849">
        <f>NSG_Requirements!D11/1000</f>
        <v>0</v>
      </c>
      <c r="I8" s="854">
        <f>NSG_Requirements!D11/1000</f>
        <v>0</v>
      </c>
      <c r="J8" s="113"/>
    </row>
    <row r="9" spans="1:10" ht="20.100000000000001" customHeight="1">
      <c r="A9" s="848"/>
      <c r="B9" s="839" t="s">
        <v>147</v>
      </c>
      <c r="C9" s="839"/>
      <c r="D9" s="849">
        <f>NSG_Requirements!E7/1000</f>
        <v>0</v>
      </c>
      <c r="E9" s="849">
        <f>NSG_Requirements!E8/1000</f>
        <v>0</v>
      </c>
      <c r="F9" s="849">
        <f>NSG_Requirements!E9/1000</f>
        <v>0</v>
      </c>
      <c r="G9" s="849">
        <f>NSG_Requirements!E10/1000</f>
        <v>0</v>
      </c>
      <c r="H9" s="849">
        <f>NSG_Requirements!E11/1000</f>
        <v>0</v>
      </c>
      <c r="I9" s="854">
        <f>NSG_Requirements!E12/1000</f>
        <v>0</v>
      </c>
      <c r="J9" s="113"/>
    </row>
    <row r="10" spans="1:10" ht="20.100000000000001" customHeight="1">
      <c r="A10" s="848"/>
      <c r="B10" s="839" t="s">
        <v>416</v>
      </c>
      <c r="C10" s="839"/>
      <c r="D10" s="849">
        <f>NSG_Requirements!F7/1000</f>
        <v>0</v>
      </c>
      <c r="E10" s="849">
        <f>NSG_Requirements!F8/1000</f>
        <v>0</v>
      </c>
      <c r="F10" s="849">
        <f>NSG_Requirements!F9/1000</f>
        <v>0</v>
      </c>
      <c r="G10" s="849">
        <f>NSG_Requirements!F10/1000</f>
        <v>0</v>
      </c>
      <c r="H10" s="849">
        <f>NSG_Requirements!F11/1000</f>
        <v>0</v>
      </c>
      <c r="I10" s="854">
        <f>NSG_Requirements!F12/1000</f>
        <v>0</v>
      </c>
      <c r="J10" s="113"/>
    </row>
    <row r="11" spans="1:10" ht="20.100000000000001" customHeight="1">
      <c r="A11" s="848" t="s">
        <v>144</v>
      </c>
      <c r="B11" s="839" t="s">
        <v>145</v>
      </c>
      <c r="C11" s="839" t="s">
        <v>60</v>
      </c>
      <c r="D11" s="849">
        <f>(NSG_Requirements!$K$7+NSG_Requirements!$L$7+NSG_Requirements!$M$7+NSG_Requirements!$N$7)/1000</f>
        <v>0</v>
      </c>
      <c r="E11" s="849">
        <f>(NSG_Requirements!$K$8+NSG_Requirements!$L$8+NSG_Requirements!$M$8+NSG_Requirements!$N$8)/1000</f>
        <v>0</v>
      </c>
      <c r="F11" s="849">
        <f>(NSG_Requirements!$K$9+NSG_Requirements!$L$9+NSG_Requirements!$M$9+NSG_Requirements!$N$9)/1000</f>
        <v>0</v>
      </c>
      <c r="G11" s="849">
        <f>(NSG_Requirements!$K$10+NSG_Requirements!$L$10+NSG_Requirements!$M$10+NSG_Requirements!$N$10)/1000</f>
        <v>0</v>
      </c>
      <c r="H11" s="849">
        <f>(NSG_Requirements!$K$11+NSG_Requirements!$L$11+NSG_Requirements!$M$11+NSG_Requirements!$N$11)/1000</f>
        <v>0</v>
      </c>
      <c r="I11" s="854">
        <f>(NSG_Requirements!$K$12+NSG_Requirements!$L$12+NSG_Requirements!$M$12+NSG_Requirements!$N$12)/1000</f>
        <v>0</v>
      </c>
      <c r="J11" s="113"/>
    </row>
    <row r="12" spans="1:10" ht="20.100000000000001" customHeight="1">
      <c r="A12" s="848"/>
      <c r="B12" s="839" t="s">
        <v>143</v>
      </c>
      <c r="C12" s="853" t="s">
        <v>90</v>
      </c>
      <c r="D12" s="849">
        <f>NSG_Requirements!J7/1000</f>
        <v>18.54</v>
      </c>
      <c r="E12" s="849">
        <f>NSG_Requirements!J8/1000</f>
        <v>20</v>
      </c>
      <c r="F12" s="849">
        <f>NSG_Requirements!J9/1000</f>
        <v>20</v>
      </c>
      <c r="G12" s="849">
        <f>NSG_Requirements!J10/1000</f>
        <v>20</v>
      </c>
      <c r="H12" s="849">
        <f>NSG_Requirements!J11/1000</f>
        <v>20</v>
      </c>
      <c r="I12" s="850">
        <f>NSG_Requirements!J12/1000</f>
        <v>20</v>
      </c>
      <c r="J12" s="112"/>
    </row>
    <row r="13" spans="1:10" ht="20.100000000000001" customHeight="1">
      <c r="A13" s="848"/>
      <c r="B13" s="839" t="s">
        <v>141</v>
      </c>
      <c r="C13" s="853" t="s">
        <v>90</v>
      </c>
      <c r="D13" s="849">
        <f>NSG_Requirements!H7/1000</f>
        <v>0</v>
      </c>
      <c r="E13" s="849">
        <f>NSG_Requirements!H8/1000</f>
        <v>0</v>
      </c>
      <c r="F13" s="849">
        <f>NSG_Requirements!H9/1000</f>
        <v>0</v>
      </c>
      <c r="G13" s="849">
        <f>NSG_Requirements!H10/1000</f>
        <v>0</v>
      </c>
      <c r="H13" s="849">
        <f>NSG_Requirements!H11/1000</f>
        <v>0</v>
      </c>
      <c r="I13" s="850">
        <f>NSG_Requirements!H12/1000</f>
        <v>0</v>
      </c>
      <c r="J13" s="112"/>
    </row>
    <row r="14" spans="1:10" ht="20.100000000000001" customHeight="1">
      <c r="A14" s="848"/>
      <c r="B14" s="839" t="s">
        <v>143</v>
      </c>
      <c r="C14" s="839"/>
      <c r="D14" s="849">
        <f>(NSG_Requirements!$S$7+NSG_Requirements!$T$7+NSG_Requirements!$U$7)/1000</f>
        <v>0</v>
      </c>
      <c r="E14" s="849">
        <f>(NSG_Requirements!$S$8+NSG_Requirements!$T$8+NSG_Requirements!$U$8)/1000</f>
        <v>0</v>
      </c>
      <c r="F14" s="849">
        <f>(NSG_Requirements!$S$9+NSG_Requirements!$T$9+NSG_Requirements!$U$9)/1000</f>
        <v>0</v>
      </c>
      <c r="G14" s="849">
        <f>(NSG_Requirements!$S$10+NSG_Requirements!$T$10+NSG_Requirements!$U$10)/1000</f>
        <v>0</v>
      </c>
      <c r="H14" s="849">
        <f>(NSG_Requirements!$S$11+NSG_Requirements!$T$11+NSG_Requirements!$U$11)/1000</f>
        <v>0</v>
      </c>
      <c r="I14" s="854">
        <f>(NSG_Requirements!$S$12+NSG_Requirements!$T$12+NSG_Requirements!$U$12)/1000</f>
        <v>0</v>
      </c>
      <c r="J14" s="112"/>
    </row>
    <row r="15" spans="1:10" ht="20.100000000000001" customHeight="1">
      <c r="A15" s="848"/>
      <c r="B15" s="839" t="s">
        <v>141</v>
      </c>
      <c r="C15" s="839"/>
      <c r="D15" s="849">
        <f>(NSG_Requirements!$Y$7+NSG_Requirements!$Z$7+NSG_Requirements!$AA$7)/1000</f>
        <v>0</v>
      </c>
      <c r="E15" s="849">
        <f>(NSG_Requirements!$Y$8+NSG_Requirements!$Z$8+NSG_Requirements!$AA$8)/1000</f>
        <v>0</v>
      </c>
      <c r="F15" s="849">
        <f>(NSG_Requirements!$Y$9+NSG_Requirements!$Z$9+NSG_Requirements!$AA$9)/1000</f>
        <v>0</v>
      </c>
      <c r="G15" s="849">
        <f>(NSG_Requirements!$Y$10+NSG_Requirements!$Z$10+NSG_Requirements!$AA$10)/1000</f>
        <v>0</v>
      </c>
      <c r="H15" s="849">
        <f>(NSG_Requirements!$Y$11+NSG_Requirements!$Z$11+NSG_Requirements!$AA$11)/1000</f>
        <v>0</v>
      </c>
      <c r="I15" s="854">
        <f>(NSG_Requirements!$Y$12+NSG_Requirements!$Z$12+NSG_Requirements!$AA$12)/1000</f>
        <v>0</v>
      </c>
      <c r="J15" s="113"/>
    </row>
    <row r="16" spans="1:10" ht="20.100000000000001" customHeight="1">
      <c r="A16" s="848"/>
      <c r="B16" s="839" t="s">
        <v>147</v>
      </c>
      <c r="C16" s="853"/>
      <c r="D16" s="849">
        <f>(NSG_Requirements!$V$7+NSG_Requirements!$W$7+NSG_Requirements!$X$7)/1000</f>
        <v>0</v>
      </c>
      <c r="E16" s="849">
        <f>(NSG_Requirements!$V$8+NSG_Requirements!$W$8+NSG_Requirements!$X$8)/1000</f>
        <v>0</v>
      </c>
      <c r="F16" s="849">
        <f>(NSG_Requirements!$V$9+NSG_Requirements!$W$9+NSG_Requirements!$X$9)/1000</f>
        <v>0</v>
      </c>
      <c r="G16" s="849">
        <f>(NSG_Requirements!$V$10+NSG_Requirements!$W$10+NSG_Requirements!$X$10)/1000</f>
        <v>0</v>
      </c>
      <c r="H16" s="849">
        <f>(NSG_Requirements!$V$11+NSG_Requirements!$W$11+NSG_Requirements!$X$11)/1000</f>
        <v>0</v>
      </c>
      <c r="I16" s="854">
        <f>(NSG_Requirements!$V$12+NSG_Requirements!$W$12+NSG_Requirements!$X$12)/1000</f>
        <v>0</v>
      </c>
      <c r="J16" s="113"/>
    </row>
    <row r="17" spans="1:10" ht="20.100000000000001" customHeight="1">
      <c r="A17" s="848"/>
      <c r="B17" s="839" t="s">
        <v>416</v>
      </c>
      <c r="C17" s="839"/>
      <c r="D17" s="849">
        <f>(NSG_Requirements!$AB$7+NSG_Requirements!$AC$7+NSG_Requirements!$AD$7+NSG_Requirements!$AE$7)/1000</f>
        <v>0</v>
      </c>
      <c r="E17" s="849">
        <f>(NSG_Requirements!$AB$8+NSG_Requirements!$AC$8+NSG_Requirements!$AD$8+NSG_Requirements!$AE$8)/1000</f>
        <v>0</v>
      </c>
      <c r="F17" s="849">
        <f>(NSG_Requirements!$AB$9+NSG_Requirements!$AC9+NSG_Requirements!$AD$9+NSG_Requirements!$AE$9)/1000</f>
        <v>0</v>
      </c>
      <c r="G17" s="849">
        <f>(NSG_Requirements!$AB$10+NSG_Requirements!$AC$10+NSG_Requirements!$AD$10+NSG_Requirements!$AE$10)/1000</f>
        <v>0</v>
      </c>
      <c r="H17" s="849">
        <f>(NSG_Requirements!$Y$11+NSG_Requirements!$Z$11+NSG_Requirements!$AA$11+NSG_Requirements!$AE$11)/1000</f>
        <v>0</v>
      </c>
      <c r="I17" s="854">
        <f>(NSG_Requirements!$Y$12+NSG_Requirements!$Z$12+NSG_Requirements!$AA$12+NSG_Requirements!$AE$12)/1000</f>
        <v>0</v>
      </c>
      <c r="J17" s="113"/>
    </row>
    <row r="18" spans="1:10" ht="20.100000000000001" customHeight="1">
      <c r="A18" s="866" t="s">
        <v>165</v>
      </c>
      <c r="B18" s="867" t="s">
        <v>401</v>
      </c>
      <c r="C18" s="867"/>
      <c r="D18" s="882">
        <f>NSG_Requirements!B7/1000</f>
        <v>0</v>
      </c>
      <c r="E18" s="882">
        <f>NSG_Requirements!B8/1000</f>
        <v>0</v>
      </c>
      <c r="F18" s="882">
        <f>NSG_Requirements!B9/1000</f>
        <v>0</v>
      </c>
      <c r="G18" s="882">
        <f>NSG_Requirements!B10/1000</f>
        <v>0</v>
      </c>
      <c r="H18" s="882">
        <f>NSG_Requirements!B11/1000</f>
        <v>0</v>
      </c>
      <c r="I18" s="883">
        <f>NSG_Requirements!B12/1000</f>
        <v>0</v>
      </c>
      <c r="J18" s="112"/>
    </row>
    <row r="19" spans="1:10" ht="20.100000000000001" customHeight="1" thickBot="1">
      <c r="A19" s="884" t="s">
        <v>151</v>
      </c>
      <c r="B19" s="874"/>
      <c r="C19" s="874"/>
      <c r="D19" s="858">
        <f t="shared" ref="D19:I19" ca="1" si="1">SUM(D6:D18)</f>
        <v>60.54</v>
      </c>
      <c r="E19" s="858">
        <f t="shared" ca="1" si="1"/>
        <v>64</v>
      </c>
      <c r="F19" s="858">
        <f t="shared" ca="1" si="1"/>
        <v>64</v>
      </c>
      <c r="G19" s="858">
        <f t="shared" ca="1" si="1"/>
        <v>64</v>
      </c>
      <c r="H19" s="858">
        <f t="shared" ca="1" si="1"/>
        <v>60</v>
      </c>
      <c r="I19" s="859">
        <f t="shared" ca="1" si="1"/>
        <v>58</v>
      </c>
      <c r="J19" s="112"/>
    </row>
    <row r="20" spans="1:10" ht="20.100000000000001" customHeight="1" thickTop="1" thickBot="1">
      <c r="A20" s="885"/>
      <c r="B20" s="886"/>
      <c r="C20" s="886"/>
      <c r="D20" s="887"/>
      <c r="E20" s="887"/>
      <c r="F20" s="887"/>
      <c r="G20" s="887"/>
      <c r="H20" s="887"/>
      <c r="I20" s="887"/>
      <c r="J20" s="113"/>
    </row>
    <row r="21" spans="1:10" ht="20.100000000000001" customHeight="1" thickTop="1" thickBot="1">
      <c r="A21" s="888" t="s">
        <v>152</v>
      </c>
      <c r="B21" s="862"/>
      <c r="C21" s="862"/>
      <c r="D21" s="863"/>
      <c r="E21" s="863"/>
      <c r="F21" s="863"/>
      <c r="G21" s="863"/>
      <c r="H21" s="863"/>
      <c r="I21" s="864"/>
      <c r="J21" s="112"/>
    </row>
    <row r="22" spans="1:10" ht="20.100000000000001" customHeight="1" thickTop="1">
      <c r="A22" s="848" t="s">
        <v>772</v>
      </c>
      <c r="B22" s="839" t="s">
        <v>145</v>
      </c>
      <c r="C22" s="839" t="s">
        <v>166</v>
      </c>
      <c r="D22" s="849">
        <f>NSG_Supplies!H7/1000</f>
        <v>0</v>
      </c>
      <c r="E22" s="849">
        <f>NSG_Supplies!H8/1000</f>
        <v>0</v>
      </c>
      <c r="F22" s="849">
        <f>NSG_Supplies!H9/1000</f>
        <v>0</v>
      </c>
      <c r="G22" s="849">
        <f>NSG_Supplies!H10/1000</f>
        <v>0</v>
      </c>
      <c r="H22" s="849">
        <f>NSG_Supplies!H11/1000</f>
        <v>0</v>
      </c>
      <c r="I22" s="850">
        <f>NSG_Supplies!H12/1000</f>
        <v>0</v>
      </c>
      <c r="J22" s="112"/>
    </row>
    <row r="23" spans="1:10" ht="20.100000000000001" customHeight="1">
      <c r="A23" s="848"/>
      <c r="B23" s="839" t="s">
        <v>143</v>
      </c>
      <c r="C23" s="839" t="s">
        <v>154</v>
      </c>
      <c r="D23" s="849">
        <f>NSG_Supplies!L7/1000</f>
        <v>0</v>
      </c>
      <c r="E23" s="849">
        <f>NSG_Supplies!L8/1000</f>
        <v>0</v>
      </c>
      <c r="F23" s="849">
        <f>NSG_Supplies!L9/1000</f>
        <v>0</v>
      </c>
      <c r="G23" s="849">
        <f>NSG_Supplies!L10/1000</f>
        <v>0</v>
      </c>
      <c r="H23" s="849">
        <f>NSG_Supplies!L11/1000</f>
        <v>0</v>
      </c>
      <c r="I23" s="850">
        <f>NSG_Supplies!L12/1000</f>
        <v>0</v>
      </c>
      <c r="J23" s="112"/>
    </row>
    <row r="24" spans="1:10" ht="20.100000000000001" customHeight="1">
      <c r="A24" s="848"/>
      <c r="B24" s="839"/>
      <c r="C24" s="839" t="s">
        <v>10</v>
      </c>
      <c r="D24" s="849">
        <f>NSG_Supplies!E7/1000</f>
        <v>0</v>
      </c>
      <c r="E24" s="849">
        <f>NSG_Supplies!E8/1000</f>
        <v>0</v>
      </c>
      <c r="F24" s="849">
        <f>NSG_Supplies!E9/1000</f>
        <v>0</v>
      </c>
      <c r="G24" s="849">
        <f>NSG_Supplies!E10/1000</f>
        <v>0</v>
      </c>
      <c r="H24" s="849">
        <f>NSG_Supplies!E11/1000</f>
        <v>0</v>
      </c>
      <c r="I24" s="854">
        <f>NSG_Supplies!E12/1000</f>
        <v>0</v>
      </c>
      <c r="J24" s="113"/>
    </row>
    <row r="25" spans="1:10" ht="20.100000000000001" customHeight="1">
      <c r="A25" s="848"/>
      <c r="B25" s="839" t="s">
        <v>141</v>
      </c>
      <c r="C25" s="853" t="s">
        <v>90</v>
      </c>
      <c r="D25" s="849">
        <f>NSG_Supplies!F7/1000</f>
        <v>9</v>
      </c>
      <c r="E25" s="849">
        <f>NSG_Supplies!F8/1000</f>
        <v>9</v>
      </c>
      <c r="F25" s="849">
        <f>NSG_Supplies!F9/1000</f>
        <v>9</v>
      </c>
      <c r="G25" s="849">
        <f>NSG_Supplies!F10/1000</f>
        <v>9</v>
      </c>
      <c r="H25" s="849">
        <f>NSG_Supplies!F11/1000</f>
        <v>9</v>
      </c>
      <c r="I25" s="854">
        <f>NSG_Supplies!F12/1000</f>
        <v>9</v>
      </c>
      <c r="J25" s="113"/>
    </row>
    <row r="26" spans="1:10" ht="20.100000000000001" customHeight="1">
      <c r="A26" s="848"/>
      <c r="B26" s="839" t="s">
        <v>83</v>
      </c>
      <c r="C26" s="839" t="s">
        <v>773</v>
      </c>
      <c r="D26" s="849">
        <f>NSG_Supplies!U7/1000</f>
        <v>0</v>
      </c>
      <c r="E26" s="849">
        <f>NSG_Supplies!U8/1000</f>
        <v>0</v>
      </c>
      <c r="F26" s="849">
        <f>NSG_Supplies!U9/1000</f>
        <v>0</v>
      </c>
      <c r="G26" s="849">
        <f>NSG_Supplies!U10/1000</f>
        <v>0</v>
      </c>
      <c r="H26" s="849">
        <f>NSG_Supplies!U11/1000</f>
        <v>0</v>
      </c>
      <c r="I26" s="854">
        <f>NSG_Supplies!U12/1000</f>
        <v>0</v>
      </c>
      <c r="J26" s="113"/>
    </row>
    <row r="27" spans="1:10" ht="20.100000000000001" customHeight="1">
      <c r="A27" s="851" t="s">
        <v>167</v>
      </c>
      <c r="B27" s="855" t="s">
        <v>143</v>
      </c>
      <c r="C27" s="855"/>
      <c r="D27" s="849">
        <f>(PGL_Requirements!$V$7+PGL_Requirements!$W$7+PGL_Requirements!$X$7)/1000</f>
        <v>0</v>
      </c>
      <c r="E27" s="849">
        <f>(PGL_Requirements!$V$8+PGL_Requirements!$W$8+PGL_Requirements!$X$8)/1000</f>
        <v>0</v>
      </c>
      <c r="F27" s="849">
        <f>(PGL_Requirements!$V$9+PGL_Requirements!$W$9+PGL_Requirements!$X$9)/1000</f>
        <v>0</v>
      </c>
      <c r="G27" s="849">
        <f>(PGL_Requirements!$V$10+PGL_Requirements!$W$10+PGL_Requirements!$X$10)/1000</f>
        <v>0</v>
      </c>
      <c r="H27" s="849">
        <f>(PGL_Requirements!$V$11+PGL_Requirements!$W$11+PGL_Requirements!$X$11)/1000</f>
        <v>0</v>
      </c>
      <c r="I27" s="850">
        <f>(PGL_Requirements!$V$12+PGL_Requirements!$W$12+PGL_Requirements!$X$12)/1000</f>
        <v>0</v>
      </c>
      <c r="J27" s="112"/>
    </row>
    <row r="28" spans="1:10" ht="20.100000000000001" customHeight="1">
      <c r="A28" s="848"/>
      <c r="B28" s="855" t="s">
        <v>141</v>
      </c>
      <c r="C28" s="855"/>
      <c r="D28" s="849">
        <f>(PGL_Requirements!$Y$7+PGL_Requirements!$AA$7+PGL_Requirements!$Z$7+PGL_Requirements!$AB$7)/1000</f>
        <v>0</v>
      </c>
      <c r="E28" s="849">
        <f>(PGL_Requirements!$Y$8+PGL_Requirements!$AA$8+PGL_Requirements!$Z$8+PGL_Requirements!$AB$8)/1000</f>
        <v>0</v>
      </c>
      <c r="F28" s="849">
        <f>(PGL_Requirements!$Y$9+PGL_Requirements!$AA$9+PGL_Requirements!$Z$9+PGL_Requirements!$AB$9)/1000</f>
        <v>0</v>
      </c>
      <c r="G28" s="849">
        <f>(PGL_Requirements!$Y$10+PGL_Requirements!$AA$10+PGL_Requirements!$Z$10+PGL_Requirements!$AB$10)/1000</f>
        <v>0</v>
      </c>
      <c r="H28" s="849">
        <f>(PGL_Requirements!$Y$11+PGL_Requirements!$AA$11+PGL_Requirements!$Z$11+PGL_Requirements!$AB$11)/1000</f>
        <v>0</v>
      </c>
      <c r="I28" s="850">
        <f>(PGL_Requirements!$Y$12+PGL_Requirements!$AA$12+PGL_Requirements!$Z$12+PGL_Requirements!$AB$12)/1000</f>
        <v>0</v>
      </c>
      <c r="J28" s="112"/>
    </row>
    <row r="29" spans="1:10" ht="20.100000000000001" customHeight="1">
      <c r="A29" s="848"/>
      <c r="B29" s="855" t="s">
        <v>147</v>
      </c>
      <c r="C29" s="839"/>
      <c r="D29" s="849">
        <f>(PGL_Requirements!$AC$7+PGL_Requirements!$AD$7+PGL_Requirements!$AE$7)/1000</f>
        <v>0</v>
      </c>
      <c r="E29" s="849">
        <f>(PGL_Requirements!$AC$8+PGL_Requirements!$AD$8+PGL_Requirements!$AE$8)/1000</f>
        <v>0</v>
      </c>
      <c r="F29" s="849">
        <f>(PGL_Requirements!$AC$9+PGL_Requirements!$AD$9+PGL_Requirements!$AE$9)/1000</f>
        <v>0</v>
      </c>
      <c r="G29" s="849">
        <f>(PGL_Requirements!$AC$10+PGL_Requirements!$AD$10+PGL_Requirements!$AE$10)/1000</f>
        <v>0</v>
      </c>
      <c r="H29" s="849">
        <f>(PGL_Requirements!$AC$11+PGL_Requirements!$AD$11+PGL_Requirements!$AE$11)/1000</f>
        <v>0</v>
      </c>
      <c r="I29" s="850">
        <f>(PGL_Requirements!$AC$12+PGL_Requirements!$AD$12+PGL_Requirements!$AE$12)/1000</f>
        <v>0</v>
      </c>
      <c r="J29" s="112"/>
    </row>
    <row r="30" spans="1:10" ht="20.100000000000001" customHeight="1">
      <c r="A30" s="848"/>
      <c r="B30" s="839" t="s">
        <v>416</v>
      </c>
      <c r="C30" s="839"/>
      <c r="D30" s="849">
        <v>0</v>
      </c>
      <c r="E30" s="849">
        <v>0</v>
      </c>
      <c r="F30" s="849">
        <v>0</v>
      </c>
      <c r="G30" s="849">
        <v>0</v>
      </c>
      <c r="H30" s="849">
        <v>0</v>
      </c>
      <c r="I30" s="850">
        <v>0</v>
      </c>
      <c r="J30" s="112"/>
    </row>
    <row r="31" spans="1:10" ht="20.100000000000001" customHeight="1">
      <c r="A31" s="848" t="s">
        <v>168</v>
      </c>
      <c r="B31" s="839" t="s">
        <v>143</v>
      </c>
      <c r="C31" s="839" t="s">
        <v>169</v>
      </c>
      <c r="D31" s="849">
        <f>NSG_Supplies!P7/1000</f>
        <v>0</v>
      </c>
      <c r="E31" s="849">
        <f>NSG_Supplies!P8/1000</f>
        <v>0</v>
      </c>
      <c r="F31" s="849">
        <f>NSG_Supplies!P9/1000</f>
        <v>0</v>
      </c>
      <c r="G31" s="849">
        <f>NSG_Supplies!P10/1000</f>
        <v>0</v>
      </c>
      <c r="H31" s="849">
        <f>NSG_Supplies!P11/1000</f>
        <v>0</v>
      </c>
      <c r="I31" s="850">
        <f>NSG_Supplies!P12/1000</f>
        <v>0</v>
      </c>
      <c r="J31" s="112"/>
    </row>
    <row r="32" spans="1:10" ht="20.100000000000001" customHeight="1">
      <c r="A32" s="848"/>
      <c r="B32" s="839" t="s">
        <v>141</v>
      </c>
      <c r="C32" s="1168" t="s">
        <v>774</v>
      </c>
      <c r="D32" s="849">
        <f>NSG_Supplies!R7/1000</f>
        <v>31.536000000000001</v>
      </c>
      <c r="E32" s="849">
        <f>NSG_Supplies!R8/1000</f>
        <v>31.456</v>
      </c>
      <c r="F32" s="849">
        <f>NSG_Supplies!R9/1000</f>
        <v>31.536000000000001</v>
      </c>
      <c r="G32" s="849">
        <f>NSG_Supplies!R10/1000</f>
        <v>31.536000000000001</v>
      </c>
      <c r="H32" s="849">
        <f>NSG_Supplies!R11/1000</f>
        <v>31.536000000000001</v>
      </c>
      <c r="I32" s="850">
        <f>NSG_Supplies!R12/1000</f>
        <v>31.536000000000001</v>
      </c>
      <c r="J32" s="112"/>
    </row>
    <row r="33" spans="1:13" ht="20.100000000000001" customHeight="1">
      <c r="A33" s="848"/>
      <c r="B33" s="839" t="s">
        <v>143</v>
      </c>
      <c r="C33" s="839" t="s">
        <v>639</v>
      </c>
      <c r="D33" s="849">
        <f>NSG_Supplies!Q7/1000</f>
        <v>20</v>
      </c>
      <c r="E33" s="849">
        <f>NSG_Supplies!Q8/1000</f>
        <v>20</v>
      </c>
      <c r="F33" s="849">
        <f>NSG_Supplies!Q9/1000</f>
        <v>20</v>
      </c>
      <c r="G33" s="849">
        <f>NSG_Supplies!Q10/1000</f>
        <v>20</v>
      </c>
      <c r="H33" s="849">
        <f>NSG_Supplies!Q11/1000</f>
        <v>20</v>
      </c>
      <c r="I33" s="850">
        <f>NSG_Supplies!Q12/1000</f>
        <v>20</v>
      </c>
      <c r="J33" s="112"/>
    </row>
    <row r="34" spans="1:13" ht="20.100000000000001" customHeight="1">
      <c r="A34" s="848" t="s">
        <v>160</v>
      </c>
      <c r="B34" s="839" t="s">
        <v>147</v>
      </c>
      <c r="C34" s="839" t="s">
        <v>170</v>
      </c>
      <c r="D34" s="849">
        <f>NSG_Supplies!O7/1000</f>
        <v>0</v>
      </c>
      <c r="E34" s="849">
        <f>NSG_Supplies!O8/1000</f>
        <v>0</v>
      </c>
      <c r="F34" s="849">
        <f>NSG_Supplies!O9/1000</f>
        <v>0</v>
      </c>
      <c r="G34" s="849">
        <f>NSG_Supplies!O10/1000</f>
        <v>0</v>
      </c>
      <c r="H34" s="849">
        <f>NSG_Supplies!O11/1000</f>
        <v>0</v>
      </c>
      <c r="I34" s="854">
        <f>NSG_Supplies!O12/1000</f>
        <v>0</v>
      </c>
      <c r="J34" s="112"/>
    </row>
    <row r="35" spans="1:13" ht="20.100000000000001" customHeight="1">
      <c r="A35" s="848"/>
      <c r="B35" s="839" t="s">
        <v>416</v>
      </c>
      <c r="C35" s="853" t="s">
        <v>524</v>
      </c>
      <c r="D35" s="849">
        <f>NSG_Supplies!N7/1000</f>
        <v>0</v>
      </c>
      <c r="E35" s="849">
        <f>NSG_Supplies!N8/1000</f>
        <v>0</v>
      </c>
      <c r="F35" s="849">
        <f>NSG_Supplies!N9/1000</f>
        <v>0</v>
      </c>
      <c r="G35" s="849">
        <f>NSG_Supplies!N10/1000</f>
        <v>0</v>
      </c>
      <c r="H35" s="849">
        <f>NSG_Supplies!N11/1000</f>
        <v>0</v>
      </c>
      <c r="I35" s="854">
        <f>NSG_Supplies!N12/1000</f>
        <v>0</v>
      </c>
      <c r="J35" s="112"/>
    </row>
    <row r="36" spans="1:13" ht="20.100000000000001" customHeight="1">
      <c r="A36" s="866"/>
      <c r="B36" s="867" t="s">
        <v>401</v>
      </c>
      <c r="C36" s="867"/>
      <c r="D36" s="882">
        <f>NSG_Supplies!B7/1000</f>
        <v>0</v>
      </c>
      <c r="E36" s="882">
        <f>NSG_Supplies!B8/1000</f>
        <v>0</v>
      </c>
      <c r="F36" s="882">
        <f>NSG_Supplies!B9/1000</f>
        <v>0</v>
      </c>
      <c r="G36" s="882">
        <f>NSG_Supplies!B10/1000</f>
        <v>0</v>
      </c>
      <c r="H36" s="882">
        <f>NSG_Supplies!B11/1000</f>
        <v>0</v>
      </c>
      <c r="I36" s="868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9" t="s">
        <v>160</v>
      </c>
      <c r="B37" s="870"/>
      <c r="C37" s="870"/>
      <c r="D37" s="889">
        <f t="shared" ref="D37:I37" si="2">SUM(D22:D36)</f>
        <v>60.536000000000001</v>
      </c>
      <c r="E37" s="889">
        <f t="shared" si="2"/>
        <v>60.456000000000003</v>
      </c>
      <c r="F37" s="889">
        <f t="shared" si="2"/>
        <v>60.536000000000001</v>
      </c>
      <c r="G37" s="889">
        <f t="shared" si="2"/>
        <v>60.536000000000001</v>
      </c>
      <c r="H37" s="889">
        <f t="shared" si="2"/>
        <v>60.536000000000001</v>
      </c>
      <c r="I37" s="890">
        <f t="shared" si="2"/>
        <v>60.536000000000001</v>
      </c>
      <c r="J37" s="112"/>
      <c r="K37" s="113"/>
      <c r="L37" s="95"/>
      <c r="M37" s="113"/>
    </row>
    <row r="38" spans="1:13" ht="20.100000000000001" customHeight="1">
      <c r="A38" s="891" t="s">
        <v>161</v>
      </c>
      <c r="B38" s="892"/>
      <c r="C38" s="892"/>
      <c r="D38" s="893">
        <f t="shared" ref="D38:I38" ca="1" si="3">IF(D37-D19&lt;0,0,D37-D19)</f>
        <v>0</v>
      </c>
      <c r="E38" s="893">
        <f t="shared" ca="1" si="3"/>
        <v>0</v>
      </c>
      <c r="F38" s="893">
        <f t="shared" ca="1" si="3"/>
        <v>0</v>
      </c>
      <c r="G38" s="893">
        <f t="shared" ca="1" si="3"/>
        <v>0</v>
      </c>
      <c r="H38" s="893">
        <f t="shared" ca="1" si="3"/>
        <v>0.53600000000000136</v>
      </c>
      <c r="I38" s="894">
        <f t="shared" ca="1" si="3"/>
        <v>2.5360000000000014</v>
      </c>
      <c r="J38" s="112"/>
      <c r="K38" s="113"/>
      <c r="L38" s="95"/>
      <c r="M38" s="113"/>
    </row>
    <row r="39" spans="1:13" ht="20.100000000000001" customHeight="1" thickBot="1">
      <c r="A39" s="895" t="s">
        <v>162</v>
      </c>
      <c r="B39" s="874"/>
      <c r="C39" s="874"/>
      <c r="D39" s="875">
        <f t="shared" ref="D39:I39" ca="1" si="4">IF(D19-D37&lt;0,0,D19-D37)</f>
        <v>3.9999999999977831E-3</v>
      </c>
      <c r="E39" s="875">
        <f t="shared" ca="1" si="4"/>
        <v>3.5439999999999969</v>
      </c>
      <c r="F39" s="875">
        <f t="shared" ca="1" si="4"/>
        <v>3.4639999999999986</v>
      </c>
      <c r="G39" s="875">
        <f t="shared" ca="1" si="4"/>
        <v>3.4639999999999986</v>
      </c>
      <c r="H39" s="875">
        <f t="shared" ca="1" si="4"/>
        <v>0</v>
      </c>
      <c r="I39" s="876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69" t="s">
        <v>775</v>
      </c>
      <c r="B40" s="1170"/>
      <c r="C40" s="1170"/>
      <c r="D40" s="1171">
        <f>NSG_Supplies!S7/1000</f>
        <v>20.591000000000001</v>
      </c>
      <c r="E40" s="1171">
        <f>NSG_Supplies!S8/1000</f>
        <v>20.591000000000001</v>
      </c>
      <c r="F40" s="1171">
        <f>NSG_Supplies!S9/1000</f>
        <v>20.591000000000001</v>
      </c>
      <c r="G40" s="1171">
        <f>NSG_Supplies!S10/1000</f>
        <v>20.591000000000001</v>
      </c>
      <c r="H40" s="1171">
        <f>NSG_Supplies!S11/1000</f>
        <v>20.591000000000001</v>
      </c>
      <c r="I40" s="1172">
        <f>NSG_Supplies!S12/1000</f>
        <v>20.591000000000001</v>
      </c>
    </row>
    <row r="41" spans="1:13" ht="20.100000000000001" customHeight="1" thickTop="1" thickBot="1">
      <c r="B41" s="897"/>
      <c r="C41" s="897"/>
      <c r="D41" s="897"/>
      <c r="E41" s="897"/>
      <c r="F41" s="897"/>
      <c r="G41" s="896"/>
      <c r="H41" s="896"/>
      <c r="I41" s="896"/>
    </row>
    <row r="42" spans="1:13" ht="20.100000000000001" customHeight="1" thickTop="1" thickBot="1">
      <c r="A42" s="898" t="s">
        <v>171</v>
      </c>
      <c r="B42" s="899"/>
      <c r="C42" s="899"/>
      <c r="D42" s="900">
        <f>Weather_Input!D5</f>
        <v>12</v>
      </c>
      <c r="E42" s="900">
        <f>Weather_Input!D6</f>
        <v>15</v>
      </c>
      <c r="F42" s="900">
        <f>Weather_Input!D7</f>
        <v>12</v>
      </c>
      <c r="G42" s="901"/>
      <c r="H42" s="896"/>
      <c r="I42" s="896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51" zoomScale="75" workbookViewId="0">
      <selection activeCell="E66" sqref="E66"/>
    </sheetView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7" t="s">
        <v>172</v>
      </c>
      <c r="B1" s="588"/>
      <c r="C1" s="588"/>
      <c r="D1" s="588"/>
      <c r="E1" s="589" t="s">
        <v>173</v>
      </c>
      <c r="F1" s="590">
        <f>Weather_Input!A5</f>
        <v>37018</v>
      </c>
      <c r="G1" s="770" t="str">
        <f>CHOOSE(WEEKDAY(F1),"SUN","MON","TUE","WED","THU","FRI","SAT")</f>
        <v>MON</v>
      </c>
      <c r="H1" s="592" t="s">
        <v>258</v>
      </c>
      <c r="I1" s="593"/>
    </row>
    <row r="2" spans="1:9" ht="15.75">
      <c r="A2" s="258" t="s">
        <v>11</v>
      </c>
      <c r="B2" s="609" t="s">
        <v>690</v>
      </c>
      <c r="C2" s="961">
        <v>60.5</v>
      </c>
      <c r="D2" s="601" t="s">
        <v>556</v>
      </c>
      <c r="E2" s="608"/>
      <c r="F2" s="606" t="s">
        <v>557</v>
      </c>
      <c r="G2" s="607" t="s">
        <v>11</v>
      </c>
      <c r="H2" s="605" t="s">
        <v>174</v>
      </c>
      <c r="I2" s="260"/>
    </row>
    <row r="3" spans="1:9">
      <c r="A3" s="787" t="s">
        <v>535</v>
      </c>
      <c r="B3" s="600" t="s">
        <v>409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75">
      <c r="A4" s="258" t="s">
        <v>11</v>
      </c>
      <c r="B4" s="962">
        <f>Weather_Input!B5</f>
        <v>66</v>
      </c>
      <c r="C4" s="963">
        <f>Weather_Input!C5</f>
        <v>46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75">
      <c r="A5" s="258" t="s">
        <v>629</v>
      </c>
      <c r="B5" s="964"/>
      <c r="C5" s="965">
        <f>PGL_Requirements!H7/1000</f>
        <v>0</v>
      </c>
      <c r="D5" s="620"/>
      <c r="E5" s="302"/>
      <c r="F5" s="620"/>
      <c r="G5" s="607"/>
      <c r="H5" s="302"/>
      <c r="I5" s="296"/>
    </row>
    <row r="6" spans="1:9" ht="15.75">
      <c r="A6" s="262" t="s">
        <v>419</v>
      </c>
      <c r="B6" s="1161" t="s">
        <v>11</v>
      </c>
      <c r="C6" s="966">
        <f>PGL_Deliveries!C5/1000</f>
        <v>245</v>
      </c>
      <c r="D6" s="1161" t="s">
        <v>11</v>
      </c>
      <c r="E6" s="269"/>
      <c r="F6" s="602"/>
      <c r="G6" s="269"/>
      <c r="H6" s="602"/>
      <c r="I6" s="267"/>
    </row>
    <row r="7" spans="1:9" ht="15.75" thickBot="1">
      <c r="A7" s="249" t="s">
        <v>769</v>
      </c>
      <c r="B7" s="1162"/>
      <c r="C7" s="1134">
        <f>PGL_Requirements!I7/1000</f>
        <v>0</v>
      </c>
      <c r="D7" s="122"/>
      <c r="E7" s="122"/>
      <c r="F7" s="1162"/>
      <c r="G7" s="1163"/>
      <c r="H7" s="122"/>
      <c r="I7" s="118"/>
    </row>
    <row r="8" spans="1:9" ht="16.5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560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743</v>
      </c>
      <c r="B10" s="1113"/>
      <c r="C10" s="1130">
        <f>+B34</f>
        <v>172.51499999999999</v>
      </c>
      <c r="D10" s="1113"/>
      <c r="E10" s="434"/>
      <c r="F10" s="1113"/>
      <c r="G10" s="1117"/>
      <c r="H10" s="434"/>
      <c r="I10" s="285" t="s">
        <v>11</v>
      </c>
    </row>
    <row r="11" spans="1:9">
      <c r="A11" s="493" t="s">
        <v>561</v>
      </c>
      <c r="B11" s="282" t="s">
        <v>11</v>
      </c>
      <c r="C11" s="614">
        <f>B41</f>
        <v>0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562</v>
      </c>
      <c r="B12" s="282" t="s">
        <v>11</v>
      </c>
      <c r="C12" s="614">
        <f>B55</f>
        <v>-157.63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563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564</v>
      </c>
      <c r="B14" s="286" t="s">
        <v>11</v>
      </c>
      <c r="C14" s="614">
        <f>I66</f>
        <v>174.90299999999999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422</v>
      </c>
      <c r="B15" s="282" t="s">
        <v>11</v>
      </c>
      <c r="C15" s="967">
        <f>PGL_Supplies!I7/1000</f>
        <v>15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565</v>
      </c>
      <c r="B16" s="282" t="s">
        <v>172</v>
      </c>
      <c r="C16" s="614">
        <f>+B63</f>
        <v>0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566</v>
      </c>
      <c r="B17" s="282" t="s">
        <v>172</v>
      </c>
      <c r="C17" s="967">
        <f>PGL_Supplies!B7/1000</f>
        <v>0</v>
      </c>
      <c r="D17" s="620"/>
      <c r="E17" s="269"/>
      <c r="F17" s="602"/>
      <c r="G17" s="269" t="s">
        <v>11</v>
      </c>
      <c r="H17" s="602"/>
      <c r="I17" s="267"/>
    </row>
    <row r="18" spans="1:12" ht="15.75" thickBot="1">
      <c r="A18" s="292" t="s">
        <v>567</v>
      </c>
      <c r="B18" s="615" t="s">
        <v>11</v>
      </c>
      <c r="C18" s="1134">
        <f>PGL_Requirements!G7/1000</f>
        <v>0</v>
      </c>
      <c r="D18" s="601"/>
      <c r="E18" s="269"/>
      <c r="F18" s="602"/>
      <c r="G18" s="269"/>
      <c r="H18" s="602"/>
      <c r="I18" s="267"/>
    </row>
    <row r="19" spans="1:12" ht="16.5" thickBot="1">
      <c r="A19" s="616" t="s">
        <v>697</v>
      </c>
      <c r="B19" s="617" t="s">
        <v>11</v>
      </c>
      <c r="C19" s="511">
        <f>SUM(C9:C17)-C18</f>
        <v>204.78799999999998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5" thickBot="1">
      <c r="A20" s="504" t="s">
        <v>38</v>
      </c>
      <c r="B20" s="505" t="s">
        <v>11</v>
      </c>
      <c r="C20" s="968"/>
      <c r="D20" s="507"/>
      <c r="E20" s="509"/>
      <c r="F20" s="507"/>
      <c r="G20" s="507" t="s">
        <v>644</v>
      </c>
      <c r="H20" s="507"/>
      <c r="I20" s="969"/>
    </row>
    <row r="21" spans="1:12">
      <c r="A21" s="493" t="s">
        <v>630</v>
      </c>
      <c r="B21" s="282" t="s">
        <v>11</v>
      </c>
      <c r="C21" s="970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3" t="s">
        <v>425</v>
      </c>
      <c r="B22" s="282" t="s">
        <v>11</v>
      </c>
      <c r="C22" s="614">
        <f>C6+C7-C19</f>
        <v>40.212000000000018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426</v>
      </c>
      <c r="B23" s="282" t="s">
        <v>11</v>
      </c>
      <c r="C23" s="614"/>
      <c r="D23" s="266"/>
      <c r="E23" s="269"/>
      <c r="F23" s="297" t="s">
        <v>11</v>
      </c>
      <c r="G23" s="971"/>
      <c r="H23" s="297" t="s">
        <v>11</v>
      </c>
      <c r="I23" s="260"/>
    </row>
    <row r="24" spans="1:12" ht="16.5" thickBot="1">
      <c r="A24" s="493" t="s">
        <v>427</v>
      </c>
      <c r="B24" s="972" t="s">
        <v>11</v>
      </c>
      <c r="C24" s="973">
        <f>SUM(B54+B56+B57)</f>
        <v>2.37</v>
      </c>
      <c r="D24" s="259"/>
      <c r="E24" s="271"/>
      <c r="F24" s="974"/>
      <c r="G24" s="271"/>
      <c r="H24" s="975" t="s">
        <v>11</v>
      </c>
      <c r="I24" s="976" t="s">
        <v>11</v>
      </c>
      <c r="K24" t="s">
        <v>11</v>
      </c>
    </row>
    <row r="25" spans="1:12" ht="17.25" thickTop="1" thickBot="1">
      <c r="A25" s="637" t="s">
        <v>428</v>
      </c>
      <c r="B25" s="977" t="s">
        <v>11</v>
      </c>
      <c r="C25" s="978">
        <f>SUM(C22:C24)</f>
        <v>42.582000000000015</v>
      </c>
      <c r="D25" s="977" t="str">
        <f>B25</f>
        <v xml:space="preserve"> </v>
      </c>
      <c r="E25" s="978" t="s">
        <v>11</v>
      </c>
      <c r="F25" s="977" t="s">
        <v>11</v>
      </c>
      <c r="G25" s="978" t="s">
        <v>11</v>
      </c>
      <c r="H25" s="979" t="s">
        <v>11</v>
      </c>
      <c r="I25" s="980" t="s">
        <v>11</v>
      </c>
    </row>
    <row r="26" spans="1:12" ht="15.75" thickTop="1">
      <c r="A26" s="332" t="s">
        <v>734</v>
      </c>
      <c r="B26" s="981"/>
      <c r="C26" s="970">
        <f>SUM(-PGL_Supplies!M7/1000)</f>
        <v>0</v>
      </c>
      <c r="D26" s="1102" t="s">
        <v>11</v>
      </c>
      <c r="E26" s="1101" t="s">
        <v>11</v>
      </c>
      <c r="F26" s="1103"/>
      <c r="G26" s="1104"/>
      <c r="H26" s="514"/>
      <c r="I26" s="986"/>
    </row>
    <row r="27" spans="1:12" ht="15" customHeight="1">
      <c r="A27" s="493" t="s">
        <v>436</v>
      </c>
      <c r="B27" s="987"/>
      <c r="C27" s="988">
        <f>PGL_Requirements!O7/1000</f>
        <v>17.48</v>
      </c>
      <c r="D27" s="982" t="s">
        <v>11</v>
      </c>
      <c r="E27" s="965" t="s">
        <v>11</v>
      </c>
      <c r="F27" s="307"/>
      <c r="G27" s="965" t="s">
        <v>11</v>
      </c>
      <c r="H27" s="514"/>
      <c r="I27" s="983" t="s">
        <v>11</v>
      </c>
      <c r="L27" s="122"/>
    </row>
    <row r="28" spans="1:12">
      <c r="A28" s="493" t="s">
        <v>437</v>
      </c>
      <c r="B28" s="989"/>
      <c r="C28" s="984">
        <f>-PGL_Supplies!L7/1000</f>
        <v>0</v>
      </c>
      <c r="D28" s="985" t="s">
        <v>11</v>
      </c>
      <c r="E28" s="984" t="s">
        <v>11</v>
      </c>
      <c r="F28" s="307"/>
      <c r="G28" s="984" t="s">
        <v>11</v>
      </c>
      <c r="H28" s="514"/>
      <c r="I28" s="990" t="s">
        <v>11</v>
      </c>
      <c r="L28" s="1100"/>
    </row>
    <row r="29" spans="1:12">
      <c r="A29" s="425" t="s">
        <v>197</v>
      </c>
      <c r="B29" s="991"/>
      <c r="C29" s="984">
        <f>-PGL_Supplies!AC7/1000</f>
        <v>-60.064</v>
      </c>
      <c r="D29" s="985" t="s">
        <v>11</v>
      </c>
      <c r="E29" s="984">
        <f>-PGL_Supplies!AC7/1000</f>
        <v>-60.064</v>
      </c>
      <c r="F29" s="307"/>
      <c r="G29" s="984">
        <f>-PGL_Supplies!AC7/1000</f>
        <v>-60.064</v>
      </c>
      <c r="H29" s="514"/>
      <c r="I29" s="986">
        <f>-PGL_Supplies!AC7/1000</f>
        <v>-60.064</v>
      </c>
      <c r="L29" s="1100"/>
    </row>
    <row r="30" spans="1:12" ht="16.5" thickBot="1">
      <c r="A30" s="326" t="s">
        <v>11</v>
      </c>
      <c r="B30" s="487" t="s">
        <v>11</v>
      </c>
      <c r="C30" s="1184" t="s">
        <v>743</v>
      </c>
      <c r="D30" s="486"/>
      <c r="E30" s="328"/>
      <c r="F30" s="329" t="s">
        <v>202</v>
      </c>
      <c r="G30" s="328"/>
      <c r="H30" s="992"/>
      <c r="I30" s="331"/>
      <c r="L30" s="594"/>
    </row>
    <row r="31" spans="1:12">
      <c r="A31" s="425" t="s">
        <v>747</v>
      </c>
      <c r="B31" s="324">
        <f>PGL_Requirements!J7/1000</f>
        <v>0</v>
      </c>
      <c r="C31" s="8"/>
      <c r="D31" s="613"/>
      <c r="E31" s="8"/>
      <c r="F31" s="332" t="s">
        <v>460</v>
      </c>
      <c r="G31" s="544"/>
      <c r="H31" s="523"/>
      <c r="I31" s="336"/>
      <c r="L31" s="1100"/>
    </row>
    <row r="32" spans="1:12">
      <c r="A32" s="425" t="s">
        <v>748</v>
      </c>
      <c r="B32" s="324">
        <f>PGL_Supplies!X7/1000</f>
        <v>0</v>
      </c>
      <c r="C32" s="315" t="s">
        <v>11</v>
      </c>
      <c r="D32" s="313"/>
      <c r="E32" s="333"/>
      <c r="F32" s="425" t="s">
        <v>461</v>
      </c>
      <c r="G32" s="544"/>
      <c r="H32" s="317"/>
      <c r="I32" s="336"/>
      <c r="L32" s="594"/>
    </row>
    <row r="33" spans="1:12" ht="15.75" thickBot="1">
      <c r="A33" s="1131" t="s">
        <v>4</v>
      </c>
      <c r="B33" s="324">
        <f>PGL_Supplies!Y7/1000</f>
        <v>172.51499999999999</v>
      </c>
      <c r="C33" s="1118" t="s">
        <v>11</v>
      </c>
      <c r="D33" s="349"/>
      <c r="E33" s="554"/>
      <c r="F33" s="425" t="s">
        <v>462</v>
      </c>
      <c r="G33" s="544"/>
      <c r="H33" s="317"/>
      <c r="I33" s="336"/>
      <c r="L33" s="1100"/>
    </row>
    <row r="34" spans="1:12" ht="16.5" thickBot="1">
      <c r="A34" s="559" t="s">
        <v>443</v>
      </c>
      <c r="B34" s="1122">
        <f>+B33+B32-B31</f>
        <v>172.51499999999999</v>
      </c>
      <c r="C34" s="1123" t="s">
        <v>11</v>
      </c>
      <c r="D34" s="531"/>
      <c r="E34" s="521"/>
      <c r="F34" s="425" t="s">
        <v>463</v>
      </c>
      <c r="G34" s="544"/>
      <c r="H34" s="317"/>
      <c r="I34" s="336"/>
      <c r="L34" s="1100"/>
    </row>
    <row r="35" spans="1:12" ht="16.5" thickBot="1">
      <c r="A35" s="326" t="s">
        <v>11</v>
      </c>
      <c r="B35" s="1119" t="s">
        <v>11</v>
      </c>
      <c r="C35" s="996" t="s">
        <v>68</v>
      </c>
      <c r="D35" s="1120"/>
      <c r="E35" s="1121"/>
      <c r="F35" s="425" t="s">
        <v>464</v>
      </c>
      <c r="G35" s="544"/>
      <c r="H35" s="317"/>
      <c r="I35" s="993" t="s">
        <v>691</v>
      </c>
      <c r="L35" s="1100"/>
    </row>
    <row r="36" spans="1:12">
      <c r="A36" s="425" t="s">
        <v>632</v>
      </c>
      <c r="B36" s="324">
        <f>PGL_Requirements!U7/1000</f>
        <v>40.200000000000003</v>
      </c>
      <c r="C36" s="594"/>
      <c r="D36" s="313"/>
      <c r="E36" s="333"/>
      <c r="F36" s="370" t="s">
        <v>465</v>
      </c>
      <c r="G36" s="544"/>
      <c r="H36" s="317"/>
      <c r="I36" s="994"/>
      <c r="L36" s="1100"/>
    </row>
    <row r="37" spans="1:12">
      <c r="A37" s="425" t="s">
        <v>713</v>
      </c>
      <c r="B37" s="324">
        <f>PGL_Supplies!R7/1000</f>
        <v>0</v>
      </c>
      <c r="C37" s="313"/>
      <c r="D37" s="313"/>
      <c r="E37" s="333"/>
      <c r="F37" s="425" t="s">
        <v>466</v>
      </c>
      <c r="G37" s="544"/>
      <c r="H37" s="317"/>
      <c r="I37" s="336"/>
      <c r="L37" s="1100"/>
    </row>
    <row r="38" spans="1:12">
      <c r="A38" s="425" t="s">
        <v>441</v>
      </c>
      <c r="B38" s="324">
        <f>PGL_Requirements!C7/1000</f>
        <v>0</v>
      </c>
      <c r="C38" s="1113"/>
      <c r="D38" s="1114"/>
      <c r="E38" s="1010"/>
      <c r="F38" s="425" t="s">
        <v>467</v>
      </c>
      <c r="G38" s="544"/>
      <c r="H38" s="317"/>
      <c r="I38" s="336"/>
      <c r="L38" s="1100"/>
    </row>
    <row r="39" spans="1:12">
      <c r="A39" s="425" t="s">
        <v>442</v>
      </c>
      <c r="B39" s="324">
        <f>PGL_Supplies!C7/1000</f>
        <v>0</v>
      </c>
      <c r="C39" s="1113"/>
      <c r="D39" s="1114"/>
      <c r="E39" s="812"/>
      <c r="F39" s="995" t="s">
        <v>468</v>
      </c>
      <c r="G39" s="122"/>
      <c r="H39" s="549"/>
      <c r="I39" s="336"/>
      <c r="L39" s="1100"/>
    </row>
    <row r="40" spans="1:12" ht="15.75" thickBot="1">
      <c r="A40" s="638" t="s">
        <v>695</v>
      </c>
      <c r="B40" s="324">
        <f>PGL_Supplies!Z7/1000</f>
        <v>40.200000000000003</v>
      </c>
      <c r="C40" s="122"/>
      <c r="D40" s="1112"/>
      <c r="E40" s="122"/>
      <c r="F40" s="547" t="s">
        <v>469</v>
      </c>
      <c r="G40" s="544"/>
      <c r="H40" s="350"/>
      <c r="I40" s="336"/>
      <c r="L40" s="594"/>
    </row>
    <row r="41" spans="1:12" ht="16.5" thickBot="1">
      <c r="A41" s="559" t="s">
        <v>443</v>
      </c>
      <c r="B41" s="566">
        <f>B40+B37-B36-B38+B39</f>
        <v>0</v>
      </c>
      <c r="C41" s="531"/>
      <c r="D41" s="531"/>
      <c r="E41" s="521"/>
      <c r="F41" s="425" t="s">
        <v>470</v>
      </c>
      <c r="G41" s="544"/>
      <c r="H41" s="352"/>
      <c r="I41" s="336"/>
      <c r="L41" s="594"/>
    </row>
    <row r="42" spans="1:12" ht="16.5" thickBot="1">
      <c r="A42" s="555" t="s">
        <v>11</v>
      </c>
      <c r="B42" s="556" t="s">
        <v>11</v>
      </c>
      <c r="C42" s="996" t="s">
        <v>69</v>
      </c>
      <c r="D42" s="558"/>
      <c r="E42" s="997" t="s">
        <v>11</v>
      </c>
      <c r="F42" s="425" t="s">
        <v>471</v>
      </c>
      <c r="G42" s="544"/>
      <c r="H42" s="317"/>
      <c r="I42" s="336"/>
    </row>
    <row r="43" spans="1:12">
      <c r="A43" s="425" t="s">
        <v>518</v>
      </c>
      <c r="B43" s="324">
        <f>NSG_Supplies!O7/1000+PGL_Supplies!AA7/1000</f>
        <v>0</v>
      </c>
      <c r="C43" s="352"/>
      <c r="D43" s="313"/>
      <c r="E43" s="351"/>
      <c r="F43" s="425" t="s">
        <v>403</v>
      </c>
      <c r="G43" s="544"/>
      <c r="H43" s="352"/>
      <c r="I43" s="336"/>
    </row>
    <row r="44" spans="1:12">
      <c r="A44" s="771" t="s">
        <v>519</v>
      </c>
      <c r="B44" s="324">
        <v>0</v>
      </c>
      <c r="C44" s="594"/>
      <c r="D44" s="313"/>
      <c r="E44" s="351"/>
      <c r="F44" s="370" t="s">
        <v>472</v>
      </c>
      <c r="G44" s="548"/>
      <c r="H44" s="539"/>
      <c r="I44" s="336"/>
    </row>
    <row r="45" spans="1:12" ht="15.75" thickBot="1">
      <c r="A45" s="425" t="s">
        <v>446</v>
      </c>
      <c r="B45" s="998">
        <f>PGL_Requirements!D7/1000</f>
        <v>0</v>
      </c>
      <c r="C45" s="352"/>
      <c r="D45" s="313"/>
      <c r="E45" s="351"/>
      <c r="F45" s="370" t="s">
        <v>473</v>
      </c>
      <c r="G45" s="548"/>
      <c r="H45" s="550"/>
      <c r="I45" s="336"/>
    </row>
    <row r="46" spans="1:12" ht="16.5" thickBot="1">
      <c r="A46" s="425" t="s">
        <v>447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5" thickBot="1">
      <c r="A47" s="559" t="s">
        <v>443</v>
      </c>
      <c r="B47" s="999">
        <f>B43+B44-B45+B46</f>
        <v>0</v>
      </c>
      <c r="C47" s="1000"/>
      <c r="D47" s="531"/>
      <c r="E47" s="1001"/>
      <c r="F47" s="528" t="s">
        <v>11</v>
      </c>
      <c r="G47" s="529" t="s">
        <v>474</v>
      </c>
      <c r="H47" s="529" t="s">
        <v>11</v>
      </c>
      <c r="I47" s="360"/>
    </row>
    <row r="48" spans="1:12" ht="16.5" thickBot="1">
      <c r="A48" s="555" t="s">
        <v>11</v>
      </c>
      <c r="B48" s="560" t="s">
        <v>11</v>
      </c>
      <c r="C48" s="996" t="s">
        <v>60</v>
      </c>
      <c r="D48" s="558"/>
      <c r="E48" s="558"/>
      <c r="F48" s="568" t="s">
        <v>426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158</v>
      </c>
      <c r="C49" s="313"/>
      <c r="D49" s="313"/>
      <c r="E49" s="313"/>
      <c r="F49" s="361" t="s">
        <v>475</v>
      </c>
      <c r="G49" s="313"/>
      <c r="H49" s="388" t="s">
        <v>11</v>
      </c>
      <c r="I49" s="366" t="s">
        <v>11</v>
      </c>
    </row>
    <row r="50" spans="1:9" ht="15.75" thickBot="1">
      <c r="A50" s="425" t="s">
        <v>448</v>
      </c>
      <c r="B50" s="324">
        <f>PGL_Supplies!M7/1000</f>
        <v>0</v>
      </c>
      <c r="C50" s="313"/>
      <c r="D50" s="313"/>
      <c r="E50" s="313"/>
      <c r="F50" s="537" t="s">
        <v>476</v>
      </c>
      <c r="G50" s="355"/>
      <c r="H50" s="526" t="s">
        <v>11</v>
      </c>
      <c r="I50" s="407"/>
    </row>
    <row r="51" spans="1:9" ht="15.75" thickBot="1">
      <c r="A51" s="425" t="s">
        <v>449</v>
      </c>
      <c r="B51" s="324">
        <f>SUM(PGL_Requirements!B7/1000)</f>
        <v>0</v>
      </c>
      <c r="C51" s="313"/>
      <c r="D51" s="313"/>
      <c r="E51" s="313"/>
      <c r="F51" s="565" t="s">
        <v>452</v>
      </c>
      <c r="G51" s="531"/>
      <c r="H51" s="566" t="s">
        <v>11</v>
      </c>
      <c r="I51" s="1002" t="s">
        <v>11</v>
      </c>
    </row>
    <row r="52" spans="1:9" ht="16.5" thickBot="1">
      <c r="A52" s="425" t="s">
        <v>450</v>
      </c>
      <c r="B52" s="324">
        <f>PGL_Supplies!H7/1000</f>
        <v>1</v>
      </c>
      <c r="C52" s="313"/>
      <c r="D52" s="313"/>
      <c r="E52" s="313"/>
      <c r="F52" s="358" t="s">
        <v>477</v>
      </c>
      <c r="G52" s="359"/>
      <c r="H52" s="359"/>
      <c r="I52" s="360"/>
    </row>
    <row r="53" spans="1:9">
      <c r="A53" s="370" t="s">
        <v>739</v>
      </c>
      <c r="B53" s="324">
        <f>PGL_Requirements!R7/1000</f>
        <v>0.63</v>
      </c>
      <c r="C53" s="313"/>
      <c r="D53" s="313"/>
      <c r="E53" s="313"/>
      <c r="F53" s="542" t="s">
        <v>478</v>
      </c>
      <c r="G53" s="543"/>
      <c r="H53" s="569" t="s">
        <v>11</v>
      </c>
      <c r="I53" s="570">
        <f>+PGL_Supplies!K7/1000</f>
        <v>0</v>
      </c>
    </row>
    <row r="54" spans="1:9" ht="16.5" thickBot="1">
      <c r="A54" s="425" t="s">
        <v>740</v>
      </c>
      <c r="B54" s="324">
        <f>PGL_Requirements!Q7/1000</f>
        <v>2.37</v>
      </c>
      <c r="C54" s="349"/>
      <c r="D54" s="349"/>
      <c r="E54" s="349"/>
      <c r="F54" s="358" t="s">
        <v>421</v>
      </c>
      <c r="G54" s="359"/>
      <c r="H54" s="359"/>
      <c r="I54" s="360"/>
    </row>
    <row r="55" spans="1:9" ht="16.5" thickBot="1">
      <c r="A55" s="518" t="s">
        <v>452</v>
      </c>
      <c r="B55" s="519">
        <f>-B49+B50+B52+B56+B57-B53-B51</f>
        <v>-157.63</v>
      </c>
      <c r="C55" s="520"/>
      <c r="D55" s="520"/>
      <c r="E55" s="521"/>
      <c r="F55" s="547" t="s">
        <v>480</v>
      </c>
      <c r="G55" s="545"/>
      <c r="H55" s="540"/>
      <c r="I55" s="1003">
        <f>PGL_Requirements!E7/1000</f>
        <v>0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481</v>
      </c>
      <c r="G56" s="544"/>
      <c r="H56" s="1005">
        <f>PGL_Supplies!E7/1000</f>
        <v>0</v>
      </c>
      <c r="I56" s="1006" t="s">
        <v>11</v>
      </c>
    </row>
    <row r="57" spans="1:9" ht="15.75" thickBot="1">
      <c r="A57" s="425" t="s">
        <v>216</v>
      </c>
      <c r="B57" s="1004">
        <v>0</v>
      </c>
      <c r="C57" s="377"/>
      <c r="D57" s="377"/>
      <c r="E57" s="1116"/>
      <c r="F57" s="425" t="s">
        <v>109</v>
      </c>
      <c r="G57" s="573"/>
      <c r="H57" s="1005">
        <f>PGL_Supplies!AB7/1000+NSG_Supplies!N7/1000</f>
        <v>183.85499999999999</v>
      </c>
      <c r="I57" s="1006" t="s">
        <v>11</v>
      </c>
    </row>
    <row r="58" spans="1:9" ht="16.5" thickBot="1">
      <c r="A58" s="639" t="s">
        <v>11</v>
      </c>
      <c r="B58" s="1007"/>
      <c r="C58" s="1008" t="s">
        <v>37</v>
      </c>
      <c r="D58" s="1009"/>
      <c r="E58" s="1115"/>
      <c r="F58" s="122" t="s">
        <v>624</v>
      </c>
      <c r="G58" s="122"/>
      <c r="H58" s="1005">
        <f>PGL_Supplies!T7/1000*0.5</f>
        <v>11.821999999999999</v>
      </c>
      <c r="I58" s="1010"/>
    </row>
    <row r="59" spans="1:9" ht="15.75" thickBot="1">
      <c r="A59" s="425" t="s">
        <v>454</v>
      </c>
      <c r="B59" s="324">
        <f>PGL_Supplies!Q7/1000</f>
        <v>0</v>
      </c>
      <c r="C59" s="381" t="s">
        <v>11</v>
      </c>
      <c r="D59" s="313"/>
      <c r="E59" s="382"/>
      <c r="F59" s="122" t="s">
        <v>623</v>
      </c>
      <c r="G59" s="122"/>
      <c r="H59" s="1011"/>
      <c r="I59" s="1012">
        <f>PGL_Requirements!H7/1000</f>
        <v>0</v>
      </c>
    </row>
    <row r="60" spans="1:9" ht="16.5" thickBot="1">
      <c r="A60" s="425" t="s">
        <v>455</v>
      </c>
      <c r="B60" s="388">
        <f>PGL_Requirements!F7/1000</f>
        <v>0</v>
      </c>
      <c r="C60" s="381" t="s">
        <v>11</v>
      </c>
      <c r="D60" s="313"/>
      <c r="E60" s="382"/>
      <c r="F60" s="551" t="s">
        <v>692</v>
      </c>
      <c r="G60" s="430"/>
      <c r="H60" s="430"/>
      <c r="I60" s="1081">
        <f>SUM(H55:H59)-I55</f>
        <v>195.67699999999999</v>
      </c>
    </row>
    <row r="61" spans="1:9">
      <c r="A61" s="425" t="s">
        <v>456</v>
      </c>
      <c r="B61" s="324">
        <f>PGL_Supplies!G7/1000</f>
        <v>0</v>
      </c>
      <c r="C61" s="324"/>
      <c r="D61" s="313"/>
      <c r="E61" s="317"/>
      <c r="F61" s="1013" t="s">
        <v>794</v>
      </c>
      <c r="G61" s="1014"/>
      <c r="H61" s="1084"/>
      <c r="I61" s="1082">
        <v>0</v>
      </c>
    </row>
    <row r="62" spans="1:9" ht="15.75" thickBot="1">
      <c r="A62" s="425" t="s">
        <v>109</v>
      </c>
      <c r="B62" s="1016">
        <f>PGL_Supplies!AD7/1000</f>
        <v>0</v>
      </c>
      <c r="C62" s="527"/>
      <c r="D62" s="349"/>
      <c r="E62" s="525"/>
      <c r="F62" s="1015" t="s">
        <v>795</v>
      </c>
      <c r="G62" s="594"/>
      <c r="H62" s="1085" t="s">
        <v>11</v>
      </c>
      <c r="I62" s="1083">
        <f>I60-I61-I63</f>
        <v>195.67699999999999</v>
      </c>
    </row>
    <row r="63" spans="1:9" ht="16.5" thickBot="1">
      <c r="A63" s="799" t="s">
        <v>559</v>
      </c>
      <c r="B63" s="1018">
        <f>+B62+B61-B60+B59</f>
        <v>0</v>
      </c>
      <c r="C63" s="999" t="s">
        <v>11</v>
      </c>
      <c r="D63" s="531"/>
      <c r="E63" s="521"/>
      <c r="F63" s="1017" t="s">
        <v>796</v>
      </c>
      <c r="G63" s="225"/>
      <c r="H63" s="1113"/>
      <c r="I63" s="1180">
        <f>I59</f>
        <v>0</v>
      </c>
    </row>
    <row r="64" spans="1:9" ht="15.75">
      <c r="A64" s="542" t="s">
        <v>730</v>
      </c>
      <c r="B64" s="1024"/>
      <c r="C64" s="1034" t="s">
        <v>11</v>
      </c>
      <c r="D64" s="1034" t="s">
        <v>11</v>
      </c>
      <c r="E64" s="1035" t="s">
        <v>11</v>
      </c>
      <c r="F64" s="1183" t="s">
        <v>797</v>
      </c>
      <c r="G64" s="434"/>
      <c r="H64" s="1114"/>
      <c r="I64" s="1180">
        <f>PGL_Requirements!H7/1000</f>
        <v>0</v>
      </c>
    </row>
    <row r="65" spans="1:9" ht="15.75">
      <c r="A65" s="370" t="s">
        <v>731</v>
      </c>
      <c r="B65" s="1027"/>
      <c r="C65" s="1033" t="s">
        <v>11</v>
      </c>
      <c r="D65" s="1033" t="s">
        <v>11</v>
      </c>
      <c r="E65" s="1181" t="s">
        <v>11</v>
      </c>
      <c r="F65" s="1191" t="s">
        <v>801</v>
      </c>
      <c r="G65" s="1117"/>
      <c r="H65" s="240"/>
      <c r="I65" s="1180">
        <f>PGL_Requirements!K7/1000</f>
        <v>20.774000000000001</v>
      </c>
    </row>
    <row r="66" spans="1:9" ht="15.75">
      <c r="A66" s="1186" t="s">
        <v>779</v>
      </c>
      <c r="B66" s="1025"/>
      <c r="C66" s="1036" t="s">
        <v>11</v>
      </c>
      <c r="D66" s="1036" t="s">
        <v>11</v>
      </c>
      <c r="E66" s="1037" t="s">
        <v>11</v>
      </c>
      <c r="F66" s="1182" t="s">
        <v>3</v>
      </c>
      <c r="I66" s="1190">
        <f>+I61+I62+I63-I64-I65</f>
        <v>174.90299999999999</v>
      </c>
    </row>
    <row r="67" spans="1:9" ht="16.5" thickBot="1">
      <c r="A67" s="1022" t="s">
        <v>696</v>
      </c>
      <c r="B67" s="1029" t="s">
        <v>11</v>
      </c>
      <c r="C67" s="1096" t="s">
        <v>11</v>
      </c>
      <c r="D67" s="1096" t="s">
        <v>11</v>
      </c>
      <c r="E67" s="1097" t="s">
        <v>11</v>
      </c>
      <c r="F67" s="358" t="s">
        <v>746</v>
      </c>
      <c r="G67" s="359"/>
      <c r="H67" s="359"/>
      <c r="I67" s="360"/>
    </row>
    <row r="68" spans="1:9" ht="16.5" thickBot="1">
      <c r="A68" s="1105" t="s">
        <v>749</v>
      </c>
      <c r="B68" s="1098"/>
      <c r="C68" s="122"/>
      <c r="D68" s="1098"/>
      <c r="E68" s="122"/>
      <c r="F68" s="581" t="s">
        <v>484</v>
      </c>
      <c r="G68" s="541" t="s">
        <v>11</v>
      </c>
      <c r="H68" s="574" t="s">
        <v>11</v>
      </c>
      <c r="I68" s="586" t="s">
        <v>11</v>
      </c>
    </row>
    <row r="69" spans="1:9" ht="16.5" thickBot="1">
      <c r="A69" s="518" t="s">
        <v>732</v>
      </c>
      <c r="B69" s="1028" t="s">
        <v>11</v>
      </c>
      <c r="C69" s="1030" t="s">
        <v>11</v>
      </c>
      <c r="D69" s="1030" t="s">
        <v>11</v>
      </c>
      <c r="E69" s="1030" t="s">
        <v>11</v>
      </c>
      <c r="F69" s="361" t="s">
        <v>485</v>
      </c>
      <c r="G69" s="313"/>
      <c r="H69" s="540"/>
      <c r="I69" s="1021"/>
    </row>
    <row r="70" spans="1:9" ht="16.5" thickBot="1">
      <c r="A70" s="1185" t="s">
        <v>778</v>
      </c>
      <c r="B70" s="1026" t="s">
        <v>11</v>
      </c>
      <c r="C70" s="1031" t="s">
        <v>11</v>
      </c>
      <c r="D70" s="1031" t="s">
        <v>11</v>
      </c>
      <c r="E70" s="1032" t="s">
        <v>11</v>
      </c>
      <c r="F70" s="1023" t="s">
        <v>486</v>
      </c>
      <c r="G70" s="120"/>
      <c r="H70" s="1020" t="s">
        <v>487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67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>
      <selection sqref="A1:I54"/>
    </sheetView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099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MON</v>
      </c>
      <c r="G1" s="1080">
        <f>Weather_Input!A5</f>
        <v>37018</v>
      </c>
      <c r="H1" s="589" t="s">
        <v>258</v>
      </c>
      <c r="I1" s="593"/>
    </row>
    <row r="2" spans="1:9" ht="20.25">
      <c r="A2" s="642" t="s">
        <v>11</v>
      </c>
      <c r="B2" s="793" t="s">
        <v>555</v>
      </c>
      <c r="C2" s="952">
        <v>60.5</v>
      </c>
      <c r="D2" s="795" t="s">
        <v>556</v>
      </c>
      <c r="E2" s="794"/>
      <c r="F2" s="795" t="s">
        <v>557</v>
      </c>
      <c r="G2" s="794"/>
      <c r="H2" s="796" t="s">
        <v>496</v>
      </c>
      <c r="I2" s="645"/>
    </row>
    <row r="3" spans="1:9" ht="20.25">
      <c r="A3" s="1089" t="s">
        <v>497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66</v>
      </c>
      <c r="C4" s="758">
        <f>Weather_Input!C5</f>
        <v>46</v>
      </c>
      <c r="D4" s="652"/>
      <c r="E4" s="653"/>
      <c r="F4" s="652"/>
      <c r="G4" s="653"/>
      <c r="H4" s="654"/>
      <c r="I4" s="655"/>
    </row>
    <row r="5" spans="1:9" ht="24" thickBot="1">
      <c r="A5" s="656" t="s">
        <v>139</v>
      </c>
      <c r="B5" s="657"/>
      <c r="C5" s="658">
        <f>NSG_Deliveries!C5/1000</f>
        <v>42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4" thickBot="1">
      <c r="A7" s="666" t="s">
        <v>86</v>
      </c>
      <c r="B7" s="657"/>
      <c r="C7" s="763">
        <f>C5-C9-C11-C12</f>
        <v>40.54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8" t="s">
        <v>640</v>
      </c>
      <c r="B9" s="675"/>
      <c r="C9" s="1111">
        <f>B46</f>
        <v>1.4600000000000009</v>
      </c>
      <c r="D9" s="673"/>
      <c r="E9" s="674"/>
      <c r="F9" s="673"/>
      <c r="G9" s="673"/>
      <c r="H9" s="675"/>
      <c r="I9" s="676"/>
    </row>
    <row r="10" spans="1:9" ht="12" customHeight="1" thickBot="1">
      <c r="A10" s="824"/>
      <c r="B10" s="668"/>
      <c r="C10" s="663"/>
      <c r="D10" s="825"/>
      <c r="E10" s="669"/>
      <c r="F10" s="825"/>
      <c r="G10" s="825"/>
      <c r="H10" s="668"/>
      <c r="I10" s="826"/>
    </row>
    <row r="11" spans="1:9" ht="23.25">
      <c r="A11" s="670" t="s">
        <v>498</v>
      </c>
      <c r="B11" s="671"/>
      <c r="C11" s="672">
        <f>B38</f>
        <v>0</v>
      </c>
      <c r="D11" s="673"/>
      <c r="E11" s="674"/>
      <c r="F11" s="673"/>
      <c r="G11" s="673" t="s">
        <v>11</v>
      </c>
      <c r="H11" s="675"/>
      <c r="I11" s="676"/>
    </row>
    <row r="12" spans="1:9" ht="23.25">
      <c r="A12" s="677" t="s">
        <v>499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4" thickBot="1">
      <c r="A15" s="690" t="s">
        <v>500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4" thickBot="1">
      <c r="A17" s="696" t="s">
        <v>501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" thickBot="1">
      <c r="A18" s="702" t="s">
        <v>502</v>
      </c>
      <c r="B18" s="662"/>
      <c r="C18" s="663" t="s">
        <v>11</v>
      </c>
      <c r="D18" s="664"/>
      <c r="E18" s="663"/>
      <c r="F18" s="664"/>
      <c r="G18" s="507" t="s">
        <v>644</v>
      </c>
      <c r="H18" s="662"/>
      <c r="I18" s="829"/>
    </row>
    <row r="19" spans="1:9" ht="24" thickBot="1">
      <c r="A19" s="703" t="s">
        <v>428</v>
      </c>
      <c r="B19" s="704"/>
      <c r="C19" s="705">
        <f>C7+C12</f>
        <v>40.54</v>
      </c>
      <c r="D19" s="706"/>
      <c r="E19" s="707"/>
      <c r="F19" s="706"/>
      <c r="G19" s="706" t="s">
        <v>11</v>
      </c>
      <c r="H19" s="704"/>
      <c r="I19" s="708"/>
    </row>
    <row r="20" spans="1:9" ht="20.25">
      <c r="A20" s="709" t="s">
        <v>430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25">
      <c r="A21" s="713" t="s">
        <v>433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25">
      <c r="A22" s="713" t="s">
        <v>503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25">
      <c r="A23" s="709" t="s">
        <v>434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9" t="s">
        <v>436</v>
      </c>
      <c r="B24" s="717"/>
      <c r="C24" s="711">
        <f>NSG_Requirements!H7/1000</f>
        <v>0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25">
      <c r="A25" s="709" t="s">
        <v>437</v>
      </c>
      <c r="B25" s="714"/>
      <c r="C25" s="711">
        <f>-NSG_Supplies!F7/1000</f>
        <v>-9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25">
      <c r="A26" s="709" t="s">
        <v>197</v>
      </c>
      <c r="B26" s="717"/>
      <c r="C26" s="711">
        <f>-NSG_Supplies!R7/1000</f>
        <v>-31.536000000000001</v>
      </c>
      <c r="D26" s="718"/>
      <c r="E26" s="711">
        <f>-NSG_Supplies!R7/1000</f>
        <v>-31.536000000000001</v>
      </c>
      <c r="F26" s="718"/>
      <c r="G26" s="711">
        <f>-NSG_Supplies!R7/1000</f>
        <v>-31.536000000000001</v>
      </c>
      <c r="H26" s="717"/>
      <c r="I26" s="776">
        <f>-NSG_Supplies!R7/1000</f>
        <v>-31.536000000000001</v>
      </c>
    </row>
    <row r="27" spans="1:9" ht="20.25">
      <c r="A27" s="709" t="s">
        <v>435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532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4" thickBot="1">
      <c r="A29" s="722"/>
      <c r="B29" s="723"/>
      <c r="C29" s="724" t="s">
        <v>498</v>
      </c>
      <c r="D29" s="723"/>
      <c r="E29" s="725"/>
      <c r="F29" s="723"/>
      <c r="G29" s="726" t="s">
        <v>11</v>
      </c>
      <c r="H29" s="723"/>
      <c r="I29" s="727"/>
    </row>
    <row r="30" spans="1:9" ht="20.25">
      <c r="A30" s="783" t="s">
        <v>440</v>
      </c>
      <c r="B30" s="760">
        <f>NSG_Requirements!O7/1000</f>
        <v>0</v>
      </c>
      <c r="C30" s="729" t="s">
        <v>11</v>
      </c>
      <c r="D30" s="730"/>
      <c r="E30" s="731"/>
      <c r="F30" s="732" t="s">
        <v>283</v>
      </c>
      <c r="G30" s="733"/>
      <c r="H30" s="733"/>
      <c r="I30" s="734"/>
    </row>
    <row r="31" spans="1:9" ht="20.25">
      <c r="A31" s="784" t="s">
        <v>533</v>
      </c>
      <c r="B31" s="759">
        <f>NSG_Supplies!L7/1000+PGL_Requirements!V7/1000</f>
        <v>0</v>
      </c>
      <c r="C31" s="718"/>
      <c r="D31" s="736"/>
      <c r="E31" s="719"/>
      <c r="F31" s="643"/>
      <c r="G31" s="715"/>
      <c r="H31" s="715"/>
      <c r="I31" s="734"/>
    </row>
    <row r="32" spans="1:9" ht="20.25">
      <c r="A32" s="784" t="s">
        <v>534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25">
      <c r="A33" s="783" t="s">
        <v>504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25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25">
      <c r="A35" s="784" t="s">
        <v>516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25">
      <c r="A36" s="784" t="s">
        <v>517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" thickBot="1">
      <c r="A38" s="741" t="s">
        <v>505</v>
      </c>
      <c r="B38" s="762">
        <f>-B30+B31+B32-B33-B34-B35+B36+B37</f>
        <v>0</v>
      </c>
      <c r="C38" s="643"/>
      <c r="D38" s="742"/>
      <c r="E38" s="743"/>
      <c r="F38" s="643"/>
      <c r="G38" s="715"/>
      <c r="H38" s="715"/>
      <c r="I38" s="734"/>
    </row>
    <row r="39" spans="1:9" ht="24" thickBot="1">
      <c r="A39" s="722"/>
      <c r="B39" s="723"/>
      <c r="C39" s="830" t="s">
        <v>645</v>
      </c>
      <c r="D39" s="723"/>
      <c r="E39" s="725"/>
      <c r="F39" s="643"/>
      <c r="G39" s="715"/>
      <c r="H39" s="715"/>
      <c r="I39" s="734"/>
    </row>
    <row r="40" spans="1:9" ht="20.25">
      <c r="A40" s="709" t="s">
        <v>506</v>
      </c>
      <c r="B40" s="820">
        <v>0</v>
      </c>
      <c r="C40" s="643"/>
      <c r="D40" s="744"/>
      <c r="E40" s="745"/>
      <c r="F40" s="643"/>
      <c r="G40" s="715"/>
      <c r="H40" s="715"/>
      <c r="I40" s="734"/>
    </row>
    <row r="41" spans="1:9" ht="20.25">
      <c r="A41" s="709" t="s">
        <v>507</v>
      </c>
      <c r="B41" s="821">
        <f>NSG_Requirements!J7/1000</f>
        <v>18.54</v>
      </c>
      <c r="C41" s="718"/>
      <c r="D41" s="736"/>
      <c r="E41" s="719"/>
      <c r="F41" s="643"/>
      <c r="G41" s="715"/>
      <c r="H41" s="715"/>
      <c r="I41" s="734"/>
    </row>
    <row r="42" spans="1:9" ht="20.25">
      <c r="A42" s="709" t="s">
        <v>508</v>
      </c>
      <c r="B42" s="822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25">
      <c r="A43" s="709" t="s">
        <v>509</v>
      </c>
      <c r="B43" s="821">
        <v>0</v>
      </c>
      <c r="C43" s="718"/>
      <c r="D43" s="736"/>
      <c r="E43" s="719"/>
      <c r="F43" s="643"/>
      <c r="G43" s="715"/>
      <c r="H43" s="715"/>
      <c r="I43" s="734"/>
    </row>
    <row r="44" spans="1:9" ht="20.25">
      <c r="A44" s="709" t="s">
        <v>510</v>
      </c>
      <c r="B44" s="821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641</v>
      </c>
      <c r="B45" s="822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" thickBot="1">
      <c r="A46" s="741" t="s">
        <v>505</v>
      </c>
      <c r="B46" s="823">
        <f>B45+B42-B41</f>
        <v>1.4600000000000009</v>
      </c>
      <c r="C46" s="749"/>
      <c r="D46" s="748"/>
      <c r="E46" s="750"/>
      <c r="F46" s="643"/>
      <c r="G46" s="715"/>
      <c r="H46" s="715"/>
      <c r="I46" s="734"/>
    </row>
    <row r="47" spans="1:9" ht="2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25">
      <c r="A48" s="709" t="s">
        <v>511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25">
      <c r="A49" s="709" t="s">
        <v>512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25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4" thickBot="1">
      <c r="A52" s="722"/>
      <c r="B52" s="723"/>
      <c r="C52" s="724" t="s">
        <v>513</v>
      </c>
      <c r="D52" s="723"/>
      <c r="E52" s="725"/>
      <c r="F52" s="643"/>
      <c r="G52" s="715"/>
      <c r="H52" s="715"/>
      <c r="I52" s="734"/>
    </row>
    <row r="53" spans="1:9" ht="20.25">
      <c r="A53" s="753" t="s">
        <v>514</v>
      </c>
      <c r="B53" s="754"/>
      <c r="C53" s="643"/>
      <c r="D53" s="744"/>
      <c r="E53" s="745"/>
      <c r="F53" s="643"/>
      <c r="G53" s="715"/>
      <c r="H53" s="715"/>
      <c r="I53" s="734"/>
    </row>
    <row r="54" spans="1:9" ht="21" thickBot="1">
      <c r="A54" s="756" t="s">
        <v>515</v>
      </c>
      <c r="B54" s="765"/>
      <c r="C54" s="766"/>
      <c r="D54" s="767"/>
      <c r="E54" s="768"/>
      <c r="F54" s="757"/>
      <c r="G54" s="769"/>
      <c r="H54" s="1091"/>
      <c r="I54" s="1090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37018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536</v>
      </c>
      <c r="C3" s="453">
        <v>44</v>
      </c>
      <c r="D3" s="259"/>
      <c r="E3" s="259"/>
      <c r="F3" s="453" t="s">
        <v>396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66</v>
      </c>
      <c r="C5" s="266">
        <f>Weather_Input!C5</f>
        <v>46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245</v>
      </c>
      <c r="C8" s="274">
        <f>NSG_Deliveries!C5/1000</f>
        <v>42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180.84399999999999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15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14.514999999999986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399</v>
      </c>
      <c r="B18" s="458">
        <f>-B10-B11-B12-B13-B14-B15+B16-B17</f>
        <v>-211.35899999999998</v>
      </c>
      <c r="C18" s="289">
        <f>-I63</f>
        <v>0</v>
      </c>
      <c r="D18" s="290" t="s">
        <v>11</v>
      </c>
      <c r="E18" s="289">
        <f>-I63</f>
        <v>0</v>
      </c>
      <c r="F18" s="290" t="s">
        <v>11</v>
      </c>
      <c r="G18" s="289">
        <f>-I63</f>
        <v>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33.64100000000002</v>
      </c>
      <c r="C20" s="295">
        <f>C8+C18+C19</f>
        <v>42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2.37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36.011000000000017</v>
      </c>
      <c r="C23" s="301">
        <f>C20</f>
        <v>42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0.63</v>
      </c>
      <c r="C27" s="310">
        <f>NSG_Requirements!P7/1000</f>
        <v>0</v>
      </c>
      <c r="D27" s="310">
        <f>PGL_Requirements!R7/1000</f>
        <v>0.63</v>
      </c>
      <c r="E27" s="310">
        <f>NSG_Requirements!P7/1000</f>
        <v>0</v>
      </c>
      <c r="F27" s="310">
        <f>PGL_Requirements!R7/1000</f>
        <v>0.63</v>
      </c>
      <c r="G27" s="310">
        <f>NSG_Requirements!P7/1000</f>
        <v>0</v>
      </c>
      <c r="H27" s="311">
        <f>+B27</f>
        <v>0.63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405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-60.064</v>
      </c>
      <c r="C32" s="315">
        <f>-NSG_Supplies!R7/1000</f>
        <v>-31.536000000000001</v>
      </c>
      <c r="D32" s="315">
        <f>B32</f>
        <v>-60.064</v>
      </c>
      <c r="E32" s="315">
        <f>C32</f>
        <v>-31.536000000000001</v>
      </c>
      <c r="F32" s="315">
        <f>B32</f>
        <v>-60.064</v>
      </c>
      <c r="G32" s="315">
        <f>C32</f>
        <v>-31.536000000000001</v>
      </c>
      <c r="H32" s="320">
        <f>B32</f>
        <v>-60.064</v>
      </c>
      <c r="I32" s="321">
        <f>C32</f>
        <v>-31.536000000000001</v>
      </c>
    </row>
    <row r="33" spans="1:9" ht="17.100000000000001" customHeight="1">
      <c r="A33" s="319" t="s">
        <v>393</v>
      </c>
      <c r="B33" s="315">
        <f>-PGL_Supplies!X7/1000</f>
        <v>0</v>
      </c>
      <c r="C33" s="315">
        <f>-NSG_Supplies!S7/1000</f>
        <v>-20.591000000000001</v>
      </c>
      <c r="D33" s="315">
        <f>B33</f>
        <v>0</v>
      </c>
      <c r="E33" s="315">
        <f>C33</f>
        <v>-20.591000000000001</v>
      </c>
      <c r="F33" s="315">
        <f>B33</f>
        <v>0</v>
      </c>
      <c r="G33" s="315">
        <f>C33</f>
        <v>-20.591000000000001</v>
      </c>
      <c r="H33" s="320">
        <f>B33</f>
        <v>0</v>
      </c>
      <c r="I33" s="321">
        <f>C33</f>
        <v>-20.591000000000001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17.48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-9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406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413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158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2.37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2.37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370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410</v>
      </c>
      <c r="B50" s="324">
        <f>PGL_Supplies!V7/1000+PGL_Supplies!D7/1000</f>
        <v>180.84399999999999</v>
      </c>
      <c r="C50" s="313"/>
      <c r="D50" s="313"/>
      <c r="E50" s="313"/>
      <c r="F50" s="319" t="s">
        <v>402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0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371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180.84399999999999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393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495</v>
      </c>
      <c r="B57" s="324">
        <f>PGL_Supplies!Z7/1000+PGL_Supplies!C7/1000-PGL_Requirements!C7/1000</f>
        <v>40.200000000000003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40.200000000000003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0</v>
      </c>
    </row>
    <row r="61" spans="1:9" ht="17.100000000000001" customHeight="1" thickBot="1">
      <c r="A61" s="425" t="s">
        <v>415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412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0</v>
      </c>
    </row>
    <row r="64" spans="1:9" ht="17.100000000000001" customHeight="1" thickBot="1">
      <c r="A64" s="425" t="s">
        <v>393</v>
      </c>
      <c r="B64" s="324">
        <f>PGL_Supplies!Y7/1000</f>
        <v>172.51499999999999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494</v>
      </c>
      <c r="B65" s="324">
        <f>PGL_Supplies!AD7/1000+PGL_Supplies!G7/1000-PGL_Requirements!F7/1000</f>
        <v>0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398</v>
      </c>
      <c r="I69" s="382"/>
    </row>
    <row r="70" spans="1:10" ht="17.100000000000001" customHeight="1">
      <c r="A70" s="332" t="s">
        <v>246</v>
      </c>
      <c r="B70" s="388">
        <f>PGL_Requirements!P7/1000</f>
        <v>158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14.514999999999986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MON</v>
      </c>
      <c r="H73" s="406">
        <f>Weather_Input!A5</f>
        <v>37018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7" t="s">
        <v>420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75">
      <c r="A91" s="258"/>
      <c r="B91" s="609" t="s">
        <v>417</v>
      </c>
      <c r="C91" s="269" t="s">
        <v>11</v>
      </c>
      <c r="D91" s="601" t="s">
        <v>488</v>
      </c>
      <c r="E91" s="608"/>
      <c r="F91" s="606" t="s">
        <v>489</v>
      </c>
      <c r="G91" s="607"/>
      <c r="H91" s="605" t="s">
        <v>174</v>
      </c>
      <c r="I91" s="260"/>
    </row>
    <row r="92" spans="1:9" ht="15">
      <c r="A92" s="493" t="s">
        <v>418</v>
      </c>
      <c r="B92" s="600" t="s">
        <v>409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75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5" thickBot="1">
      <c r="A94" s="258" t="s">
        <v>419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5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17.480000000000004</v>
      </c>
      <c r="D97" s="602"/>
      <c r="E97" s="614">
        <f>+C97</f>
        <v>17.480000000000004</v>
      </c>
      <c r="F97" s="602"/>
      <c r="G97" s="614">
        <f>+C97</f>
        <v>17.480000000000004</v>
      </c>
      <c r="H97" s="602"/>
      <c r="I97" s="285">
        <f>+C97</f>
        <v>17.480000000000004</v>
      </c>
    </row>
    <row r="98" spans="1:9" ht="15">
      <c r="A98" s="493" t="s">
        <v>60</v>
      </c>
      <c r="B98" s="282" t="s">
        <v>11</v>
      </c>
      <c r="C98" s="623">
        <f>B149</f>
        <v>1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180.84399999999999</v>
      </c>
      <c r="D99" s="620"/>
      <c r="E99" s="269"/>
      <c r="F99" s="602"/>
      <c r="G99" s="269"/>
      <c r="H99" s="602"/>
      <c r="I99" s="267"/>
    </row>
    <row r="100" spans="1:9" ht="15">
      <c r="A100" s="493" t="s">
        <v>421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422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172.51499999999999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0</v>
      </c>
      <c r="D103" s="620"/>
      <c r="E103" s="269"/>
      <c r="F103" s="602"/>
      <c r="G103" s="269"/>
      <c r="H103" s="602"/>
      <c r="I103" s="267"/>
    </row>
    <row r="104" spans="1:9" ht="15.75" thickBot="1">
      <c r="A104" s="292" t="s">
        <v>110</v>
      </c>
      <c r="B104" s="615" t="s">
        <v>11</v>
      </c>
      <c r="C104" s="623">
        <f>PGL_Supplies!B7/1000</f>
        <v>0</v>
      </c>
      <c r="D104" s="601"/>
      <c r="E104" s="269"/>
      <c r="F104" s="602"/>
      <c r="G104" s="269"/>
      <c r="H104" s="602"/>
      <c r="I104" s="267"/>
    </row>
    <row r="105" spans="1:9" ht="16.5" thickBot="1">
      <c r="A105" s="616" t="s">
        <v>423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5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424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425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426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2" t="s">
        <v>427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3" t="s">
        <v>428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429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75">
      <c r="A113" s="425" t="s">
        <v>430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431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432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433</v>
      </c>
      <c r="B116" s="419">
        <f>-PGL_Supplies!Z7/1000</f>
        <v>-40.200000000000003</v>
      </c>
      <c r="C116" s="419">
        <f>-NSG_Supplies!W7/1000</f>
        <v>0</v>
      </c>
      <c r="D116" s="315">
        <f>-PGL_Supplies!Z7/1000</f>
        <v>-40.200000000000003</v>
      </c>
      <c r="E116" s="315">
        <f>-NSG_Supplies!W7/1000</f>
        <v>0</v>
      </c>
      <c r="F116" s="315">
        <f>-PGL_Supplies!Z7/1000</f>
        <v>-40.200000000000003</v>
      </c>
      <c r="G116" s="315">
        <f>-NSG_Supplies!W7/1000</f>
        <v>0</v>
      </c>
      <c r="H116" s="320">
        <f>-PGL_Supplies!Z7/1000</f>
        <v>-40.200000000000003</v>
      </c>
      <c r="I116" s="321">
        <f>-NSG_Supplies!W7/1000</f>
        <v>0</v>
      </c>
    </row>
    <row r="117" spans="1:9" ht="15">
      <c r="A117" s="425" t="s">
        <v>434</v>
      </c>
      <c r="B117" s="315">
        <f>-PGL_Supplies!AA7/1000</f>
        <v>0</v>
      </c>
      <c r="C117" s="315">
        <f>-NSG_Supplies!X7/1000</f>
        <v>0</v>
      </c>
      <c r="D117" s="315">
        <f>-PGL_Supplies!AA7/1000</f>
        <v>0</v>
      </c>
      <c r="E117" s="315">
        <f>-NSG_Supplies!X7/1000</f>
        <v>0</v>
      </c>
      <c r="F117" s="315">
        <f>-PGL_Supplies!AA7/1000</f>
        <v>0</v>
      </c>
      <c r="G117" s="315">
        <f>-NSG_Supplies!X7/1000</f>
        <v>0</v>
      </c>
      <c r="H117" s="320">
        <f>-PGL_Supplies!AA7/1000</f>
        <v>0</v>
      </c>
      <c r="I117" s="321">
        <f>-NSG_Supplies!X7/1000</f>
        <v>0</v>
      </c>
    </row>
    <row r="118" spans="1:9" ht="15.75">
      <c r="A118" s="425" t="s">
        <v>436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437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435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438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439</v>
      </c>
      <c r="B123" s="315">
        <f>-PGL_Supplies!X7/1000</f>
        <v>0</v>
      </c>
      <c r="C123" s="315">
        <f>-NSG_Supplies!S7/1000</f>
        <v>-20.591000000000001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440</v>
      </c>
      <c r="B125" s="315">
        <f>PGL_Requirements!U7/1000</f>
        <v>40.200000000000003</v>
      </c>
      <c r="F125" s="542" t="s">
        <v>11</v>
      </c>
      <c r="G125" s="543"/>
      <c r="H125" s="610"/>
      <c r="I125" s="336"/>
    </row>
    <row r="126" spans="1:9" ht="15">
      <c r="A126" s="425" t="s">
        <v>397</v>
      </c>
      <c r="B126" s="324">
        <f>PGL_Supplies!R7/1000</f>
        <v>0</v>
      </c>
      <c r="C126" s="315" t="s">
        <v>11</v>
      </c>
      <c r="D126" s="313"/>
      <c r="E126" s="333"/>
      <c r="F126" s="425" t="s">
        <v>460</v>
      </c>
      <c r="G126" s="544"/>
      <c r="H126" s="549"/>
      <c r="I126" s="336"/>
    </row>
    <row r="127" spans="1:9" ht="15">
      <c r="A127" s="425" t="s">
        <v>490</v>
      </c>
      <c r="B127" s="315">
        <f>PGL_Requirements!O7/1000</f>
        <v>17.48</v>
      </c>
      <c r="C127" s="315" t="s">
        <v>11</v>
      </c>
      <c r="D127" s="313"/>
      <c r="E127" s="333"/>
      <c r="F127" s="425" t="s">
        <v>461</v>
      </c>
      <c r="G127" s="544"/>
      <c r="H127" s="317"/>
      <c r="I127" s="336"/>
    </row>
    <row r="128" spans="1:9" ht="15">
      <c r="A128" s="425" t="s">
        <v>430</v>
      </c>
      <c r="B128" s="315">
        <f>PGL_Requirements!I7/1000</f>
        <v>0</v>
      </c>
      <c r="C128" s="315" t="s">
        <v>11</v>
      </c>
      <c r="D128" s="313"/>
      <c r="E128" s="333"/>
      <c r="F128" s="425" t="s">
        <v>462</v>
      </c>
      <c r="G128" s="544"/>
      <c r="H128" s="317"/>
      <c r="I128" s="336"/>
    </row>
    <row r="129" spans="1:9" ht="15">
      <c r="A129" s="425" t="s">
        <v>441</v>
      </c>
      <c r="B129" s="315">
        <f>PGL_Requirements!C7/1000</f>
        <v>0</v>
      </c>
      <c r="C129" s="313"/>
      <c r="D129" s="313"/>
      <c r="E129" s="333"/>
      <c r="F129" s="425" t="s">
        <v>463</v>
      </c>
      <c r="G129" s="544"/>
      <c r="H129" s="317"/>
      <c r="I129" s="336"/>
    </row>
    <row r="130" spans="1:9" ht="15">
      <c r="A130" s="425" t="s">
        <v>442</v>
      </c>
      <c r="B130" s="315">
        <f>PGL_Requirements!AA7/1000</f>
        <v>0</v>
      </c>
      <c r="C130" s="594"/>
      <c r="D130" s="313"/>
      <c r="E130" s="333"/>
      <c r="F130" s="425" t="s">
        <v>464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40.200000000000003</v>
      </c>
      <c r="C131" s="313"/>
      <c r="D131" s="313"/>
      <c r="E131" s="333"/>
      <c r="F131" s="370" t="s">
        <v>465</v>
      </c>
      <c r="G131" s="544"/>
      <c r="H131" s="317"/>
      <c r="I131" s="336"/>
    </row>
    <row r="132" spans="1:9" ht="15.75" thickBot="1">
      <c r="A132" s="425" t="s">
        <v>393</v>
      </c>
      <c r="B132" s="324">
        <f>PGL_Supplies!U7/1000</f>
        <v>0</v>
      </c>
      <c r="C132" s="349"/>
      <c r="D132" s="349"/>
      <c r="E132" s="554"/>
      <c r="F132" s="425" t="s">
        <v>466</v>
      </c>
      <c r="G132" s="544"/>
      <c r="H132" s="317"/>
      <c r="I132" s="336"/>
    </row>
    <row r="133" spans="1:9" ht="16.5" thickBot="1">
      <c r="A133" s="559" t="s">
        <v>443</v>
      </c>
      <c r="B133" s="566">
        <f>B126+B127+B130+B131+B132-B125-B128-B129</f>
        <v>17.480000000000004</v>
      </c>
      <c r="C133" s="531"/>
      <c r="D133" s="531"/>
      <c r="E133" s="521"/>
      <c r="F133" s="425" t="s">
        <v>467</v>
      </c>
      <c r="G133" s="544"/>
      <c r="H133" s="317"/>
      <c r="I133" s="336"/>
    </row>
    <row r="134" spans="1:9" ht="15.75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468</v>
      </c>
      <c r="G134" s="545"/>
      <c r="H134" s="317"/>
      <c r="I134" s="336"/>
    </row>
    <row r="135" spans="1:9" ht="15">
      <c r="A135" s="425" t="s">
        <v>430</v>
      </c>
      <c r="B135" s="135">
        <f>PGL_Requirements!J7</f>
        <v>0</v>
      </c>
      <c r="C135" s="8"/>
      <c r="D135" s="8"/>
      <c r="E135" s="8"/>
      <c r="F135" s="547" t="s">
        <v>469</v>
      </c>
      <c r="G135" s="545"/>
      <c r="H135" s="350"/>
      <c r="I135" s="336"/>
    </row>
    <row r="136" spans="1:9" ht="15">
      <c r="A136" s="425" t="s">
        <v>444</v>
      </c>
      <c r="B136" s="324">
        <f>NSG_Supplies!O7/1011</f>
        <v>0</v>
      </c>
      <c r="C136" s="313"/>
      <c r="D136" s="313"/>
      <c r="E136" s="313"/>
      <c r="F136" s="425" t="s">
        <v>470</v>
      </c>
      <c r="G136" s="544"/>
      <c r="H136" s="352"/>
      <c r="I136" s="336"/>
    </row>
    <row r="137" spans="1:9" ht="15">
      <c r="A137" s="425" t="s">
        <v>445</v>
      </c>
      <c r="B137" s="324">
        <f>PGL_Supplies!AA7/1000</f>
        <v>0</v>
      </c>
      <c r="C137" s="594"/>
      <c r="D137" s="313"/>
      <c r="E137" s="313"/>
      <c r="F137" s="425" t="s">
        <v>471</v>
      </c>
      <c r="G137" s="544"/>
      <c r="H137" s="317"/>
      <c r="I137" s="336"/>
    </row>
    <row r="138" spans="1:9" ht="15">
      <c r="A138" s="425" t="s">
        <v>446</v>
      </c>
      <c r="B138" s="135">
        <f>PGL_Requirements!D7</f>
        <v>0</v>
      </c>
      <c r="C138" s="313"/>
      <c r="D138" s="313"/>
      <c r="E138" s="313"/>
      <c r="F138" s="425" t="s">
        <v>403</v>
      </c>
      <c r="G138" s="544"/>
      <c r="H138" s="352"/>
      <c r="I138" s="336"/>
    </row>
    <row r="139" spans="1:9" ht="15">
      <c r="A139" s="425" t="s">
        <v>447</v>
      </c>
      <c r="B139" s="324">
        <f>PGL_Supplies!D7/1000</f>
        <v>0</v>
      </c>
      <c r="C139" s="313"/>
      <c r="D139" s="313"/>
      <c r="E139" s="313"/>
      <c r="F139" s="370" t="s">
        <v>472</v>
      </c>
      <c r="G139" s="548"/>
      <c r="H139" s="539"/>
      <c r="I139" s="336"/>
    </row>
    <row r="140" spans="1:9" ht="15.75" thickBot="1">
      <c r="A140" s="425" t="s">
        <v>393</v>
      </c>
      <c r="B140" s="324">
        <f>PGL_Supplies!V7/1000</f>
        <v>180.84399999999999</v>
      </c>
      <c r="C140" s="349"/>
      <c r="D140" s="349"/>
      <c r="E140" s="349"/>
      <c r="F140" s="370" t="s">
        <v>473</v>
      </c>
      <c r="G140" s="548"/>
      <c r="H140" s="550"/>
      <c r="I140" s="336"/>
    </row>
    <row r="141" spans="1:9" ht="16.5" thickBot="1">
      <c r="A141" s="559" t="s">
        <v>443</v>
      </c>
      <c r="B141" s="561">
        <f>-B135+B136+B137-B138+B139+B140</f>
        <v>180.84399999999999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5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474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158</v>
      </c>
      <c r="C143" s="313"/>
      <c r="D143" s="313"/>
      <c r="E143" s="313"/>
      <c r="F143" s="568" t="s">
        <v>426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448</v>
      </c>
      <c r="B144" s="324">
        <f>PGL_Supplies!M7/1000</f>
        <v>0</v>
      </c>
      <c r="C144" s="313"/>
      <c r="D144" s="313"/>
      <c r="E144" s="313"/>
      <c r="F144" s="361" t="s">
        <v>475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449</v>
      </c>
      <c r="B145" s="324">
        <f>PGL_Requirements!B7/1000</f>
        <v>0</v>
      </c>
      <c r="C145" s="313"/>
      <c r="D145" s="313"/>
      <c r="E145" s="313"/>
      <c r="F145" s="537" t="s">
        <v>476</v>
      </c>
      <c r="G145" s="355"/>
      <c r="H145" s="526" t="s">
        <v>11</v>
      </c>
      <c r="I145" s="407"/>
    </row>
    <row r="146" spans="1:9" ht="15.75" thickBot="1">
      <c r="A146" s="425" t="s">
        <v>450</v>
      </c>
      <c r="B146" s="324">
        <f>PGL_Supplies!H7/1000</f>
        <v>1</v>
      </c>
      <c r="C146" s="313"/>
      <c r="D146" s="313"/>
      <c r="E146" s="313"/>
      <c r="F146" s="565" t="s">
        <v>452</v>
      </c>
      <c r="G146" s="531"/>
      <c r="H146" s="566" t="s">
        <v>11</v>
      </c>
      <c r="I146" s="567" t="e">
        <f>PGL_Requirements!#REF!/1000</f>
        <v>#REF!</v>
      </c>
    </row>
    <row r="147" spans="1:9" ht="16.5" thickBot="1">
      <c r="A147" s="370" t="s">
        <v>427</v>
      </c>
      <c r="B147" s="324" t="s">
        <v>11</v>
      </c>
      <c r="C147" s="313"/>
      <c r="D147" s="313"/>
      <c r="E147" s="313"/>
      <c r="F147" s="358" t="s">
        <v>477</v>
      </c>
      <c r="G147" s="359"/>
      <c r="H147" s="359"/>
      <c r="I147" s="360"/>
    </row>
    <row r="148" spans="1:9" ht="15.75" thickBot="1">
      <c r="A148" s="425" t="s">
        <v>451</v>
      </c>
      <c r="B148" s="324">
        <f>PGL_Requirements!Q7/1000</f>
        <v>2.37</v>
      </c>
      <c r="C148" s="349"/>
      <c r="D148" s="349"/>
      <c r="E148" s="349"/>
      <c r="F148" s="542" t="s">
        <v>478</v>
      </c>
      <c r="G148" s="543"/>
      <c r="H148" s="569" t="s">
        <v>11</v>
      </c>
      <c r="I148" s="570">
        <f>+NSG_Supplies!Z7/1000</f>
        <v>0</v>
      </c>
    </row>
    <row r="149" spans="1:9" ht="16.5" thickBot="1">
      <c r="A149" s="518" t="s">
        <v>452</v>
      </c>
      <c r="B149" s="519">
        <f>B144+B146</f>
        <v>1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75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452</v>
      </c>
      <c r="G150" s="531"/>
      <c r="H150" s="566" t="s">
        <v>11</v>
      </c>
      <c r="I150" s="567" t="e">
        <f>PGL_Requirements!#REF!/1000</f>
        <v>#REF!</v>
      </c>
    </row>
    <row r="151" spans="1:9" ht="16.5" thickBot="1">
      <c r="A151" s="425" t="s">
        <v>216</v>
      </c>
      <c r="B151" s="522">
        <f>PGL_Deliveries!AG5</f>
        <v>0</v>
      </c>
      <c r="C151" s="377"/>
      <c r="D151" s="377"/>
      <c r="E151" s="377"/>
      <c r="F151" s="358" t="s">
        <v>421</v>
      </c>
      <c r="G151" s="359"/>
      <c r="H151" s="359"/>
      <c r="I151" s="360"/>
    </row>
    <row r="152" spans="1:9" ht="15.75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479</v>
      </c>
      <c r="G152" s="543"/>
      <c r="H152" s="574"/>
      <c r="I152" s="388">
        <f>PGL_Requirements!T7/1000</f>
        <v>0</v>
      </c>
    </row>
    <row r="153" spans="1:9" ht="15">
      <c r="A153" s="425" t="s">
        <v>453</v>
      </c>
      <c r="B153" s="388">
        <f>PGL_Requirements!N7/1000</f>
        <v>0</v>
      </c>
      <c r="C153" s="313"/>
      <c r="D153" s="313"/>
      <c r="E153" s="380"/>
      <c r="F153" s="538" t="s">
        <v>480</v>
      </c>
      <c r="G153" s="545"/>
      <c r="H153" s="540"/>
      <c r="I153" s="388">
        <f>PGL_Requirements!T7/1000</f>
        <v>0</v>
      </c>
    </row>
    <row r="154" spans="1:9" ht="15">
      <c r="A154" s="425" t="s">
        <v>454</v>
      </c>
      <c r="B154" s="324">
        <f>PGL_Supplies!AE7/1000</f>
        <v>0</v>
      </c>
      <c r="C154" s="381" t="s">
        <v>11</v>
      </c>
      <c r="D154" s="313"/>
      <c r="E154" s="382"/>
      <c r="F154" s="537" t="s">
        <v>481</v>
      </c>
      <c r="G154" s="544"/>
      <c r="H154" s="540"/>
      <c r="I154" s="324">
        <f>PGL_Supplies!AL7/1000</f>
        <v>0</v>
      </c>
    </row>
    <row r="155" spans="1:9" ht="15">
      <c r="A155" s="425" t="s">
        <v>455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75" thickBot="1">
      <c r="A156" s="425" t="s">
        <v>456</v>
      </c>
      <c r="B156" s="324">
        <f>PGL_Supplies!G7/1000</f>
        <v>0</v>
      </c>
      <c r="C156" s="389" t="s">
        <v>11</v>
      </c>
      <c r="D156" s="313"/>
      <c r="E156" s="382"/>
      <c r="F156" s="370" t="s">
        <v>393</v>
      </c>
      <c r="G156" s="573"/>
      <c r="H156" s="550"/>
      <c r="I156" s="324">
        <f>PGL_Supplies!AL9/1000</f>
        <v>0</v>
      </c>
    </row>
    <row r="157" spans="1:9" ht="15.75">
      <c r="A157" s="425" t="s">
        <v>457</v>
      </c>
      <c r="B157" s="388">
        <f>PGL_Requirements!T7/1000</f>
        <v>0</v>
      </c>
      <c r="C157" s="381" t="s">
        <v>11</v>
      </c>
      <c r="D157" s="313"/>
      <c r="E157" s="382"/>
      <c r="F157" s="575" t="s">
        <v>482</v>
      </c>
      <c r="G157" s="576"/>
      <c r="H157" s="574"/>
      <c r="I157" s="577">
        <v>0</v>
      </c>
    </row>
    <row r="158" spans="1:9" ht="15.75" thickBot="1">
      <c r="A158" s="425" t="s">
        <v>458</v>
      </c>
      <c r="B158" s="324">
        <f>PGL_Supplies!P7/1000</f>
        <v>0</v>
      </c>
      <c r="C158" s="389" t="s">
        <v>11</v>
      </c>
      <c r="D158" s="313"/>
      <c r="E158" s="491"/>
      <c r="F158" s="578" t="s">
        <v>483</v>
      </c>
      <c r="G158" s="392"/>
      <c r="H158" s="579"/>
      <c r="I158" s="580">
        <v>0</v>
      </c>
    </row>
    <row r="159" spans="1:9" ht="16.5" thickBot="1">
      <c r="A159" s="425" t="s">
        <v>109</v>
      </c>
      <c r="B159" s="324">
        <f>PGL_Supplies!AD7/1000</f>
        <v>0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75" thickBot="1">
      <c r="A160" s="425" t="s">
        <v>393</v>
      </c>
      <c r="B160" s="611">
        <f>PGL_Supplies!Y7/1000</f>
        <v>172.51499999999999</v>
      </c>
      <c r="C160" s="527" t="s">
        <v>11</v>
      </c>
      <c r="D160" s="349"/>
      <c r="E160" s="525"/>
      <c r="F160" s="581" t="s">
        <v>484</v>
      </c>
      <c r="G160" s="541" t="s">
        <v>11</v>
      </c>
      <c r="H160" s="523"/>
      <c r="I160" s="586"/>
    </row>
    <row r="161" spans="1:9" ht="16.5" thickBot="1">
      <c r="A161" s="595" t="s">
        <v>459</v>
      </c>
      <c r="B161" s="613"/>
      <c r="C161" s="533" t="s">
        <v>11</v>
      </c>
      <c r="D161" s="534"/>
      <c r="E161" s="535"/>
      <c r="F161" s="564" t="s">
        <v>485</v>
      </c>
      <c r="G161" s="349"/>
      <c r="H161" s="584"/>
      <c r="I161" s="585" t="s">
        <v>11</v>
      </c>
    </row>
    <row r="162" spans="1:9" ht="16.5" thickBot="1">
      <c r="A162" s="399" t="s">
        <v>452</v>
      </c>
      <c r="B162" s="612">
        <f>B154+B156+B158+B159+B160-B153-B155-B157-B161</f>
        <v>172.51499999999999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.75" thickBot="1">
      <c r="A163" s="596"/>
      <c r="B163" s="597" t="s">
        <v>486</v>
      </c>
      <c r="C163" s="597"/>
      <c r="D163" s="597" t="s">
        <v>487</v>
      </c>
      <c r="E163" s="597"/>
      <c r="F163" s="597"/>
      <c r="G163" s="597"/>
      <c r="H163" s="598" t="s">
        <v>258</v>
      </c>
      <c r="I163" s="599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196" t="s">
        <v>259</v>
      </c>
      <c r="C2" s="196" t="s">
        <v>259</v>
      </c>
      <c r="D2" s="196" t="s">
        <v>259</v>
      </c>
      <c r="E2" s="196" t="s">
        <v>259</v>
      </c>
      <c r="F2" s="196" t="s">
        <v>259</v>
      </c>
      <c r="G2" s="196" t="s">
        <v>259</v>
      </c>
      <c r="H2" s="196" t="s">
        <v>259</v>
      </c>
      <c r="I2" s="196" t="s">
        <v>259</v>
      </c>
      <c r="J2" s="6"/>
    </row>
    <row r="14" spans="1:10" ht="30">
      <c r="A14" s="196" t="s">
        <v>266</v>
      </c>
      <c r="B14" s="196" t="s">
        <v>266</v>
      </c>
      <c r="C14" s="196" t="s">
        <v>266</v>
      </c>
      <c r="D14" s="196" t="s">
        <v>266</v>
      </c>
      <c r="E14" s="196" t="s">
        <v>266</v>
      </c>
      <c r="F14" s="196" t="s">
        <v>266</v>
      </c>
      <c r="G14" s="196" t="s">
        <v>266</v>
      </c>
      <c r="H14" s="196" t="s">
        <v>266</v>
      </c>
      <c r="I14" s="196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382</v>
      </c>
      <c r="F5" s="197" t="s">
        <v>261</v>
      </c>
      <c r="G5" s="125" t="s">
        <v>383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384</v>
      </c>
    </row>
    <row r="9" spans="1:10">
      <c r="D9" s="125" t="s">
        <v>386</v>
      </c>
      <c r="G9" s="125" t="s">
        <v>385</v>
      </c>
    </row>
    <row r="10" spans="1:10">
      <c r="D10" s="125" t="s">
        <v>387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391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270</v>
      </c>
      <c r="D22" s="166">
        <f ca="1">NOW()</f>
        <v>37019.082590393518</v>
      </c>
      <c r="F22" s="164" t="s">
        <v>271</v>
      </c>
      <c r="G22" s="191">
        <f ca="1">NOW()</f>
        <v>37019.082590393518</v>
      </c>
    </row>
    <row r="24" spans="2:9">
      <c r="B24" s="164" t="s">
        <v>272</v>
      </c>
      <c r="D24" s="229" t="s">
        <v>407</v>
      </c>
      <c r="E24" t="s">
        <v>11</v>
      </c>
      <c r="F24" s="164" t="s">
        <v>273</v>
      </c>
      <c r="G24" s="165" t="s">
        <v>274</v>
      </c>
    </row>
    <row r="25" spans="2:9" ht="15.75" thickBot="1"/>
    <row r="26" spans="2:9" ht="15.75" thickBot="1">
      <c r="B26" s="209" t="s">
        <v>11</v>
      </c>
      <c r="C26" s="164" t="s">
        <v>275</v>
      </c>
    </row>
    <row r="27" spans="2:9" ht="15.75" thickBot="1">
      <c r="B27" s="209" t="s">
        <v>11</v>
      </c>
      <c r="C27" s="164" t="s">
        <v>276</v>
      </c>
    </row>
    <row r="28" spans="2:9" ht="15.75" thickBot="1">
      <c r="B28" s="209" t="s">
        <v>408</v>
      </c>
      <c r="C28" s="125" t="s">
        <v>388</v>
      </c>
    </row>
    <row r="29" spans="2:9">
      <c r="B29" t="s">
        <v>11</v>
      </c>
      <c r="C29" s="164" t="s">
        <v>389</v>
      </c>
    </row>
    <row r="30" spans="2:9">
      <c r="C30" s="164" t="s">
        <v>11</v>
      </c>
    </row>
    <row r="32" spans="2:9">
      <c r="B32" s="164" t="s">
        <v>277</v>
      </c>
      <c r="E32" s="449">
        <v>35915</v>
      </c>
    </row>
    <row r="34" spans="2:8" ht="15.75">
      <c r="B34" s="164" t="s">
        <v>278</v>
      </c>
      <c r="E34" s="190">
        <v>0</v>
      </c>
      <c r="F34" t="s">
        <v>279</v>
      </c>
    </row>
    <row r="36" spans="2:8" ht="15.75">
      <c r="B36" s="164" t="s">
        <v>280</v>
      </c>
      <c r="E36" s="190">
        <v>0</v>
      </c>
      <c r="F36" t="s">
        <v>279</v>
      </c>
    </row>
    <row r="38" spans="2:8" ht="15.75">
      <c r="B38" t="s">
        <v>281</v>
      </c>
      <c r="E38" s="166">
        <f>+E32+1</f>
        <v>35916</v>
      </c>
      <c r="F38" s="190">
        <v>0</v>
      </c>
      <c r="G38" t="s">
        <v>279</v>
      </c>
    </row>
    <row r="39" spans="2:8" ht="15.75">
      <c r="E39" s="166">
        <f>+E38+1</f>
        <v>35917</v>
      </c>
      <c r="F39" s="190">
        <v>0</v>
      </c>
      <c r="G39" t="s">
        <v>279</v>
      </c>
    </row>
    <row r="40" spans="2:8" ht="15.75">
      <c r="E40" s="166">
        <f>+E39+1</f>
        <v>35918</v>
      </c>
      <c r="F40" s="190">
        <v>0</v>
      </c>
      <c r="G40" t="s">
        <v>279</v>
      </c>
    </row>
    <row r="41" spans="2:8" ht="15.75">
      <c r="E41" s="166">
        <f>+E40+1</f>
        <v>35919</v>
      </c>
      <c r="F41" s="190">
        <v>0</v>
      </c>
      <c r="G41" t="s">
        <v>279</v>
      </c>
    </row>
    <row r="42" spans="2:8" ht="15.75">
      <c r="E42" s="166">
        <f>+E41+1</f>
        <v>35920</v>
      </c>
      <c r="F42" s="190">
        <v>0</v>
      </c>
      <c r="G42" t="s">
        <v>279</v>
      </c>
    </row>
    <row r="44" spans="2:8">
      <c r="B44" s="164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283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390</v>
      </c>
      <c r="D49" s="189"/>
    </row>
    <row r="50" spans="2:4">
      <c r="B50" s="188"/>
      <c r="C50" s="187" t="s">
        <v>284</v>
      </c>
    </row>
    <row r="51" spans="2:4">
      <c r="B51" s="188"/>
      <c r="C51" s="187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37018</v>
      </c>
      <c r="C5" s="15"/>
      <c r="D5" s="22" t="s">
        <v>289</v>
      </c>
      <c r="E5" s="23">
        <f>Weather_Input!B5</f>
        <v>66</v>
      </c>
      <c r="F5" s="24" t="s">
        <v>290</v>
      </c>
      <c r="G5" s="25" t="str">
        <f>Weather_Input!H5</f>
        <v xml:space="preserve"> </v>
      </c>
      <c r="H5" s="26" t="s">
        <v>291</v>
      </c>
      <c r="I5" s="27">
        <f ca="1">G5-(VLOOKUP(B5,DD_Normal_Data,CELL("Col",B6),FALSE))</f>
        <v>-9</v>
      </c>
    </row>
    <row r="6" spans="1:109" ht="15">
      <c r="A6" s="18"/>
      <c r="B6" s="21"/>
      <c r="C6" s="15"/>
      <c r="D6" s="22" t="s">
        <v>176</v>
      </c>
      <c r="E6" s="23">
        <f>Weather_Input!C5</f>
        <v>46</v>
      </c>
      <c r="F6" s="24" t="s">
        <v>292</v>
      </c>
      <c r="G6" s="25" t="str">
        <f>Weather_Input!F5</f>
        <v xml:space="preserve"> </v>
      </c>
      <c r="H6" s="26" t="s">
        <v>293</v>
      </c>
      <c r="I6" s="27">
        <f ca="1">G6-(VLOOKUP(B5,DD_Normal_Data,CELL("Col",C7),FALSE))</f>
        <v>-73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56</v>
      </c>
      <c r="F7" s="24" t="s">
        <v>295</v>
      </c>
      <c r="G7" s="25">
        <f>Weather_Input!G5</f>
        <v>0</v>
      </c>
      <c r="H7" s="26" t="s">
        <v>295</v>
      </c>
      <c r="I7" s="123">
        <f ca="1">G7-(VLOOKUP(B5,DD_Normal_Data,CELL("Col",D4),FALSE))</f>
        <v>-6224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TODAY - A BRIEF SHOWER EARLY, CLOUDY MOST OF THE TIME AND BREEZY.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- CLEAR TO PARTLY CLOUDY.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37019</v>
      </c>
      <c r="C10" s="15"/>
      <c r="D10" s="153" t="s">
        <v>289</v>
      </c>
      <c r="E10" s="23">
        <f>Weather_Input!B6</f>
        <v>74</v>
      </c>
      <c r="F10" s="24" t="s">
        <v>290</v>
      </c>
      <c r="G10" s="25">
        <f>IF(E12&lt;65,65-(Weather_Input!B6+Weather_Input!C6)/2,0)</f>
        <v>3.5</v>
      </c>
      <c r="H10" s="26" t="s">
        <v>291</v>
      </c>
      <c r="I10" s="27">
        <f ca="1">G10-(VLOOKUP(B10,DD_Normal_Data,CELL("Col",B11),FALSE))</f>
        <v>-5.5</v>
      </c>
    </row>
    <row r="11" spans="1:109" ht="15">
      <c r="A11" s="18"/>
      <c r="B11" s="21"/>
      <c r="C11" s="15"/>
      <c r="D11" s="22" t="s">
        <v>176</v>
      </c>
      <c r="E11" s="23">
        <f>Weather_Input!C6</f>
        <v>49</v>
      </c>
      <c r="F11" s="24" t="s">
        <v>292</v>
      </c>
      <c r="G11" s="25">
        <f>IF(DAY(B10)=1,G10,G6+G10)</f>
        <v>3.5</v>
      </c>
      <c r="H11" s="30" t="s">
        <v>293</v>
      </c>
      <c r="I11" s="27">
        <f ca="1">G11-(VLOOKUP(B10,DD_Normal_Data,CELL("Col",C12),FALSE))</f>
        <v>-78.5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61.5</v>
      </c>
      <c r="F12" s="24" t="s">
        <v>295</v>
      </c>
      <c r="G12" s="25">
        <f>IF(AND(DAY(B10)=1,MONTH(B10)=8),G10,G7+G10)</f>
        <v>3.5</v>
      </c>
      <c r="H12" s="26" t="s">
        <v>295</v>
      </c>
      <c r="I12" s="27">
        <f ca="1">G12-(VLOOKUP(B10,DD_Normal_Data,CELL("Col",D9),FALSE))</f>
        <v>-6229.5</v>
      </c>
    </row>
    <row r="13" spans="1:109" ht="15">
      <c r="A13" s="18"/>
      <c r="B13" s="21"/>
      <c r="C13" s="15"/>
      <c r="D13" s="32" t="str">
        <f>IF(Weather_Input!I6=""," ",Weather_Input!I6)</f>
        <v xml:space="preserve">  SOME SUN; NICE EARLY IN THE DAY, BECOMING  BREEZY AND WARM LATER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IN THE DAY.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37020</v>
      </c>
      <c r="C15" s="15"/>
      <c r="D15" s="22" t="s">
        <v>289</v>
      </c>
      <c r="E15" s="23">
        <f>Weather_Input!B7</f>
        <v>77</v>
      </c>
      <c r="F15" s="24" t="s">
        <v>290</v>
      </c>
      <c r="G15" s="25">
        <f>IF(E17&lt;65,65-(Weather_Input!B7+Weather_Input!C7)/2,0)</f>
        <v>0</v>
      </c>
      <c r="H15" s="26" t="s">
        <v>291</v>
      </c>
      <c r="I15" s="27">
        <f ca="1">G15-(VLOOKUP(B15,DD_Normal_Data,CELL("Col",B16),FALSE))</f>
        <v>-9</v>
      </c>
    </row>
    <row r="16" spans="1:109" ht="15">
      <c r="A16" s="18"/>
      <c r="B16" s="20"/>
      <c r="C16" s="15"/>
      <c r="D16" s="22" t="s">
        <v>176</v>
      </c>
      <c r="E16" s="23">
        <f>Weather_Input!C7</f>
        <v>58</v>
      </c>
      <c r="F16" s="24" t="s">
        <v>292</v>
      </c>
      <c r="G16" s="25">
        <f>IF(DAY(B15)=1,G15,G11+G15)</f>
        <v>3.5</v>
      </c>
      <c r="H16" s="30" t="s">
        <v>293</v>
      </c>
      <c r="I16" s="27">
        <f ca="1">G16-(VLOOKUP(B15,DD_Normal_Data,CELL("Col",C17),FALSE))</f>
        <v>-87.5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67.5</v>
      </c>
      <c r="F17" s="24" t="s">
        <v>295</v>
      </c>
      <c r="G17" s="25">
        <f>IF(AND(DAY(B15)=1,MONTH(B15)=8),G15,G12+G15)</f>
        <v>3.5</v>
      </c>
      <c r="H17" s="26" t="s">
        <v>295</v>
      </c>
      <c r="I17" s="27">
        <f ca="1">G17-(VLOOKUP(B15,DD_Normal_Data,CELL("Col",D14),FALSE))</f>
        <v>-6238.5</v>
      </c>
    </row>
    <row r="18" spans="1:109" ht="15">
      <c r="A18" s="18"/>
      <c r="B18" s="20"/>
      <c r="C18" s="15"/>
      <c r="D18" s="32" t="str">
        <f>IF(Weather_Input!I7=""," ",Weather_Input!I7)</f>
        <v xml:space="preserve">  COOL WITH SUN AND CLOUDS.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37021</v>
      </c>
      <c r="C20" s="15"/>
      <c r="D20" s="22" t="s">
        <v>289</v>
      </c>
      <c r="E20" s="23">
        <f>Weather_Input!B8</f>
        <v>82</v>
      </c>
      <c r="F20" s="24" t="s">
        <v>290</v>
      </c>
      <c r="G20" s="25">
        <f>IF(E22&lt;65,65-(Weather_Input!B8+Weather_Input!C8)/2,0)</f>
        <v>0</v>
      </c>
      <c r="H20" s="26" t="s">
        <v>291</v>
      </c>
      <c r="I20" s="27">
        <f ca="1">G20-(VLOOKUP(B20,DD_Normal_Data,CELL("Col",B21),FALSE))</f>
        <v>-8</v>
      </c>
    </row>
    <row r="21" spans="1:109" ht="15">
      <c r="A21" s="18"/>
      <c r="B21" s="21"/>
      <c r="C21" s="15"/>
      <c r="D21" s="22" t="s">
        <v>176</v>
      </c>
      <c r="E21" s="23">
        <f>Weather_Input!C8</f>
        <v>54</v>
      </c>
      <c r="F21" s="24" t="s">
        <v>292</v>
      </c>
      <c r="G21" s="25">
        <f>IF(DAY(B20)=1,G20,G16+G20)</f>
        <v>3.5</v>
      </c>
      <c r="H21" s="30" t="s">
        <v>293</v>
      </c>
      <c r="I21" s="27">
        <f ca="1">G21-(VLOOKUP(B20,DD_Normal_Data,CELL("Col",C22),FALSE))</f>
        <v>-95.5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68</v>
      </c>
      <c r="F22" s="24" t="s">
        <v>295</v>
      </c>
      <c r="G22" s="25">
        <f>IF(AND(DAY(B20)=1,MONTH(B20)=8),G20,G17+G20)</f>
        <v>3.5</v>
      </c>
      <c r="H22" s="26" t="s">
        <v>295</v>
      </c>
      <c r="I22" s="27">
        <f ca="1">G22-(VLOOKUP(B20,DD_Normal_Data,CELL("Col",D19),FALSE))</f>
        <v>-6246.5</v>
      </c>
    </row>
    <row r="23" spans="1:109" ht="15">
      <c r="A23" s="18"/>
      <c r="B23" s="21"/>
      <c r="C23" s="15"/>
      <c r="D23" s="32" t="str">
        <f>IF(Weather_Input!I8=""," ",Weather_Input!I8)</f>
        <v xml:space="preserve">  SUNNY TO PARTLY CLOUDY.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37022</v>
      </c>
      <c r="C25" s="15"/>
      <c r="D25" s="22" t="s">
        <v>289</v>
      </c>
      <c r="E25" s="23">
        <f>Weather_Input!B9</f>
        <v>70</v>
      </c>
      <c r="F25" s="24" t="s">
        <v>290</v>
      </c>
      <c r="G25" s="25">
        <f>IF(E27&lt;65,65-(Weather_Input!B9+Weather_Input!C9)/2,0)</f>
        <v>6</v>
      </c>
      <c r="H25" s="26" t="s">
        <v>291</v>
      </c>
      <c r="I25" s="27">
        <f ca="1">G25-(VLOOKUP(B25,DD_Normal_Data,CELL("Col",B26),FALSE))</f>
        <v>-2</v>
      </c>
    </row>
    <row r="26" spans="1:109" ht="15">
      <c r="A26" s="18"/>
      <c r="B26" s="21"/>
      <c r="C26" s="15"/>
      <c r="D26" s="22" t="s">
        <v>176</v>
      </c>
      <c r="E26" s="23">
        <f>Weather_Input!C9</f>
        <v>48</v>
      </c>
      <c r="F26" s="24" t="s">
        <v>292</v>
      </c>
      <c r="G26" s="25">
        <f>IF(DAY(B25)=1,G25,G21+G25)</f>
        <v>9.5</v>
      </c>
      <c r="H26" s="30" t="s">
        <v>293</v>
      </c>
      <c r="I26" s="27">
        <f ca="1">G26-(VLOOKUP(B25,DD_Normal_Data,CELL("Col",C27),FALSE))</f>
        <v>-97.5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59</v>
      </c>
      <c r="F27" s="24" t="s">
        <v>295</v>
      </c>
      <c r="G27" s="25">
        <f>IF(AND(DAY(B25)=1,MONTH(B25)=8),G25,G22+G25)</f>
        <v>9.5</v>
      </c>
      <c r="H27" s="26" t="s">
        <v>295</v>
      </c>
      <c r="I27" s="27">
        <f ca="1">G27-(VLOOKUP(B25,DD_Normal_Data,CELL("Col",D24),FALSE))</f>
        <v>-6248.5</v>
      </c>
    </row>
    <row r="28" spans="1:109" ht="15">
      <c r="A28" s="18"/>
      <c r="B28" s="20"/>
      <c r="C28" s="15"/>
      <c r="D28" s="32" t="str">
        <f>IF(Weather_Input!I9=""," ",Weather_Input!I9)</f>
        <v xml:space="preserve">  OCCASIONAL RAIN WITH CONSIDERABLE CLOUDINESS.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37023</v>
      </c>
      <c r="C30" s="15"/>
      <c r="D30" s="22" t="s">
        <v>289</v>
      </c>
      <c r="E30" s="23">
        <f>Weather_Input!B10</f>
        <v>70</v>
      </c>
      <c r="F30" s="24" t="s">
        <v>290</v>
      </c>
      <c r="G30" s="25">
        <f>IF(E32&lt;65,65-(Weather_Input!B10+Weather_Input!C10)/2,0)</f>
        <v>6</v>
      </c>
      <c r="H30" s="26" t="s">
        <v>291</v>
      </c>
      <c r="I30" s="27">
        <f ca="1">G30-(VLOOKUP(B30,DD_Normal_Data,CELL("Col",B31),FALSE))</f>
        <v>-2</v>
      </c>
    </row>
    <row r="31" spans="1:109" ht="15">
      <c r="A31" s="15"/>
      <c r="B31" s="15"/>
      <c r="C31" s="15"/>
      <c r="D31" s="22" t="s">
        <v>176</v>
      </c>
      <c r="E31" s="23">
        <f>Weather_Input!C10</f>
        <v>48</v>
      </c>
      <c r="F31" s="24" t="s">
        <v>292</v>
      </c>
      <c r="G31" s="25">
        <f>IF(DAY(B30)=1,G30,G26+G30)</f>
        <v>15.5</v>
      </c>
      <c r="H31" s="30" t="s">
        <v>293</v>
      </c>
      <c r="I31" s="27">
        <f ca="1">G31-(VLOOKUP(B30,DD_Normal_Data,CELL("Col",C32),FALSE))</f>
        <v>-99.5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59</v>
      </c>
      <c r="F32" s="24" t="s">
        <v>295</v>
      </c>
      <c r="G32" s="25">
        <f>IF(AND(DAY(B30)=1,MONTH(B30)=8),G30,G27+G30)</f>
        <v>15.5</v>
      </c>
      <c r="H32" s="26" t="s">
        <v>295</v>
      </c>
      <c r="I32" s="27">
        <f ca="1">G32-(VLOOKUP(B30,DD_Normal_Data,CELL("Col",D29),FALSE))</f>
        <v>-6250.5</v>
      </c>
    </row>
    <row r="33" spans="1:9" ht="15">
      <c r="A33" s="15"/>
      <c r="B33" s="34"/>
      <c r="C33" s="15"/>
      <c r="D33" s="32" t="str">
        <f>IF(Weather_Input!I10=""," ",Weather_Input!I10)</f>
        <v xml:space="preserve">  OCCASIONAL RAIN WITH CONSIDERABLE CLOUDINESS.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37018</v>
      </c>
      <c r="C36" s="91">
        <f>B10</f>
        <v>37019</v>
      </c>
      <c r="D36" s="91">
        <f>B15</f>
        <v>37020</v>
      </c>
      <c r="E36" s="91">
        <f xml:space="preserve">       B20</f>
        <v>37021</v>
      </c>
      <c r="F36" s="91">
        <f>B25</f>
        <v>37022</v>
      </c>
      <c r="G36" s="91">
        <f>B30</f>
        <v>37023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245</v>
      </c>
      <c r="C37" s="41">
        <f ca="1">(VLOOKUP(C36,PGL_Sendouts,(CELL("COL",PGL_Deliveries!C7))))/1000</f>
        <v>245</v>
      </c>
      <c r="D37" s="41">
        <f ca="1">(VLOOKUP(D36,PGL_Sendouts,(CELL("COL",PGL_Deliveries!C8))))/1000</f>
        <v>245</v>
      </c>
      <c r="E37" s="41">
        <f ca="1">(VLOOKUP(E36,PGL_Sendouts,(CELL("COL",PGL_Deliveries!C9))))/1000</f>
        <v>240</v>
      </c>
      <c r="F37" s="41">
        <f ca="1">(VLOOKUP(F36,PGL_Sendouts,(CELL("COL",PGL_Deliveries!C10))))/1000</f>
        <v>235</v>
      </c>
      <c r="G37" s="41">
        <f ca="1">(VLOOKUP(G36,PGL_Sendouts,(CELL("COL",PGL_Deliveries!C10))))/1000</f>
        <v>225</v>
      </c>
      <c r="H37" s="14"/>
      <c r="I37" s="15"/>
    </row>
    <row r="38" spans="1:9" ht="15">
      <c r="A38" s="15" t="s">
        <v>300</v>
      </c>
      <c r="B38" s="41">
        <f>PGL_6_Day_Report!D30</f>
        <v>484.45400000000001</v>
      </c>
      <c r="C38" s="41">
        <f>PGL_6_Day_Report!E30</f>
        <v>458.85399999999998</v>
      </c>
      <c r="D38" s="41">
        <f>PGL_6_Day_Report!F30</f>
        <v>458.85399999999998</v>
      </c>
      <c r="E38" s="41">
        <f>PGL_6_Day_Report!G30</f>
        <v>433.08</v>
      </c>
      <c r="F38" s="41">
        <f>PGL_6_Day_Report!H30</f>
        <v>428.08</v>
      </c>
      <c r="G38" s="41">
        <f>PGL_6_Day_Report!I30</f>
        <v>418.08</v>
      </c>
      <c r="H38" s="14"/>
      <c r="I38" s="15"/>
    </row>
    <row r="39" spans="1:9" ht="15">
      <c r="A39" s="42" t="s">
        <v>109</v>
      </c>
      <c r="B39" s="41">
        <f>SUM(PGL_Supplies!Z7:AE7)/1000</f>
        <v>284.11900000000003</v>
      </c>
      <c r="C39" s="41">
        <f>SUM(PGL_Supplies!Z8:AE8)/1000</f>
        <v>295.32299999999998</v>
      </c>
      <c r="D39" s="41">
        <f>SUM(PGL_Supplies!Z9:AE9)/1000</f>
        <v>295.21499999999997</v>
      </c>
      <c r="E39" s="41">
        <f>SUM(PGL_Supplies!Z10:AE10)/1000</f>
        <v>289.40800000000002</v>
      </c>
      <c r="F39" s="41">
        <f>SUM(PGL_Supplies!Z11:AE11)/1000</f>
        <v>289.40800000000002</v>
      </c>
      <c r="G39" s="41">
        <f>SUM(PGL_Supplies!Z12:AE12)/1000</f>
        <v>289.40800000000002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40.83</v>
      </c>
      <c r="C41" s="41">
        <f>SUM(PGL_Requirements!R7:U7)/1000</f>
        <v>40.83</v>
      </c>
      <c r="D41" s="41">
        <f>SUM(PGL_Requirements!R7:U7)/1000</f>
        <v>40.83</v>
      </c>
      <c r="E41" s="41">
        <f>SUM(PGL_Requirements!R7:U7)/1000</f>
        <v>40.83</v>
      </c>
      <c r="F41" s="41">
        <f>SUM(PGL_Requirements!R7:U7)/1000</f>
        <v>40.83</v>
      </c>
      <c r="G41" s="41">
        <f>SUM(PGL_Requirements!R7:U7)/1000</f>
        <v>40.83</v>
      </c>
      <c r="H41" s="14"/>
      <c r="I41" s="15"/>
    </row>
    <row r="42" spans="1:9" ht="15">
      <c r="A42" s="15" t="s">
        <v>132</v>
      </c>
      <c r="B42" s="41">
        <f>PGL_Supplies!V7/1000</f>
        <v>180.84399999999999</v>
      </c>
      <c r="C42" s="41">
        <f>PGL_Supplies!V8/1000</f>
        <v>180.84399999999999</v>
      </c>
      <c r="D42" s="41">
        <f>PGL_Supplies!V9/1000</f>
        <v>180.84399999999999</v>
      </c>
      <c r="E42" s="41">
        <f>PGL_Supplies!V10/1000</f>
        <v>180.84399999999999</v>
      </c>
      <c r="F42" s="41">
        <f>PGL_Supplies!V11/1000</f>
        <v>180.84399999999999</v>
      </c>
      <c r="G42" s="41">
        <f>PGL_Supplies!V12/1000</f>
        <v>180.84399999999999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37018</v>
      </c>
      <c r="C44" s="91">
        <f t="shared" si="0"/>
        <v>37019</v>
      </c>
      <c r="D44" s="91">
        <f t="shared" si="0"/>
        <v>37020</v>
      </c>
      <c r="E44" s="91">
        <f t="shared" si="0"/>
        <v>37021</v>
      </c>
      <c r="F44" s="91">
        <f t="shared" si="0"/>
        <v>37022</v>
      </c>
      <c r="G44" s="91">
        <f t="shared" si="0"/>
        <v>37023</v>
      </c>
      <c r="H44" s="14"/>
      <c r="I44" s="15"/>
    </row>
    <row r="45" spans="1:9" ht="15">
      <c r="A45" s="15" t="s">
        <v>56</v>
      </c>
      <c r="B45" s="41">
        <f ca="1">NSG_6_Day_Report!D6</f>
        <v>42</v>
      </c>
      <c r="C45" s="41">
        <f ca="1">NSG_6_Day_Report!E6</f>
        <v>44</v>
      </c>
      <c r="D45" s="41">
        <f ca="1">NSG_6_Day_Report!F6</f>
        <v>44</v>
      </c>
      <c r="E45" s="41">
        <f ca="1">NSG_6_Day_Report!G6</f>
        <v>44</v>
      </c>
      <c r="F45" s="41">
        <f ca="1">NSG_6_Day_Report!H6</f>
        <v>40</v>
      </c>
      <c r="G45" s="41">
        <f ca="1">NSG_6_Day_Report!I6</f>
        <v>38</v>
      </c>
      <c r="H45" s="14"/>
      <c r="I45" s="15"/>
    </row>
    <row r="46" spans="1:9" ht="15">
      <c r="A46" s="42" t="s">
        <v>300</v>
      </c>
      <c r="B46" s="41">
        <f ca="1">NSG_6_Day_Report!D19</f>
        <v>60.54</v>
      </c>
      <c r="C46" s="41">
        <f ca="1">NSG_6_Day_Report!E19</f>
        <v>64</v>
      </c>
      <c r="D46" s="41">
        <f ca="1">NSG_6_Day_Report!F19</f>
        <v>64</v>
      </c>
      <c r="E46" s="41">
        <f ca="1">NSG_6_Day_Report!G19</f>
        <v>64</v>
      </c>
      <c r="F46" s="41">
        <f ca="1">NSG_6_Day_Report!H19</f>
        <v>60</v>
      </c>
      <c r="G46" s="41">
        <f ca="1">NSG_6_Day_Report!I19</f>
        <v>58</v>
      </c>
      <c r="H46" s="14"/>
      <c r="I46" s="15"/>
    </row>
    <row r="47" spans="1:9" ht="15">
      <c r="A47" s="42" t="s">
        <v>109</v>
      </c>
      <c r="B47" s="41">
        <f>SUM(NSG_Supplies!P7:R7)/1000</f>
        <v>51.536000000000001</v>
      </c>
      <c r="C47" s="41">
        <f>SUM(NSG_Supplies!P8:R8)/1000</f>
        <v>51.456000000000003</v>
      </c>
      <c r="D47" s="41">
        <f>SUM(NSG_Supplies!P9:R9)/1000</f>
        <v>51.536000000000001</v>
      </c>
      <c r="E47" s="41">
        <f>SUM(NSG_Supplies!P10:R10)/1000</f>
        <v>51.536000000000001</v>
      </c>
      <c r="F47" s="41">
        <f>SUM(NSG_Supplies!P11:R11)/1000</f>
        <v>51.536000000000001</v>
      </c>
      <c r="G47" s="41">
        <f>SUM(NSG_Supplies!P12:R12)/1000</f>
        <v>51.536000000000001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20.591000000000001</v>
      </c>
      <c r="C50" s="41">
        <f>NSG_Supplies!S8/1000</f>
        <v>20.591000000000001</v>
      </c>
      <c r="D50" s="41">
        <f>NSG_Supplies!S9/1000</f>
        <v>20.591000000000001</v>
      </c>
      <c r="E50" s="41">
        <f>NSG_Supplies!S10/1000</f>
        <v>20.591000000000001</v>
      </c>
      <c r="F50" s="41">
        <f>NSG_Supplies!S11/1000</f>
        <v>20.591000000000001</v>
      </c>
      <c r="G50" s="41">
        <f>NSG_Supplies!S12/1000</f>
        <v>20.591000000000001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37018</v>
      </c>
      <c r="C52" s="91">
        <f t="shared" si="1"/>
        <v>37019</v>
      </c>
      <c r="D52" s="91">
        <f t="shared" si="1"/>
        <v>37020</v>
      </c>
      <c r="E52" s="91">
        <f t="shared" si="1"/>
        <v>37021</v>
      </c>
      <c r="F52" s="91">
        <f t="shared" si="1"/>
        <v>37022</v>
      </c>
      <c r="G52" s="91">
        <f t="shared" si="1"/>
        <v>37023</v>
      </c>
      <c r="H52" s="14"/>
      <c r="I52" s="15"/>
    </row>
    <row r="53" spans="1:9" ht="15">
      <c r="A53" s="94" t="s">
        <v>304</v>
      </c>
      <c r="B53" s="41">
        <f>PGL_Requirements!P7/1000</f>
        <v>158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6" t="s">
        <v>735</v>
      </c>
    </row>
    <row r="57" spans="1:9">
      <c r="A57" s="158" t="s">
        <v>306</v>
      </c>
    </row>
    <row r="58" spans="1:9">
      <c r="A58" s="158" t="s">
        <v>307</v>
      </c>
      <c r="G58" s="159"/>
    </row>
    <row r="59" spans="1:9">
      <c r="A59" s="158" t="s">
        <v>308</v>
      </c>
    </row>
    <row r="60" spans="1:9">
      <c r="A60" s="158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38"/>
    </row>
    <row r="3" spans="1:8" ht="15.75" thickBot="1">
      <c r="A3" s="98" t="s">
        <v>310</v>
      </c>
    </row>
    <row r="4" spans="1:8">
      <c r="A4" s="99"/>
      <c r="B4" s="1139" t="str">
        <f>Six_Day_Summary!A10</f>
        <v>Tuesday</v>
      </c>
      <c r="C4" s="1140" t="str">
        <f>Six_Day_Summary!A15</f>
        <v>Wednesday</v>
      </c>
      <c r="D4" s="1140" t="str">
        <f>Six_Day_Summary!A20</f>
        <v>Thursday</v>
      </c>
      <c r="E4" s="1140" t="str">
        <f>Six_Day_Summary!A25</f>
        <v>Friday</v>
      </c>
      <c r="F4" s="1141" t="str">
        <f>Six_Day_Summary!A30</f>
        <v>Saturday</v>
      </c>
      <c r="G4" s="100"/>
    </row>
    <row r="5" spans="1:8">
      <c r="A5" s="103" t="s">
        <v>311</v>
      </c>
      <c r="B5" s="1142">
        <f>Weather_Input!A6</f>
        <v>37019</v>
      </c>
      <c r="C5" s="1143">
        <f>Weather_Input!A7</f>
        <v>37020</v>
      </c>
      <c r="D5" s="1143">
        <f>Weather_Input!A8</f>
        <v>37021</v>
      </c>
      <c r="E5" s="1143">
        <f>Weather_Input!A9</f>
        <v>37022</v>
      </c>
      <c r="F5" s="1144">
        <f>Weather_Input!A10</f>
        <v>37023</v>
      </c>
      <c r="G5" s="100"/>
    </row>
    <row r="6" spans="1:8">
      <c r="A6" s="100" t="s">
        <v>312</v>
      </c>
      <c r="B6" s="1145">
        <f>PGL_Supplies!AC8/1000+PGL_Supplies!L8/1000-PGL_Requirements!O8/1000-PGL_Requirements!T8/1000+B8</f>
        <v>110.557</v>
      </c>
      <c r="C6" s="1145">
        <f>PGL_Supplies!AC9/1000+PGL_Supplies!L9/1000-PGL_Requirements!O9/1000+C15-PGL_Requirements!T9/1000</f>
        <v>110.449</v>
      </c>
      <c r="D6" s="1145">
        <f>PGL_Supplies!AC10/1000+PGL_Supplies!L10/1000-PGL_Requirements!O10/1000+D15-PGL_Requirements!T10/1000</f>
        <v>100.759</v>
      </c>
      <c r="E6" s="1145">
        <f>PGL_Supplies!AC11/1000+PGL_Supplies!L11/1000-PGL_Requirements!O11/1000+E15-PGL_Requirements!T11/1000</f>
        <v>100.759</v>
      </c>
      <c r="F6" s="1146">
        <f>PGL_Supplies!AC12/1000+PGL_Supplies!L12/1000-PGL_Requirements!O12/1000+F15-PGL_Requirements!T12/1000</f>
        <v>100.759</v>
      </c>
      <c r="G6" s="100"/>
      <c r="H6" t="s">
        <v>11</v>
      </c>
    </row>
    <row r="7" spans="1:8">
      <c r="A7" s="100" t="s">
        <v>313</v>
      </c>
      <c r="B7" s="1145">
        <f>PGL_Supplies!N8/1000</f>
        <v>0</v>
      </c>
      <c r="C7" s="1145">
        <f>PGL_Supplies!N9/1000</f>
        <v>0</v>
      </c>
      <c r="D7" s="1145">
        <f>PGL_Supplies!N10/1000</f>
        <v>0</v>
      </c>
      <c r="E7" s="1145">
        <f>PGL_Supplies!N11/1000</f>
        <v>0</v>
      </c>
      <c r="F7" s="1147">
        <f>PGL_Supplies!N12/1000</f>
        <v>0</v>
      </c>
      <c r="G7" s="100"/>
    </row>
    <row r="8" spans="1:8">
      <c r="A8" s="100" t="s">
        <v>314</v>
      </c>
      <c r="B8" s="1145">
        <f>PGL_Supplies!O8/1000</f>
        <v>0</v>
      </c>
      <c r="C8" s="1145">
        <f>PGL_Supplies!O9/1000</f>
        <v>0</v>
      </c>
      <c r="D8" s="1145">
        <f>PGL_Supplies!O10/1000</f>
        <v>0</v>
      </c>
      <c r="E8" s="1145">
        <f>PGL_Supplies!O11/1000</f>
        <v>0</v>
      </c>
      <c r="F8" s="1147">
        <f>PGL_Supplies!O12/1000</f>
        <v>0</v>
      </c>
      <c r="G8" s="100"/>
    </row>
    <row r="9" spans="1:8">
      <c r="A9" s="100" t="s">
        <v>315</v>
      </c>
      <c r="B9" s="1145">
        <v>0</v>
      </c>
      <c r="C9" s="1145">
        <v>0</v>
      </c>
      <c r="D9" s="1145">
        <v>0</v>
      </c>
      <c r="E9" s="1145">
        <v>0</v>
      </c>
      <c r="F9" s="1147">
        <v>0</v>
      </c>
      <c r="G9" s="100"/>
    </row>
    <row r="10" spans="1:8">
      <c r="A10" s="101"/>
      <c r="B10" s="1148"/>
      <c r="C10" s="1148"/>
      <c r="D10" s="1148"/>
      <c r="E10" s="1148"/>
      <c r="F10" s="1149"/>
      <c r="G10" s="100"/>
    </row>
    <row r="11" spans="1:8">
      <c r="A11" s="100" t="s">
        <v>316</v>
      </c>
      <c r="B11" s="1145">
        <v>0</v>
      </c>
      <c r="C11" s="1145">
        <v>0</v>
      </c>
      <c r="D11" s="1145">
        <v>0</v>
      </c>
      <c r="E11" s="1145">
        <v>0</v>
      </c>
      <c r="F11" s="1147">
        <v>0</v>
      </c>
      <c r="G11" s="100"/>
      <c r="H11" s="122" t="s">
        <v>11</v>
      </c>
    </row>
    <row r="12" spans="1:8">
      <c r="A12" s="100" t="s">
        <v>317</v>
      </c>
      <c r="B12" s="1145">
        <f>PGL_Requirements!S8/1000</f>
        <v>0</v>
      </c>
      <c r="C12" s="1145">
        <f>PGL_Requirements!S9/1000</f>
        <v>0</v>
      </c>
      <c r="D12" s="1145">
        <f>PGL_Requirements!S10/1000</f>
        <v>0</v>
      </c>
      <c r="E12" s="1145">
        <f>PGL_Requirements!S11/1000</f>
        <v>0</v>
      </c>
      <c r="F12" s="1147">
        <f>PGL_Requirements!S12/1000</f>
        <v>0</v>
      </c>
      <c r="G12" s="100"/>
    </row>
    <row r="13" spans="1:8">
      <c r="A13" s="100" t="s">
        <v>318</v>
      </c>
      <c r="B13" s="1145">
        <v>0</v>
      </c>
      <c r="C13" s="1145">
        <v>0</v>
      </c>
      <c r="D13" s="1145">
        <v>0</v>
      </c>
      <c r="E13" s="1145">
        <v>0</v>
      </c>
      <c r="F13" s="1147">
        <v>0</v>
      </c>
      <c r="G13" s="100"/>
    </row>
    <row r="14" spans="1:8">
      <c r="A14" s="100" t="s">
        <v>189</v>
      </c>
      <c r="B14" s="1145">
        <v>0</v>
      </c>
      <c r="C14" s="1151"/>
      <c r="D14" s="1151"/>
      <c r="E14" s="1151"/>
      <c r="F14" s="1147"/>
      <c r="G14" s="100"/>
    </row>
    <row r="15" spans="1:8">
      <c r="A15" s="100" t="s">
        <v>718</v>
      </c>
      <c r="B15" s="1150">
        <v>0</v>
      </c>
      <c r="C15" s="1150">
        <v>0</v>
      </c>
      <c r="D15" s="1150">
        <v>0</v>
      </c>
      <c r="E15" s="1150">
        <v>0</v>
      </c>
      <c r="F15" s="1187">
        <v>0</v>
      </c>
      <c r="G15" s="122"/>
    </row>
    <row r="16" spans="1:8">
      <c r="A16" s="100" t="s">
        <v>319</v>
      </c>
      <c r="B16" s="1150">
        <v>0</v>
      </c>
      <c r="C16" s="1151"/>
      <c r="D16" s="1151"/>
      <c r="E16" s="1151"/>
      <c r="F16" s="1147"/>
      <c r="G16" s="100"/>
    </row>
    <row r="17" spans="1:7" ht="15.75" thickBot="1">
      <c r="A17" s="102" t="s">
        <v>785</v>
      </c>
      <c r="B17" s="1152">
        <v>0</v>
      </c>
      <c r="C17" s="1153"/>
      <c r="D17" s="1153"/>
      <c r="E17" s="1153"/>
      <c r="F17" s="1154"/>
      <c r="G17" s="100"/>
    </row>
    <row r="20" spans="1:7" ht="15.75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5" t="str">
        <f t="shared" ref="B21:F22" si="0">B4</f>
        <v>Tuesday</v>
      </c>
      <c r="C21" s="1155" t="str">
        <f t="shared" si="0"/>
        <v>Wednesday</v>
      </c>
      <c r="D21" s="1155" t="str">
        <f t="shared" si="0"/>
        <v>Thursday</v>
      </c>
      <c r="E21" s="1155" t="str">
        <f t="shared" si="0"/>
        <v>Friday</v>
      </c>
      <c r="F21" s="1156" t="str">
        <f t="shared" si="0"/>
        <v>Saturday</v>
      </c>
      <c r="G21" s="100"/>
    </row>
    <row r="22" spans="1:7">
      <c r="A22" s="107" t="s">
        <v>311</v>
      </c>
      <c r="B22" s="1157">
        <f t="shared" si="0"/>
        <v>37019</v>
      </c>
      <c r="C22" s="1157">
        <f t="shared" si="0"/>
        <v>37020</v>
      </c>
      <c r="D22" s="1157">
        <f t="shared" si="0"/>
        <v>37021</v>
      </c>
      <c r="E22" s="1157">
        <f t="shared" si="0"/>
        <v>37022</v>
      </c>
      <c r="F22" s="1158">
        <f t="shared" si="0"/>
        <v>37023</v>
      </c>
      <c r="G22" s="100"/>
    </row>
    <row r="23" spans="1:7">
      <c r="A23" s="100" t="s">
        <v>312</v>
      </c>
      <c r="B23" s="1151">
        <f>NSG_Supplies!R8/1000+NSG_Supplies!F8/1000-NSG_Requirements!H8/1000</f>
        <v>40.456000000000003</v>
      </c>
      <c r="C23" s="1151">
        <f>NSG_Supplies!R9/1000+NSG_Supplies!F9/1000-NSG_Requirements!H9/1000</f>
        <v>40.536000000000001</v>
      </c>
      <c r="D23" s="1151">
        <f>NSG_Supplies!R10/1000+NSG_Supplies!F10/1000-NSG_Requirements!H10/1000</f>
        <v>40.536000000000001</v>
      </c>
      <c r="E23" s="1151">
        <f>NSG_Supplies!R12/1000+NSG_Supplies!F11/1000-NSG_Requirements!H11/1000</f>
        <v>40.536000000000001</v>
      </c>
      <c r="F23" s="1146">
        <f>NSG_Supplies!R12/1000+NSG_Supplies!F12/1000-NSG_Requirements!H12/1000</f>
        <v>40.536000000000001</v>
      </c>
      <c r="G23" s="100"/>
    </row>
    <row r="24" spans="1:7">
      <c r="A24" s="100" t="s">
        <v>321</v>
      </c>
      <c r="B24" s="1151">
        <f>NSG_Supplies!H8/1000</f>
        <v>0</v>
      </c>
      <c r="C24" s="1151">
        <f>NSG_Supplies!H9/1000</f>
        <v>0</v>
      </c>
      <c r="D24" s="1151">
        <f>NSG_Supplies!H10/1000</f>
        <v>0</v>
      </c>
      <c r="E24" s="1151">
        <f>NSG_Supplies!H11/1000</f>
        <v>0</v>
      </c>
      <c r="F24" s="1147">
        <f>NSG_Supplies!H12/1000</f>
        <v>0</v>
      </c>
      <c r="G24" s="100"/>
    </row>
    <row r="25" spans="1:7">
      <c r="A25" s="100" t="s">
        <v>313</v>
      </c>
      <c r="B25" s="1151">
        <f>NSG_Supplies!I8/1000</f>
        <v>0</v>
      </c>
      <c r="C25" s="1151">
        <f>NSG_Supplies!I9/1000</f>
        <v>0</v>
      </c>
      <c r="D25" s="1151">
        <f>NSG_Supplies!I10/1000</f>
        <v>0</v>
      </c>
      <c r="E25" s="1151">
        <f>NSG_Supplies!I11/1000</f>
        <v>0</v>
      </c>
      <c r="F25" s="1147">
        <f>NSG_Supplies!I12/1000</f>
        <v>0</v>
      </c>
      <c r="G25" s="100"/>
    </row>
    <row r="26" spans="1:7">
      <c r="A26" s="104" t="s">
        <v>314</v>
      </c>
      <c r="B26" s="1151">
        <f>NSG_Supplies!J8/1000</f>
        <v>0</v>
      </c>
      <c r="C26" s="1151">
        <f>NSG_Supplies!J9/1000</f>
        <v>0</v>
      </c>
      <c r="D26" s="1151">
        <f>NSG_Supplies!J10/1000</f>
        <v>0</v>
      </c>
      <c r="E26" s="1151">
        <f>NSG_Supplies!J11/1000</f>
        <v>0</v>
      </c>
      <c r="F26" s="1147">
        <f>NSG_Supplies!J12/1000</f>
        <v>0</v>
      </c>
      <c r="G26" s="100"/>
    </row>
    <row r="27" spans="1:7">
      <c r="A27" s="100" t="s">
        <v>315</v>
      </c>
      <c r="B27" s="1151">
        <f>NSG_Supplies!K8/1000</f>
        <v>0</v>
      </c>
      <c r="C27" s="1151">
        <f>NSG_Supplies!K9/1000</f>
        <v>0</v>
      </c>
      <c r="D27" s="1151">
        <f>NSG_Supplies!K10/1000</f>
        <v>0</v>
      </c>
      <c r="E27" s="1151">
        <f>NSG_Supplies!K11/1000</f>
        <v>0</v>
      </c>
      <c r="F27" s="1147">
        <f>NSG_Supplies!K12/1000</f>
        <v>0</v>
      </c>
      <c r="G27" s="100"/>
    </row>
    <row r="28" spans="1:7">
      <c r="A28" s="100" t="s">
        <v>322</v>
      </c>
      <c r="B28" s="1151" t="s">
        <v>11</v>
      </c>
      <c r="C28" s="1151"/>
      <c r="D28" s="1151"/>
      <c r="E28" s="1151"/>
      <c r="F28" s="1147"/>
      <c r="G28" s="100"/>
    </row>
    <row r="29" spans="1:7">
      <c r="A29" s="101"/>
      <c r="B29" s="1148"/>
      <c r="C29" s="1148"/>
      <c r="D29" s="1148"/>
      <c r="E29" s="1148"/>
      <c r="F29" s="1149"/>
      <c r="G29" s="100"/>
    </row>
    <row r="30" spans="1:7">
      <c r="A30" s="100" t="s">
        <v>316</v>
      </c>
      <c r="B30" s="1151">
        <f>NSG_Requirements!P8/1000</f>
        <v>0</v>
      </c>
      <c r="C30" s="1151">
        <f>NSG_Requirements!P9/1000</f>
        <v>0</v>
      </c>
      <c r="D30" s="1151">
        <f>NSG_Requirements!P10/1000</f>
        <v>0</v>
      </c>
      <c r="E30" s="1151">
        <f>NSG_Requirements!P11/1000</f>
        <v>0</v>
      </c>
      <c r="F30" s="1147">
        <f>NSG_Supplies!K12/1000</f>
        <v>0</v>
      </c>
      <c r="G30" s="100"/>
    </row>
    <row r="31" spans="1:7">
      <c r="A31" s="100" t="s">
        <v>317</v>
      </c>
      <c r="B31" s="1151">
        <f>NSG_Requirements!R8/1000</f>
        <v>0</v>
      </c>
      <c r="C31" s="1151">
        <f>NSG_Requirements!R9/1000</f>
        <v>0</v>
      </c>
      <c r="D31" s="1151">
        <f>NSG_Requirements!R10/1000</f>
        <v>0</v>
      </c>
      <c r="E31" s="1151">
        <f>NSG_Requirements!R11/1000</f>
        <v>0</v>
      </c>
      <c r="F31" s="1147">
        <f>NSG_Supplies!M12/1000</f>
        <v>0</v>
      </c>
      <c r="G31" s="100"/>
    </row>
    <row r="32" spans="1:7">
      <c r="A32" s="100" t="s">
        <v>318</v>
      </c>
      <c r="B32" s="1151">
        <f>NSG_Requirements!Q8/1000</f>
        <v>0</v>
      </c>
      <c r="C32" s="1151">
        <f>NSG_Requirements!Q9/1000</f>
        <v>0</v>
      </c>
      <c r="D32" s="1151">
        <f>NSG_Requirements!Q10/1000</f>
        <v>0</v>
      </c>
      <c r="E32" s="1151">
        <f>NSG_Requirements!Q11/1000</f>
        <v>0</v>
      </c>
      <c r="F32" s="1147">
        <f>NSG_Requirements!Q12/1000</f>
        <v>0</v>
      </c>
      <c r="G32" s="100"/>
    </row>
    <row r="33" spans="1:7" ht="15.75" thickBot="1">
      <c r="A33" s="102" t="s">
        <v>323</v>
      </c>
      <c r="B33" s="1153">
        <f>NSG_Requirements!L8/1000</f>
        <v>0</v>
      </c>
      <c r="C33" s="1153">
        <f>NSG_Requirements!L9/1000</f>
        <v>0</v>
      </c>
      <c r="D33" s="1153">
        <f>NSG_Requirements!L10/1000</f>
        <v>0</v>
      </c>
      <c r="E33" s="1153">
        <f>NSG_Requirements!L11/1000</f>
        <v>0</v>
      </c>
      <c r="F33" s="1154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09" t="s">
        <v>381</v>
      </c>
      <c r="C1" s="908">
        <f>Weather_Input!A6</f>
        <v>37019</v>
      </c>
      <c r="D1" s="909" t="s">
        <v>372</v>
      </c>
      <c r="E1" s="810"/>
      <c r="F1" s="1077"/>
      <c r="G1" s="430"/>
      <c r="H1" s="430"/>
      <c r="I1" s="1078"/>
    </row>
    <row r="2" spans="1:11" ht="15.75" customHeight="1" thickBot="1">
      <c r="A2" s="433"/>
      <c r="B2" s="1075" t="s">
        <v>646</v>
      </c>
      <c r="E2" s="161"/>
      <c r="I2" s="161"/>
    </row>
    <row r="3" spans="1:11" ht="15.75" customHeight="1" thickTop="1">
      <c r="B3" s="172" t="s">
        <v>109</v>
      </c>
      <c r="C3" s="903">
        <f>NSG_Supplies!Q8/1000</f>
        <v>20</v>
      </c>
      <c r="E3" s="161"/>
      <c r="F3" s="790" t="s">
        <v>166</v>
      </c>
      <c r="G3" s="789"/>
      <c r="H3" s="804" t="s">
        <v>573</v>
      </c>
      <c r="I3" s="803" t="s">
        <v>572</v>
      </c>
    </row>
    <row r="4" spans="1:11" ht="15.75" customHeight="1" thickBot="1">
      <c r="A4" t="s">
        <v>11</v>
      </c>
      <c r="B4" s="100" t="s">
        <v>647</v>
      </c>
      <c r="C4" s="1135">
        <f>NSG_Supplies!E8/1000</f>
        <v>0</v>
      </c>
      <c r="D4" s="135">
        <f>NSG_Requirements!J8/1000</f>
        <v>20</v>
      </c>
      <c r="E4" s="802"/>
      <c r="F4" s="172" t="s">
        <v>546</v>
      </c>
      <c r="G4" s="60"/>
      <c r="H4" s="154">
        <f>PGL_Requirements!P8/1000</f>
        <v>150</v>
      </c>
      <c r="I4" s="176">
        <f>AVERAGE(H4/1.025)</f>
        <v>146.34146341463415</v>
      </c>
      <c r="J4" t="s">
        <v>11</v>
      </c>
    </row>
    <row r="5" spans="1:11" ht="15.75" customHeight="1" thickTop="1" thickBot="1">
      <c r="B5" s="437" t="s">
        <v>648</v>
      </c>
      <c r="C5" s="448">
        <f>C3+C4-D4</f>
        <v>0</v>
      </c>
      <c r="D5" s="438"/>
      <c r="E5" s="440">
        <f>AVERAGE(C5/24)</f>
        <v>0</v>
      </c>
      <c r="F5" s="170" t="s">
        <v>448</v>
      </c>
      <c r="G5" s="210">
        <f>PGL_Supplies!M8/1000</f>
        <v>0</v>
      </c>
      <c r="H5" s="168"/>
      <c r="I5" s="1019">
        <f>AVERAGE(G5/1.025)</f>
        <v>0</v>
      </c>
      <c r="K5" t="s">
        <v>11</v>
      </c>
    </row>
    <row r="6" spans="1:11" ht="15.75" customHeight="1" thickTop="1" thickBot="1">
      <c r="B6" s="906" t="s">
        <v>392</v>
      </c>
      <c r="C6" s="907"/>
      <c r="D6" s="122"/>
      <c r="E6" s="801"/>
      <c r="F6" t="s">
        <v>777</v>
      </c>
      <c r="G6" s="907">
        <f>AVERAGE(H4/24)</f>
        <v>6.25</v>
      </c>
      <c r="H6" s="430"/>
      <c r="I6" s="1078"/>
    </row>
    <row r="7" spans="1:11" ht="15.75" customHeight="1">
      <c r="B7" s="172" t="s">
        <v>373</v>
      </c>
      <c r="C7" s="154">
        <f>NSG_Supplies!L8/1000</f>
        <v>0</v>
      </c>
      <c r="D7" s="60"/>
      <c r="E7" s="450"/>
      <c r="F7" s="1075" t="s">
        <v>626</v>
      </c>
      <c r="G7" s="1076"/>
      <c r="H7" s="60"/>
      <c r="I7" s="161"/>
    </row>
    <row r="8" spans="1:11" ht="15.75" customHeight="1">
      <c r="B8" s="172" t="s">
        <v>527</v>
      </c>
      <c r="C8" s="154">
        <f>PGL_Requirements!V8/1000</f>
        <v>0</v>
      </c>
      <c r="D8" s="60"/>
      <c r="E8" s="450"/>
      <c r="F8" s="172" t="s">
        <v>625</v>
      </c>
      <c r="G8" s="154">
        <f>PGL_Supplies!T8/1000*0.5</f>
        <v>10.645</v>
      </c>
      <c r="H8" s="60"/>
      <c r="I8" s="161"/>
    </row>
    <row r="9" spans="1:11" ht="15.75" customHeight="1" thickBot="1">
      <c r="B9" s="172" t="s">
        <v>768</v>
      </c>
      <c r="C9" s="154">
        <f>NSG_Requirements!B8/1000</f>
        <v>0</v>
      </c>
      <c r="D9" s="60"/>
      <c r="E9" s="450"/>
      <c r="F9" s="1" t="s">
        <v>714</v>
      </c>
      <c r="G9" s="154">
        <f>PGL_Supplies!U8/1000</f>
        <v>0</v>
      </c>
      <c r="I9" s="161"/>
    </row>
    <row r="10" spans="1:11" ht="15.75" customHeight="1" thickTop="1" thickBot="1">
      <c r="B10" s="437" t="s">
        <v>551</v>
      </c>
      <c r="C10" s="448">
        <f>C7+C8-C9</f>
        <v>0</v>
      </c>
      <c r="D10" s="438"/>
      <c r="E10" s="440">
        <f>AVERAGE(C10/24)</f>
        <v>0</v>
      </c>
      <c r="F10" s="172" t="s">
        <v>445</v>
      </c>
      <c r="G10" s="154">
        <f>PGL_Supplies!AB8/1000</f>
        <v>144.566</v>
      </c>
      <c r="H10" s="154" t="s">
        <v>11</v>
      </c>
      <c r="I10" s="161"/>
    </row>
    <row r="11" spans="1:11" ht="15.75" customHeight="1" thickTop="1">
      <c r="A11" t="s">
        <v>11</v>
      </c>
      <c r="B11" s="1127" t="s">
        <v>751</v>
      </c>
      <c r="C11" s="154">
        <f>PGL_Supplies!Y8/1000</f>
        <v>156.584</v>
      </c>
      <c r="D11" s="789"/>
      <c r="E11" s="1128"/>
      <c r="F11" s="435" t="s">
        <v>378</v>
      </c>
      <c r="G11" s="447">
        <f>G8+G10</f>
        <v>155.21100000000001</v>
      </c>
      <c r="H11" s="434"/>
      <c r="I11" s="436"/>
    </row>
    <row r="12" spans="1:11" ht="15.75" customHeight="1">
      <c r="B12" s="249" t="s">
        <v>784</v>
      </c>
      <c r="C12" s="154">
        <v>0</v>
      </c>
      <c r="D12" s="122"/>
      <c r="E12" s="161"/>
      <c r="F12" s="173" t="s">
        <v>530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752</v>
      </c>
      <c r="C13" s="122"/>
      <c r="D13" s="154">
        <f>PGL_Requirements!J8/1000</f>
        <v>0</v>
      </c>
      <c r="E13" s="161"/>
      <c r="F13" s="173" t="s">
        <v>531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29" t="s">
        <v>759</v>
      </c>
      <c r="C14" s="448">
        <f>C11-C12</f>
        <v>156.584</v>
      </c>
      <c r="D14" s="438"/>
      <c r="E14" s="440">
        <f>AVERAGE(C14/24)</f>
        <v>6.5243333333333338</v>
      </c>
      <c r="F14" s="782" t="s">
        <v>549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757</v>
      </c>
      <c r="C15" s="154">
        <f>PGL_Supplies!Z8/1000</f>
        <v>40.200000000000003</v>
      </c>
      <c r="D15" s="60"/>
      <c r="E15" s="161"/>
      <c r="F15" s="782" t="s">
        <v>558</v>
      </c>
      <c r="G15" s="447">
        <f>SUM(G11)-G16-G17</f>
        <v>134.43700000000001</v>
      </c>
      <c r="H15" s="438" t="s">
        <v>11</v>
      </c>
      <c r="I15" s="440">
        <f>AVERAGE(G15/24)</f>
        <v>5.6015416666666669</v>
      </c>
    </row>
    <row r="16" spans="1:11" ht="15.75" customHeight="1" thickTop="1" thickBot="1">
      <c r="B16" s="172" t="s">
        <v>710</v>
      </c>
      <c r="C16" s="154">
        <f>PGL_Supplies!R8/1000</f>
        <v>0</v>
      </c>
      <c r="D16" s="154">
        <f>PGL_Requirements!U8/1000</f>
        <v>40.200000000000003</v>
      </c>
      <c r="E16" s="161"/>
      <c r="F16" s="782" t="s">
        <v>569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378</v>
      </c>
      <c r="C17" s="447">
        <f>SUM(C15:C16)-SUM(D15:D16)</f>
        <v>0</v>
      </c>
      <c r="D17" s="434"/>
      <c r="E17" s="436"/>
      <c r="F17" s="1088" t="s">
        <v>715</v>
      </c>
      <c r="G17" s="1178">
        <v>20.774000000000001</v>
      </c>
      <c r="H17" s="1087"/>
      <c r="I17" s="1179">
        <f>AVERAGE(G17/24)</f>
        <v>0.86558333333333337</v>
      </c>
    </row>
    <row r="18" spans="1:9" ht="15.75" customHeight="1">
      <c r="B18" s="172" t="s">
        <v>374</v>
      </c>
      <c r="C18" s="154">
        <f>PGL_Supplies!C8/1000</f>
        <v>0</v>
      </c>
      <c r="D18" s="60"/>
      <c r="E18" s="161"/>
      <c r="F18" s="1086" t="s">
        <v>547</v>
      </c>
      <c r="G18" s="60" t="s">
        <v>11</v>
      </c>
      <c r="H18" s="60"/>
      <c r="I18" s="161"/>
    </row>
    <row r="19" spans="1:9" ht="15.75" customHeight="1" thickBot="1">
      <c r="B19" s="172" t="s">
        <v>375</v>
      </c>
      <c r="C19" s="60"/>
      <c r="D19" s="154">
        <f>PGL_Requirements!C8/1000</f>
        <v>0</v>
      </c>
      <c r="E19" s="161"/>
      <c r="F19" s="170" t="s">
        <v>548</v>
      </c>
      <c r="G19" s="168"/>
      <c r="H19" s="210">
        <v>0</v>
      </c>
      <c r="I19" s="443"/>
    </row>
    <row r="20" spans="1:9" ht="15.75" customHeight="1" thickTop="1" thickBot="1">
      <c r="B20" s="437" t="s">
        <v>553</v>
      </c>
      <c r="C20" s="448">
        <f>C17+C18-D19</f>
        <v>0</v>
      </c>
      <c r="D20" s="441" t="s">
        <v>11</v>
      </c>
      <c r="E20" s="440">
        <f>AVERAGE(C20/24)</f>
        <v>0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758</v>
      </c>
      <c r="C21" s="154">
        <f>PGL_Supplies!AA8/1000</f>
        <v>0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378</v>
      </c>
      <c r="C22" s="447">
        <f>SUM(C21:C21)-SUM(D21)</f>
        <v>0</v>
      </c>
      <c r="D22" s="434"/>
      <c r="E22" s="436"/>
      <c r="F22" s="435" t="s">
        <v>378</v>
      </c>
      <c r="G22" s="447">
        <f>G21</f>
        <v>0</v>
      </c>
      <c r="H22" s="434"/>
      <c r="I22" s="436"/>
    </row>
    <row r="23" spans="1:9" ht="15.75" customHeight="1">
      <c r="B23" s="172" t="s">
        <v>376</v>
      </c>
      <c r="C23" s="154">
        <f>PGL_Supplies!D8/1000</f>
        <v>0</v>
      </c>
      <c r="D23" s="60"/>
      <c r="E23" s="161"/>
      <c r="F23" s="172" t="s">
        <v>379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377</v>
      </c>
      <c r="C24" s="60">
        <v>0</v>
      </c>
      <c r="D24" s="154">
        <f>PGL_Requirements!D8/1000</f>
        <v>0</v>
      </c>
      <c r="E24" s="161"/>
      <c r="F24" s="172" t="s">
        <v>380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552</v>
      </c>
      <c r="C25" s="448">
        <f>C22+C23-D24</f>
        <v>0</v>
      </c>
      <c r="D25" s="438"/>
      <c r="E25" s="440">
        <f>AVERAGE(C25/24)</f>
        <v>0</v>
      </c>
      <c r="F25" s="551" t="s">
        <v>550</v>
      </c>
      <c r="G25" s="904">
        <f>G22+G23-H24+G20</f>
        <v>0</v>
      </c>
      <c r="H25" s="430"/>
      <c r="I25" s="905">
        <f>AVERAGE(G25/24)</f>
        <v>0</v>
      </c>
    </row>
    <row r="26" spans="1:9" ht="15.75" customHeight="1" thickTop="1">
      <c r="B26" t="s">
        <v>712</v>
      </c>
    </row>
    <row r="27" spans="1:9" ht="15.75" customHeight="1">
      <c r="B27" t="s">
        <v>711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649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1043" customWidth="1"/>
    <col min="2" max="2" width="8.109375" style="1043" customWidth="1"/>
    <col min="3" max="3" width="7.88671875" style="1043" customWidth="1"/>
    <col min="4" max="4" width="5.88671875" style="1043" customWidth="1"/>
    <col min="5" max="5" width="4.44140625" style="1043" customWidth="1"/>
    <col min="6" max="6" width="5.21875" style="1043" customWidth="1"/>
    <col min="7" max="7" width="9" style="1043" customWidth="1"/>
    <col min="8" max="11" width="8.88671875" style="1043"/>
    <col min="12" max="12" width="14.88671875" style="1043" customWidth="1"/>
    <col min="13" max="13" width="5.6640625" style="1043" customWidth="1"/>
    <col min="14" max="16384" width="8.88671875" style="1043"/>
  </cols>
  <sheetData>
    <row r="1" spans="1:22" ht="22.5">
      <c r="A1" s="938"/>
      <c r="B1" s="934"/>
      <c r="C1" s="945" t="s">
        <v>653</v>
      </c>
      <c r="D1" s="942"/>
      <c r="E1" s="942" t="s">
        <v>654</v>
      </c>
      <c r="F1" s="942"/>
      <c r="G1" s="1041" t="s">
        <v>324</v>
      </c>
      <c r="H1" s="1042">
        <f>Weather_Input!A6</f>
        <v>37019</v>
      </c>
      <c r="I1" s="931"/>
      <c r="J1" s="933"/>
      <c r="K1" s="933"/>
    </row>
    <row r="2" spans="1:22" ht="16.5" customHeight="1">
      <c r="A2" s="951" t="s">
        <v>681</v>
      </c>
      <c r="C2" s="1044">
        <v>380</v>
      </c>
      <c r="F2" s="1045">
        <v>384</v>
      </c>
      <c r="H2" s="933"/>
      <c r="I2" s="931" t="s">
        <v>683</v>
      </c>
      <c r="J2" s="953">
        <f>NSG_Supplies!Q8/1000</f>
        <v>20</v>
      </c>
    </row>
    <row r="3" spans="1:22" ht="16.5" customHeight="1">
      <c r="A3" s="1046">
        <f>PGL_Supplies!J8/1000</f>
        <v>0</v>
      </c>
      <c r="C3" s="1043" t="s">
        <v>11</v>
      </c>
      <c r="G3" s="931"/>
      <c r="H3" s="933"/>
    </row>
    <row r="4" spans="1:22" ht="16.5" customHeight="1">
      <c r="A4" s="941" t="s">
        <v>655</v>
      </c>
      <c r="G4" s="959"/>
      <c r="H4" s="933"/>
      <c r="I4" s="931"/>
      <c r="J4" s="931" t="s">
        <v>679</v>
      </c>
      <c r="K4" s="953">
        <f>Billy_Sheet!C5</f>
        <v>0</v>
      </c>
      <c r="N4" s="953"/>
    </row>
    <row r="5" spans="1:22" ht="16.5" customHeight="1">
      <c r="A5" s="1047">
        <f>PGL_Supplies!K7/1000</f>
        <v>0</v>
      </c>
      <c r="B5" s="1048"/>
      <c r="G5" s="934"/>
      <c r="H5" s="953"/>
      <c r="U5" s="933"/>
      <c r="V5" s="933"/>
    </row>
    <row r="6" spans="1:22" ht="16.5" customHeight="1">
      <c r="A6" s="940" t="s">
        <v>651</v>
      </c>
      <c r="G6" s="934"/>
      <c r="H6" s="953"/>
      <c r="U6" s="933"/>
      <c r="V6" s="953"/>
    </row>
    <row r="7" spans="1:22" ht="18.75" customHeight="1">
      <c r="A7" s="953">
        <f>Billy_Sheet!G14</f>
        <v>0</v>
      </c>
      <c r="G7" s="934"/>
      <c r="H7" s="932"/>
      <c r="U7" s="933"/>
      <c r="V7" s="932"/>
    </row>
    <row r="8" spans="1:22" ht="14.45" customHeight="1">
      <c r="A8" s="931" t="s">
        <v>74</v>
      </c>
      <c r="G8" s="934"/>
      <c r="H8" s="931" t="s">
        <v>178</v>
      </c>
      <c r="I8" s="931"/>
      <c r="K8" s="931"/>
      <c r="L8" s="931"/>
      <c r="N8" s="931"/>
      <c r="O8" s="931"/>
      <c r="U8" s="933"/>
      <c r="V8" s="953"/>
    </row>
    <row r="9" spans="1:22" ht="14.45" customHeight="1">
      <c r="A9" s="953">
        <f>PGL_Supplies!I8/1000</f>
        <v>15</v>
      </c>
      <c r="H9" s="953">
        <v>0</v>
      </c>
      <c r="I9" s="1049"/>
      <c r="K9" s="931" t="s">
        <v>685</v>
      </c>
      <c r="L9" s="953">
        <f>NSG_Deliveries!C6/1000</f>
        <v>44</v>
      </c>
      <c r="N9" s="931"/>
      <c r="O9" s="953"/>
      <c r="U9" s="933"/>
      <c r="V9" s="953"/>
    </row>
    <row r="10" spans="1:22" ht="18" customHeight="1">
      <c r="A10" s="931" t="s">
        <v>68</v>
      </c>
      <c r="H10" s="960" t="s">
        <v>684</v>
      </c>
      <c r="U10" s="933"/>
      <c r="V10" s="953"/>
    </row>
    <row r="11" spans="1:22" ht="14.45" customHeight="1">
      <c r="A11" s="953">
        <f>Billy_Sheet!C20</f>
        <v>0</v>
      </c>
      <c r="B11" s="1049"/>
      <c r="H11" s="953">
        <f>NSG_Supplies!U8/1000</f>
        <v>0</v>
      </c>
      <c r="K11" s="934" t="s">
        <v>686</v>
      </c>
      <c r="L11" s="959">
        <f>SUM(K4+K17+K19+H11+H9-L9)</f>
        <v>-3.5439999999999969</v>
      </c>
      <c r="N11" s="934"/>
      <c r="O11" s="959"/>
      <c r="U11" s="933"/>
      <c r="V11" s="947"/>
    </row>
    <row r="12" spans="1:22" ht="14.45" customHeight="1">
      <c r="A12" s="931" t="s">
        <v>745</v>
      </c>
      <c r="H12" s="953"/>
      <c r="U12" s="933"/>
      <c r="V12" s="953"/>
    </row>
    <row r="13" spans="1:22" ht="14.45" customHeight="1">
      <c r="A13" s="1047">
        <f>PGL_Supplies!Y8/1000</f>
        <v>156.584</v>
      </c>
      <c r="H13" s="953"/>
      <c r="U13" s="933"/>
      <c r="V13" s="953"/>
    </row>
    <row r="14" spans="1:22" ht="14.45" customHeight="1">
      <c r="H14" s="953"/>
      <c r="U14" s="933"/>
      <c r="V14" s="953"/>
    </row>
    <row r="15" spans="1:22" ht="15.6" customHeight="1">
      <c r="B15" s="1043" t="s">
        <v>11</v>
      </c>
      <c r="C15" s="1050">
        <v>385</v>
      </c>
      <c r="F15" s="1050">
        <v>385</v>
      </c>
      <c r="H15" s="959"/>
      <c r="U15" s="943"/>
      <c r="V15" s="959"/>
    </row>
    <row r="16" spans="1:22" ht="42.75" customHeight="1">
      <c r="A16" s="944"/>
      <c r="B16" s="959"/>
      <c r="C16" s="1051"/>
      <c r="D16" s="1052"/>
      <c r="E16" s="1052"/>
      <c r="F16" s="1051"/>
    </row>
    <row r="17" spans="1:17" ht="38.25" customHeight="1">
      <c r="B17" s="1052"/>
      <c r="C17" s="1052"/>
      <c r="D17" s="1053"/>
      <c r="E17" s="1052"/>
      <c r="F17" s="1052"/>
      <c r="G17" s="1052"/>
      <c r="J17" s="931" t="s">
        <v>326</v>
      </c>
      <c r="K17" s="953">
        <f>NSG_Supplies!L8/1000</f>
        <v>0</v>
      </c>
      <c r="N17" s="953"/>
    </row>
    <row r="18" spans="1:17" ht="15" customHeight="1">
      <c r="A18" s="939"/>
      <c r="C18" s="1050">
        <v>483</v>
      </c>
      <c r="D18" s="1052"/>
      <c r="E18" s="1052"/>
      <c r="F18" s="1045">
        <v>784</v>
      </c>
    </row>
    <row r="19" spans="1:17">
      <c r="A19" s="940" t="s">
        <v>652</v>
      </c>
      <c r="C19" s="1043" t="s">
        <v>11</v>
      </c>
      <c r="J19" s="931" t="s">
        <v>680</v>
      </c>
      <c r="K19" s="953">
        <f>NSG_Supplies!R8/1000+NSG_Supplies!F8/1000-NSG_Requirements!H8/1000</f>
        <v>40.456000000000003</v>
      </c>
      <c r="N19" s="1055"/>
    </row>
    <row r="20" spans="1:17" ht="17.25" customHeight="1">
      <c r="A20" s="953">
        <f>Billy_Sheet!G15</f>
        <v>134.43700000000001</v>
      </c>
      <c r="G20" s="433"/>
      <c r="J20" s="931"/>
    </row>
    <row r="21" spans="1:17" ht="11.25" customHeight="1">
      <c r="G21" s="932"/>
      <c r="H21" s="932"/>
      <c r="I21" s="934"/>
      <c r="J21" s="959"/>
    </row>
    <row r="22" spans="1:17">
      <c r="A22" s="933" t="s">
        <v>181</v>
      </c>
      <c r="G22" s="931"/>
      <c r="I22" s="934"/>
      <c r="J22" s="931"/>
      <c r="M22" s="934"/>
      <c r="N22" s="959"/>
    </row>
    <row r="23" spans="1:17">
      <c r="A23" s="953">
        <f>Billy_Sheet!C25</f>
        <v>0</v>
      </c>
      <c r="G23" s="931" t="s">
        <v>760</v>
      </c>
      <c r="H23" s="933"/>
      <c r="I23" s="934"/>
      <c r="J23" s="959"/>
      <c r="M23" s="931"/>
      <c r="N23" s="959"/>
      <c r="Q23" s="1056"/>
    </row>
    <row r="24" spans="1:17" ht="9" customHeight="1">
      <c r="G24" s="959">
        <v>0</v>
      </c>
      <c r="H24" s="934"/>
      <c r="I24" s="934"/>
      <c r="J24" s="934"/>
    </row>
    <row r="25" spans="1:17" ht="10.5" customHeight="1">
      <c r="A25" s="933" t="s">
        <v>183</v>
      </c>
      <c r="B25" s="933"/>
      <c r="C25" s="933"/>
      <c r="D25" s="933"/>
      <c r="F25" s="933"/>
      <c r="G25" s="931" t="s">
        <v>688</v>
      </c>
      <c r="H25" s="934"/>
      <c r="I25" s="934"/>
      <c r="J25" s="934"/>
    </row>
    <row r="26" spans="1:17" ht="14.25" customHeight="1">
      <c r="A26" s="953">
        <f>Billy_Sheet!G25</f>
        <v>0</v>
      </c>
      <c r="B26" s="933"/>
      <c r="C26" s="934"/>
      <c r="D26" s="934"/>
      <c r="F26" s="934"/>
      <c r="G26" s="1054">
        <v>0</v>
      </c>
      <c r="H26" s="934"/>
      <c r="I26" s="934"/>
      <c r="J26" s="934" t="s">
        <v>574</v>
      </c>
      <c r="K26" s="1057">
        <f>PGL_Deliveries!C6/1000</f>
        <v>245</v>
      </c>
      <c r="L26" s="931" t="s">
        <v>685</v>
      </c>
      <c r="M26" s="953">
        <f>NSG_Deliveries!C6/1000</f>
        <v>44</v>
      </c>
      <c r="N26" s="953"/>
    </row>
    <row r="27" spans="1:17" ht="8.25" customHeight="1">
      <c r="A27" s="934"/>
      <c r="B27" s="955"/>
      <c r="C27" s="934"/>
      <c r="D27" s="934"/>
      <c r="F27" s="934"/>
      <c r="G27" s="934"/>
      <c r="H27" s="935"/>
      <c r="I27" s="934"/>
      <c r="J27" s="935"/>
    </row>
    <row r="28" spans="1:17" ht="12.75" customHeight="1">
      <c r="A28" s="942" t="s">
        <v>656</v>
      </c>
      <c r="B28" s="953"/>
      <c r="C28" s="933"/>
      <c r="D28" s="934"/>
      <c r="F28" s="931"/>
      <c r="G28" s="943" t="s">
        <v>661</v>
      </c>
      <c r="H28" s="433"/>
      <c r="J28" s="934" t="s">
        <v>687</v>
      </c>
      <c r="K28" s="959">
        <f>SUM(A42)</f>
        <v>157.02100000000002</v>
      </c>
      <c r="L28" s="934" t="s">
        <v>737</v>
      </c>
      <c r="M28" s="959">
        <f>SUM(J2+K17+K19+H11+H9-M26)</f>
        <v>16.456000000000003</v>
      </c>
      <c r="N28" s="959"/>
    </row>
    <row r="29" spans="1:17">
      <c r="A29" s="953">
        <f>PGL_Supplies!M8/1000</f>
        <v>0</v>
      </c>
      <c r="B29" s="953"/>
      <c r="C29" s="934"/>
      <c r="D29" s="1058"/>
      <c r="F29" s="1110">
        <f>PGL_Requirements!A7</f>
        <v>37018</v>
      </c>
      <c r="G29" s="953">
        <f>PGL_Requirements!H7/1000</f>
        <v>0</v>
      </c>
      <c r="H29" s="932"/>
      <c r="J29" s="934" t="s">
        <v>689</v>
      </c>
      <c r="K29" s="953">
        <f>PGL_Supplies!AC8/1000+PGL_Supplies!L8/1000-PGL_Requirements!O8/1000</f>
        <v>110.557</v>
      </c>
    </row>
    <row r="30" spans="1:17" ht="10.5" customHeight="1">
      <c r="A30" s="936"/>
      <c r="B30" s="953"/>
      <c r="C30" s="934"/>
      <c r="D30" s="953"/>
      <c r="F30" s="1110">
        <f>PGL_Requirements!A8</f>
        <v>37019</v>
      </c>
      <c r="G30" s="953">
        <f>PGL_Requirements!H8/1000</f>
        <v>0</v>
      </c>
    </row>
    <row r="31" spans="1:17" ht="17.25" customHeight="1">
      <c r="A31" s="942" t="s">
        <v>658</v>
      </c>
      <c r="B31" s="1059"/>
      <c r="C31" s="937"/>
      <c r="D31" s="959"/>
      <c r="G31" s="943" t="s">
        <v>659</v>
      </c>
      <c r="H31" s="959"/>
      <c r="J31" s="934" t="s">
        <v>686</v>
      </c>
      <c r="K31" s="959">
        <f>SUM(K28+K29-K26)</f>
        <v>22.578000000000031</v>
      </c>
    </row>
    <row r="32" spans="1:17">
      <c r="A32" s="953">
        <f>PGL_Supplies!H8/1000</f>
        <v>1</v>
      </c>
      <c r="G32" s="953">
        <f>PGL_Requirements!P8/1000</f>
        <v>150</v>
      </c>
    </row>
    <row r="33" spans="1:11" ht="6.75" customHeight="1"/>
    <row r="34" spans="1:11">
      <c r="A34" s="931" t="s">
        <v>657</v>
      </c>
      <c r="G34" s="934" t="s">
        <v>660</v>
      </c>
    </row>
    <row r="35" spans="1:11">
      <c r="A35" s="1054">
        <v>0</v>
      </c>
      <c r="G35" s="953">
        <f>PGL_Requirements!B8/1000</f>
        <v>0</v>
      </c>
    </row>
    <row r="36" spans="1:11">
      <c r="G36" s="953"/>
    </row>
    <row r="37" spans="1:11">
      <c r="C37" s="931" t="s">
        <v>663</v>
      </c>
      <c r="F37" s="931" t="s">
        <v>664</v>
      </c>
      <c r="G37" s="953"/>
    </row>
    <row r="38" spans="1:11">
      <c r="C38" s="1050">
        <v>486</v>
      </c>
      <c r="F38" s="1050">
        <v>753</v>
      </c>
    </row>
    <row r="39" spans="1:11">
      <c r="A39" s="951" t="s">
        <v>736</v>
      </c>
      <c r="E39" s="933" t="s">
        <v>662</v>
      </c>
      <c r="F39" s="933"/>
    </row>
    <row r="40" spans="1:11">
      <c r="A40" s="959">
        <f>SUM(A3:A35)</f>
        <v>307.02100000000002</v>
      </c>
      <c r="B40" s="947"/>
      <c r="C40" s="946"/>
      <c r="D40" s="947"/>
      <c r="E40" s="947"/>
      <c r="F40" s="1060"/>
      <c r="G40" s="1060">
        <f>SUM(G30:G35)</f>
        <v>150</v>
      </c>
      <c r="H40" s="949"/>
      <c r="I40" s="948"/>
    </row>
    <row r="41" spans="1:11">
      <c r="A41" s="950" t="s">
        <v>678</v>
      </c>
      <c r="B41" s="953"/>
      <c r="C41" s="947"/>
      <c r="D41" s="947"/>
      <c r="E41" s="947"/>
      <c r="F41" s="947"/>
      <c r="G41" s="947"/>
      <c r="H41" s="947"/>
      <c r="I41" s="946"/>
    </row>
    <row r="42" spans="1:11">
      <c r="A42" s="953">
        <f>SUM(A40-G40)</f>
        <v>157.02100000000002</v>
      </c>
      <c r="B42" s="953"/>
      <c r="C42" s="947"/>
      <c r="D42" s="947"/>
      <c r="E42" s="947"/>
      <c r="F42" s="956"/>
      <c r="G42" s="958" t="s">
        <v>682</v>
      </c>
      <c r="H42" s="1061"/>
      <c r="I42" s="1062"/>
      <c r="J42" s="1061"/>
      <c r="K42" s="1052"/>
    </row>
    <row r="43" spans="1:11" ht="14.25" customHeight="1">
      <c r="A43" s="953"/>
      <c r="B43" s="953"/>
      <c r="C43" s="953"/>
      <c r="D43" s="953"/>
      <c r="E43" s="956"/>
      <c r="F43" s="955" t="s">
        <v>677</v>
      </c>
      <c r="G43" s="956" t="s">
        <v>676</v>
      </c>
      <c r="I43" s="953"/>
    </row>
    <row r="44" spans="1:11" ht="12.75" customHeight="1">
      <c r="A44" s="950" t="s">
        <v>665</v>
      </c>
      <c r="B44" s="953" t="s">
        <v>670</v>
      </c>
      <c r="C44" s="953" t="s">
        <v>671</v>
      </c>
      <c r="D44" s="953" t="s">
        <v>672</v>
      </c>
      <c r="E44" s="954"/>
      <c r="F44" s="954" t="s">
        <v>673</v>
      </c>
      <c r="G44" s="947" t="s">
        <v>675</v>
      </c>
      <c r="H44" s="933" t="s">
        <v>674</v>
      </c>
      <c r="I44" s="953"/>
      <c r="K44" s="933"/>
    </row>
    <row r="45" spans="1:11">
      <c r="A45" s="950" t="s">
        <v>669</v>
      </c>
      <c r="B45" s="1063">
        <v>250</v>
      </c>
      <c r="C45" s="1063">
        <v>410</v>
      </c>
      <c r="D45" s="1064">
        <f>SUM(F2+F15)/2</f>
        <v>384.5</v>
      </c>
      <c r="E45" s="1065"/>
      <c r="F45" s="1066">
        <v>6.7000000000000004E-2</v>
      </c>
      <c r="G45" s="1067">
        <f>(C45-D45)*F45</f>
        <v>1.7085000000000001</v>
      </c>
      <c r="H45" s="1067">
        <f>(D45-B45)*F45</f>
        <v>9.0114999999999998</v>
      </c>
      <c r="I45" s="953"/>
      <c r="J45" s="1068"/>
    </row>
    <row r="46" spans="1:11">
      <c r="A46" s="933" t="s">
        <v>666</v>
      </c>
      <c r="B46" s="1069">
        <v>797</v>
      </c>
      <c r="C46" s="1063">
        <v>797</v>
      </c>
      <c r="D46" s="1064">
        <v>797</v>
      </c>
      <c r="E46" s="1065"/>
      <c r="F46" s="1066">
        <v>0.13900000000000001</v>
      </c>
      <c r="G46" s="1067">
        <f>(C46-D46)*F46</f>
        <v>0</v>
      </c>
      <c r="H46" s="1067">
        <f>(D46-B46)*F46</f>
        <v>0</v>
      </c>
      <c r="I46" s="953"/>
    </row>
    <row r="47" spans="1:11">
      <c r="A47" s="933" t="s">
        <v>667</v>
      </c>
      <c r="B47" s="1069">
        <v>250</v>
      </c>
      <c r="C47" s="1063">
        <v>410</v>
      </c>
      <c r="D47" s="1064">
        <f>SUM(C2+C15)/2</f>
        <v>382.5</v>
      </c>
      <c r="E47" s="1065"/>
      <c r="F47" s="1066">
        <v>0.14099999999999999</v>
      </c>
      <c r="G47" s="1067">
        <f>(C47-D47)*F47</f>
        <v>3.8774999999999995</v>
      </c>
      <c r="H47" s="1067">
        <f>(D47-B47)*F47</f>
        <v>18.682499999999997</v>
      </c>
      <c r="I47" s="953"/>
    </row>
    <row r="48" spans="1:11">
      <c r="A48" s="933" t="s">
        <v>668</v>
      </c>
      <c r="B48" s="1069">
        <v>285</v>
      </c>
      <c r="C48" s="1063">
        <v>750</v>
      </c>
      <c r="D48" s="1064">
        <f>SUM(C18+C38)/2</f>
        <v>484.5</v>
      </c>
      <c r="E48" s="1065"/>
      <c r="F48" s="1066">
        <v>0.161</v>
      </c>
      <c r="G48" s="1067">
        <f>(C48-D48)*F48</f>
        <v>42.7455</v>
      </c>
      <c r="H48" s="1067">
        <f>(D48-B48)*F48</f>
        <v>32.119500000000002</v>
      </c>
    </row>
    <row r="49" spans="1:8">
      <c r="B49" s="1049"/>
      <c r="C49" s="1049"/>
      <c r="D49" s="1049"/>
      <c r="E49" s="1049"/>
      <c r="F49" s="957" t="s">
        <v>359</v>
      </c>
      <c r="G49" s="1067">
        <f>SUM(G45:G48)</f>
        <v>48.331499999999998</v>
      </c>
      <c r="H49" s="1067">
        <f>SUM(H45:H48)</f>
        <v>59.813499999999998</v>
      </c>
    </row>
    <row r="55" spans="1:8">
      <c r="A55" s="1070"/>
      <c r="G55" s="1070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tabSelected="1" zoomScale="75" workbookViewId="0">
      <selection activeCell="C11" sqref="C11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37018</v>
      </c>
      <c r="B5" s="11">
        <v>66</v>
      </c>
      <c r="C5" s="49">
        <v>46</v>
      </c>
      <c r="D5" s="49">
        <v>12</v>
      </c>
      <c r="E5" s="11" t="s">
        <v>786</v>
      </c>
      <c r="F5" s="11" t="s">
        <v>11</v>
      </c>
      <c r="G5" s="11"/>
      <c r="H5" s="11" t="s">
        <v>11</v>
      </c>
      <c r="I5" s="910" t="s">
        <v>787</v>
      </c>
      <c r="J5" s="910" t="s">
        <v>788</v>
      </c>
      <c r="K5" s="11">
        <v>5</v>
      </c>
      <c r="L5" s="11">
        <v>1</v>
      </c>
      <c r="N5" s="15" t="str">
        <f>I5&amp;" "&amp;I5</f>
        <v xml:space="preserve">  TODAY - A BRIEF SHOWER EARLY, CLOUDY MOST OF THE TIME AND BREEZY.   TODAY - A BRIEF SHOWER EARLY, CLOUDY MOST OF THE TIME AND BREEZY.</v>
      </c>
      <c r="AE5" s="15">
        <v>1</v>
      </c>
      <c r="AH5" s="15" t="s">
        <v>34</v>
      </c>
    </row>
    <row r="6" spans="1:34" ht="16.5" customHeight="1">
      <c r="A6" s="88">
        <f>A5+1</f>
        <v>37019</v>
      </c>
      <c r="B6" s="11">
        <v>74</v>
      </c>
      <c r="C6" s="49">
        <v>49</v>
      </c>
      <c r="D6" s="49">
        <v>15</v>
      </c>
      <c r="E6" s="11" t="s">
        <v>11</v>
      </c>
      <c r="F6" s="11" t="s">
        <v>11</v>
      </c>
      <c r="G6" s="11"/>
      <c r="H6" s="11" t="s">
        <v>11</v>
      </c>
      <c r="I6" s="910" t="s">
        <v>789</v>
      </c>
      <c r="J6" s="910" t="s">
        <v>790</v>
      </c>
      <c r="K6" s="11">
        <v>5</v>
      </c>
      <c r="L6" s="11" t="s">
        <v>627</v>
      </c>
      <c r="N6" s="15" t="str">
        <f>I6&amp;" "&amp;J6</f>
        <v xml:space="preserve">  SOME SUN; NICE EARLY IN THE DAY, BECOMING  BREEZY AND WARM LATER    IN THE DAY.</v>
      </c>
      <c r="AE6" s="15">
        <v>1</v>
      </c>
      <c r="AH6" s="15" t="s">
        <v>35</v>
      </c>
    </row>
    <row r="7" spans="1:34" ht="16.5" customHeight="1">
      <c r="A7" s="88">
        <f>A6+1</f>
        <v>37020</v>
      </c>
      <c r="B7" s="11">
        <v>77</v>
      </c>
      <c r="C7" s="49">
        <v>58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10" t="s">
        <v>791</v>
      </c>
      <c r="J7" s="910" t="s">
        <v>11</v>
      </c>
      <c r="K7" s="11">
        <v>3</v>
      </c>
      <c r="L7" s="11" t="s">
        <v>22</v>
      </c>
      <c r="N7" s="15" t="str">
        <f>I7&amp;" "&amp;J7</f>
        <v xml:space="preserve">  COOL WITH SUN AND CLOUDS.  </v>
      </c>
    </row>
    <row r="8" spans="1:34" ht="16.5" customHeight="1">
      <c r="A8" s="88">
        <f>A7+1</f>
        <v>37021</v>
      </c>
      <c r="B8" s="11">
        <v>82</v>
      </c>
      <c r="C8" s="49">
        <v>54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10" t="s">
        <v>792</v>
      </c>
      <c r="J8" s="910" t="s">
        <v>11</v>
      </c>
      <c r="K8" s="11">
        <v>3</v>
      </c>
      <c r="L8" s="11"/>
      <c r="N8" s="15" t="str">
        <f>I8&amp;" "&amp;J8</f>
        <v xml:space="preserve">  SUNNY TO PARTLY CLOUDY.  </v>
      </c>
    </row>
    <row r="9" spans="1:34" ht="16.5" customHeight="1">
      <c r="A9" s="88">
        <f>A8+1</f>
        <v>37022</v>
      </c>
      <c r="B9" s="11">
        <v>70</v>
      </c>
      <c r="C9" s="49">
        <v>48</v>
      </c>
      <c r="D9" s="49">
        <v>12</v>
      </c>
      <c r="E9" s="11" t="s">
        <v>11</v>
      </c>
      <c r="F9" s="11" t="s">
        <v>11</v>
      </c>
      <c r="G9" s="11"/>
      <c r="H9" s="11" t="s">
        <v>11</v>
      </c>
      <c r="I9" s="910" t="s">
        <v>793</v>
      </c>
      <c r="J9" s="910" t="s">
        <v>11</v>
      </c>
      <c r="K9" s="11">
        <v>3</v>
      </c>
      <c r="L9" s="11">
        <v>0</v>
      </c>
      <c r="M9" s="89"/>
      <c r="N9" s="15" t="str">
        <f>I10&amp;" "&amp;J9</f>
        <v xml:space="preserve">  OCCASIONAL RAIN WITH CONSIDERABLE CLOUDINESS.  </v>
      </c>
    </row>
    <row r="10" spans="1:34" ht="16.5" customHeight="1">
      <c r="A10" s="88">
        <f>A9+1</f>
        <v>37023</v>
      </c>
      <c r="B10" s="11">
        <v>70</v>
      </c>
      <c r="C10" s="49">
        <v>48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10" t="s">
        <v>793</v>
      </c>
      <c r="J10" s="910" t="s">
        <v>11</v>
      </c>
      <c r="K10" s="11">
        <v>5</v>
      </c>
      <c r="L10" s="11" t="s">
        <v>414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topLeftCell="A10" zoomScale="75" workbookViewId="0">
      <selection activeCell="B35" sqref="B35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574</v>
      </c>
      <c r="B2" s="186">
        <f>PGL_Deliveries!U5/1000</f>
        <v>3.681</v>
      </c>
      <c r="C2" s="60"/>
      <c r="D2" s="121" t="s">
        <v>324</v>
      </c>
      <c r="E2" s="426">
        <f>Weather_Input!A5</f>
        <v>37018</v>
      </c>
      <c r="F2" s="60"/>
      <c r="H2"/>
      <c r="I2"/>
      <c r="J2"/>
      <c r="K2"/>
      <c r="L2"/>
      <c r="M2"/>
    </row>
    <row r="3" spans="1:13" ht="15">
      <c r="A3" s="99" t="s">
        <v>575</v>
      </c>
      <c r="B3" s="632">
        <f>PGL_Supplies!J7/1000</f>
        <v>0</v>
      </c>
      <c r="C3" s="185"/>
      <c r="D3" s="1126" t="s">
        <v>769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578</v>
      </c>
      <c r="B5" s="154">
        <f>PGL_Deliveries!D5/1000</f>
        <v>0</v>
      </c>
      <c r="C5" s="64"/>
      <c r="D5" s="59" t="s">
        <v>576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0</v>
      </c>
      <c r="C6" s="169"/>
      <c r="D6" s="59" t="s">
        <v>577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5" thickBot="1">
      <c r="A7" s="181" t="s">
        <v>580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745</v>
      </c>
      <c r="B8" s="154">
        <f>PGL_Deliveries!V5/1000</f>
        <v>166.25800000000001</v>
      </c>
      <c r="C8" s="631"/>
      <c r="D8" s="117" t="s">
        <v>579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0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3.681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14.579000000000001</v>
      </c>
      <c r="C11" s="64"/>
      <c r="D11" s="117" t="s">
        <v>581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582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583</v>
      </c>
      <c r="B13" s="154">
        <f>PGL_Deliveries!Y5/1000+PGL_Deliveries!Z5/1000+PGL_Deliveries!AA5/1000-PGL_Deliveries!BE5/1000-PGL_Deliveries!BF5/1000</f>
        <v>167.24399999999997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-179.77799999999999</v>
      </c>
      <c r="C15" s="64"/>
      <c r="D15" s="59" t="s">
        <v>402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584</v>
      </c>
      <c r="B16" s="60"/>
      <c r="C16" s="226">
        <f>PGL_Deliveries!AO5/1000</f>
        <v>7.6929999999999996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0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5" thickBot="1">
      <c r="A18" s="180" t="s">
        <v>585</v>
      </c>
      <c r="B18" s="904">
        <f>SUM(B8:B17)-C16</f>
        <v>160.61000000000001</v>
      </c>
      <c r="C18" s="169"/>
      <c r="D18" s="179" t="s">
        <v>586</v>
      </c>
      <c r="E18" s="178">
        <f>SUM(E5:E17)</f>
        <v>3.681</v>
      </c>
      <c r="F18" s="167"/>
      <c r="H18"/>
      <c r="I18"/>
      <c r="J18"/>
      <c r="K18"/>
      <c r="L18"/>
      <c r="M18"/>
    </row>
    <row r="19" spans="1:13" ht="15">
      <c r="A19" s="444" t="s">
        <v>751</v>
      </c>
      <c r="B19" s="154">
        <f>PGL_Supplies!Y7/1000</f>
        <v>172.51499999999999</v>
      </c>
      <c r="C19" s="631"/>
      <c r="D19" s="117" t="s">
        <v>319</v>
      </c>
      <c r="E19" s="154">
        <f>PGL_Deliveries!AI5/1000</f>
        <v>0</v>
      </c>
      <c r="F19" s="171"/>
      <c r="H19"/>
      <c r="I19"/>
      <c r="J19"/>
      <c r="K19"/>
      <c r="L19"/>
      <c r="M19"/>
    </row>
    <row r="20" spans="1:13" ht="15">
      <c r="A20" s="172" t="s">
        <v>748</v>
      </c>
      <c r="B20" s="154">
        <f>PGL_Supplies!X7/1000</f>
        <v>0</v>
      </c>
      <c r="C20" s="64"/>
      <c r="D20" s="117" t="s">
        <v>189</v>
      </c>
      <c r="E20" s="154">
        <f>PGL_Deliveries!AW5/1000+B41</f>
        <v>2.7117</v>
      </c>
      <c r="F20" s="171"/>
      <c r="H20"/>
      <c r="I20"/>
      <c r="J20"/>
      <c r="K20"/>
      <c r="L20"/>
      <c r="M20"/>
    </row>
    <row r="21" spans="1:13" ht="16.5" thickBot="1">
      <c r="A21" s="172" t="s">
        <v>752</v>
      </c>
      <c r="C21" s="176">
        <f>PGL_Requirements!J7/1000</f>
        <v>0</v>
      </c>
      <c r="D21" s="630" t="s">
        <v>587</v>
      </c>
      <c r="E21" s="211">
        <f>SUM(E18:E20)</f>
        <v>6.3926999999999996</v>
      </c>
      <c r="F21" s="177"/>
      <c r="H21"/>
      <c r="I21"/>
      <c r="J21"/>
      <c r="K21"/>
      <c r="L21"/>
      <c r="M21"/>
    </row>
    <row r="22" spans="1:13" ht="15">
      <c r="A22" s="175" t="s">
        <v>359</v>
      </c>
      <c r="B22" s="1132">
        <f>+B19+B20-C21</f>
        <v>172.51499999999999</v>
      </c>
      <c r="C22" s="1125"/>
      <c r="D22" s="251" t="s">
        <v>588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40.200000000000003</v>
      </c>
      <c r="C23" s="64"/>
      <c r="D23" s="251" t="s">
        <v>589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762</v>
      </c>
      <c r="B24" s="633"/>
      <c r="C24" s="226">
        <f>PGL_Requirements!U7/1000</f>
        <v>40.200000000000003</v>
      </c>
      <c r="D24" s="60" t="s">
        <v>590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761</v>
      </c>
      <c r="B25" s="154">
        <f>PGL_Supplies!R7/1000</f>
        <v>0</v>
      </c>
      <c r="C25" s="64"/>
      <c r="D25" s="251" t="s">
        <v>592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594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591</v>
      </c>
      <c r="B27" s="154">
        <f>PGL_Supplies!AA7/1000</f>
        <v>0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593</v>
      </c>
      <c r="B28" s="154">
        <v>0</v>
      </c>
      <c r="C28" s="64"/>
      <c r="D28" s="251" t="s">
        <v>596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595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597</v>
      </c>
      <c r="B30" s="1079">
        <f>PGL_Supplies!AD7/1000</f>
        <v>0</v>
      </c>
      <c r="C30" s="64"/>
      <c r="D30" s="634" t="s">
        <v>599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598</v>
      </c>
      <c r="B31" s="154">
        <f>PGL_Supplies!AE7/1000</f>
        <v>0</v>
      </c>
      <c r="C31" s="64"/>
      <c r="D31" s="251" t="s">
        <v>600</v>
      </c>
      <c r="E31" s="60" t="s">
        <v>11</v>
      </c>
      <c r="F31" s="176">
        <f>PGL_Requirements!O7/1000</f>
        <v>17.48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601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733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602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60.064</v>
      </c>
      <c r="F34" s="171"/>
      <c r="H34"/>
      <c r="I34"/>
      <c r="J34"/>
      <c r="K34"/>
      <c r="L34"/>
      <c r="M34"/>
    </row>
    <row r="35" spans="1:13" ht="15">
      <c r="A35" s="172" t="s">
        <v>603</v>
      </c>
      <c r="B35" s="60"/>
      <c r="C35" s="64">
        <f>PGL_Deliveries!AC5/1000</f>
        <v>0</v>
      </c>
      <c r="D35" s="60" t="s">
        <v>604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605</v>
      </c>
      <c r="B36" s="68"/>
      <c r="C36" s="484">
        <f>PGL_Deliveries!AB5/1000</f>
        <v>0</v>
      </c>
      <c r="D36" s="174" t="s">
        <v>606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607</v>
      </c>
      <c r="B37" s="154" t="s">
        <v>11</v>
      </c>
      <c r="C37" s="226">
        <f>PGL_Requirements!P7/1000</f>
        <v>158</v>
      </c>
      <c r="D37" s="251" t="s">
        <v>608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609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6.5" thickBot="1">
      <c r="A39" s="172" t="s">
        <v>610</v>
      </c>
      <c r="B39" s="60"/>
      <c r="C39" s="226">
        <f>PGL_Deliveries!AS5/1000</f>
        <v>0</v>
      </c>
      <c r="D39" s="212" t="s">
        <v>224</v>
      </c>
      <c r="E39" s="211">
        <f>SUM(E22:E37)-SUM(F23:F38)-E33</f>
        <v>42.584000000000003</v>
      </c>
      <c r="F39" s="167"/>
      <c r="G39" s="1" t="s">
        <v>11</v>
      </c>
      <c r="H39"/>
      <c r="I39"/>
      <c r="J39"/>
      <c r="K39"/>
      <c r="L39"/>
      <c r="M39"/>
    </row>
    <row r="40" spans="1:13" ht="15">
      <c r="A40" s="172" t="s">
        <v>209</v>
      </c>
      <c r="B40" s="154">
        <f>PGL_Deliveries!AT5/1000</f>
        <v>1.6719999999999999</v>
      </c>
      <c r="C40" s="64"/>
      <c r="D40" s="780" t="s">
        <v>611</v>
      </c>
      <c r="E40" s="807"/>
      <c r="F40" s="176">
        <f>PGL_Requirements!K7/1000</f>
        <v>20.774000000000001</v>
      </c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251" t="s">
        <v>524</v>
      </c>
      <c r="E41" s="808">
        <f>PGL_Supplies!AB7/1000</f>
        <v>183.85499999999999</v>
      </c>
      <c r="F41" s="171"/>
      <c r="H41"/>
      <c r="I41"/>
      <c r="J41"/>
      <c r="K41"/>
      <c r="L41"/>
      <c r="M41"/>
    </row>
    <row r="42" spans="1:13" ht="15">
      <c r="A42" s="173" t="s">
        <v>612</v>
      </c>
      <c r="B42" s="154">
        <f>PGL_Deliveries!AF5/1000</f>
        <v>0</v>
      </c>
      <c r="C42" s="64"/>
      <c r="D42" s="60" t="s">
        <v>393</v>
      </c>
      <c r="E42" s="808">
        <f>PGL_Supplies!W7/1000</f>
        <v>0</v>
      </c>
      <c r="F42" s="171"/>
      <c r="H42"/>
      <c r="I42"/>
      <c r="J42"/>
      <c r="K42"/>
      <c r="L42"/>
      <c r="M42"/>
    </row>
    <row r="43" spans="1:13" ht="15">
      <c r="A43" s="172" t="s">
        <v>613</v>
      </c>
      <c r="B43" s="154">
        <f>PGL_Deliveries!AW5/1000</f>
        <v>2.7117</v>
      </c>
      <c r="C43" s="64"/>
      <c r="D43" s="60" t="s">
        <v>527</v>
      </c>
      <c r="E43" s="154"/>
      <c r="F43" s="176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70" t="s">
        <v>742</v>
      </c>
      <c r="B44" s="210" t="s">
        <v>11</v>
      </c>
      <c r="C44" s="226">
        <f>PGL_Requirements!R7/1000</f>
        <v>0.63</v>
      </c>
      <c r="D44" s="60" t="s">
        <v>528</v>
      </c>
      <c r="E44" s="154">
        <f>NSG_Requirements!$AB$7+NSG_Requirements!$AC$7+NSG_Requirements!$AD$7+NSG_Requirements!$AE$7/1000+NSG_Requirements!K7/1000</f>
        <v>0</v>
      </c>
      <c r="F44" s="176"/>
      <c r="H44"/>
      <c r="I44"/>
      <c r="J44"/>
      <c r="K44"/>
      <c r="L44"/>
      <c r="M44"/>
    </row>
    <row r="45" spans="1:13" ht="15">
      <c r="A45" s="444" t="s">
        <v>614</v>
      </c>
      <c r="B45" s="60">
        <f>Weather_Input!B5</f>
        <v>66</v>
      </c>
      <c r="C45" s="185"/>
      <c r="D45" s="60" t="s">
        <v>624</v>
      </c>
      <c r="E45" s="808">
        <f>PGL_Supplies!T7/1000</f>
        <v>23.643999999999998</v>
      </c>
      <c r="F45" s="171"/>
    </row>
    <row r="46" spans="1:13" ht="15">
      <c r="A46" s="172" t="s">
        <v>615</v>
      </c>
      <c r="B46" s="239">
        <f>Weather_Input!C5</f>
        <v>46</v>
      </c>
      <c r="C46" s="162"/>
      <c r="D46" s="74" t="s">
        <v>623</v>
      </c>
      <c r="E46" s="60"/>
      <c r="F46" s="176">
        <f>PGL_Deliveries!BE5/1000</f>
        <v>21.574000000000002</v>
      </c>
    </row>
    <row r="47" spans="1:13" ht="15">
      <c r="A47" s="173" t="s">
        <v>616</v>
      </c>
      <c r="B47" s="60" t="str">
        <f>Weather_Input!E5</f>
        <v>N/A</v>
      </c>
      <c r="C47" s="162"/>
      <c r="D47" s="779" t="s">
        <v>802</v>
      </c>
      <c r="E47" s="68"/>
      <c r="F47" s="176">
        <f>PGL_Deliveries!BF5/1000</f>
        <v>20.8</v>
      </c>
    </row>
    <row r="48" spans="1:13" ht="15">
      <c r="A48" s="172" t="s">
        <v>617</v>
      </c>
      <c r="B48" s="227">
        <f>Weather_Input!D5</f>
        <v>12</v>
      </c>
      <c r="C48" s="162"/>
      <c r="D48" s="251" t="s">
        <v>245</v>
      </c>
      <c r="E48" s="154">
        <f>PGL_Deliveries!AI5/1000</f>
        <v>0</v>
      </c>
      <c r="F48" s="161"/>
    </row>
    <row r="49" spans="1:6" ht="15">
      <c r="A49" s="172" t="s">
        <v>618</v>
      </c>
      <c r="B49" s="154">
        <f>PGL_Deliveries!AM5/1000</f>
        <v>1.0329999999999999</v>
      </c>
      <c r="C49" s="162"/>
      <c r="D49" s="60" t="s">
        <v>781</v>
      </c>
      <c r="E49" s="154">
        <f>PGL_Deliveries!AJ5/1000</f>
        <v>14.579000000000001</v>
      </c>
      <c r="F49" s="161"/>
    </row>
    <row r="50" spans="1:6" ht="15.75" outlineLevel="2" thickBot="1">
      <c r="A50" s="102" t="s">
        <v>619</v>
      </c>
      <c r="B50" s="163"/>
      <c r="C50" s="160"/>
      <c r="D50" s="168" t="s">
        <v>620</v>
      </c>
      <c r="E50" s="210">
        <f>PGL_Deliveries!AK5/1000</f>
        <v>0</v>
      </c>
      <c r="F50" s="443"/>
    </row>
    <row r="51" spans="1:6" ht="15" outlineLevel="2">
      <c r="A51" s="421" t="s">
        <v>621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783</v>
      </c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3" t="s">
        <v>5</v>
      </c>
      <c r="B3" s="244">
        <f>NSG_Deliveries!H5/1000</f>
        <v>0</v>
      </c>
      <c r="C3" s="120"/>
      <c r="D3" s="230" t="s">
        <v>324</v>
      </c>
      <c r="E3" s="429">
        <f>Weather_Input!A5</f>
        <v>37018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326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327</v>
      </c>
      <c r="B7" s="217">
        <f>NSG_Deliveries!G5/1000</f>
        <v>0</v>
      </c>
      <c r="C7" s="818"/>
      <c r="D7" s="222" t="s">
        <v>328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19" t="s">
        <v>642</v>
      </c>
      <c r="E8" s="813">
        <f>NSG_Deliveries!F5/1000</f>
        <v>0</v>
      </c>
      <c r="F8" s="812"/>
      <c r="G8"/>
    </row>
    <row r="9" spans="1:11" ht="15" customHeight="1">
      <c r="A9" s="245" t="s">
        <v>323</v>
      </c>
      <c r="B9" s="218" t="s">
        <v>11</v>
      </c>
      <c r="C9" s="134">
        <f>NSG_Requirements!L7/1000</f>
        <v>0</v>
      </c>
      <c r="D9" s="1" t="s">
        <v>632</v>
      </c>
      <c r="E9" s="814" t="s">
        <v>11</v>
      </c>
      <c r="F9" s="1038">
        <f>NSG_Deliveries!M5/1000</f>
        <v>20</v>
      </c>
      <c r="G9" s="122"/>
    </row>
    <row r="10" spans="1:11" ht="15" customHeight="1">
      <c r="A10" s="128" t="s">
        <v>330</v>
      </c>
      <c r="B10" s="219">
        <f>NSG_Supplies!H7/1000</f>
        <v>0</v>
      </c>
      <c r="C10" s="133"/>
      <c r="D10" s="1040" t="s">
        <v>633</v>
      </c>
      <c r="E10" s="446">
        <f>NSG_Deliveries!N5/1000</f>
        <v>0</v>
      </c>
      <c r="F10" s="815"/>
      <c r="G10"/>
    </row>
    <row r="11" spans="1:11" ht="15" customHeight="1" thickBot="1">
      <c r="A11" s="131" t="s">
        <v>331</v>
      </c>
      <c r="B11" s="427" t="s">
        <v>11</v>
      </c>
      <c r="C11" s="428"/>
      <c r="D11" s="170" t="s">
        <v>643</v>
      </c>
      <c r="E11" s="816">
        <f>NSG_Supplies!Q7/1000</f>
        <v>20</v>
      </c>
      <c r="F11" s="817"/>
      <c r="G11"/>
    </row>
    <row r="12" spans="1:11" ht="15" customHeight="1">
      <c r="A12" s="128" t="s">
        <v>394</v>
      </c>
      <c r="B12" s="219">
        <v>0</v>
      </c>
      <c r="C12" s="132"/>
      <c r="D12" t="s">
        <v>329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334</v>
      </c>
      <c r="B13" s="219">
        <f>NSG_Supplies!R7/1000</f>
        <v>31.536000000000001</v>
      </c>
      <c r="C13" s="132"/>
      <c r="D13" s="247" t="s">
        <v>332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333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336</v>
      </c>
      <c r="B15" s="214"/>
      <c r="C15" s="134">
        <f>NSG_Deliveries!K5/1000</f>
        <v>0</v>
      </c>
      <c r="D15" s="238" t="s">
        <v>335</v>
      </c>
      <c r="E15" s="772">
        <f>+NSG_Supplies!O7/1000</f>
        <v>0</v>
      </c>
      <c r="F15" s="215"/>
    </row>
    <row r="16" spans="1:11" ht="15" customHeight="1" thickBot="1">
      <c r="A16" s="130" t="s">
        <v>337</v>
      </c>
      <c r="B16" s="446">
        <f>NSG_Deliveries!L5/1000</f>
        <v>11.215</v>
      </c>
      <c r="C16" s="1039"/>
      <c r="D16" s="827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338</v>
      </c>
      <c r="B17" s="214"/>
      <c r="C17" s="134">
        <f>NSG_Requirements!P7/1000</f>
        <v>0</v>
      </c>
      <c r="D17" s="431" t="s">
        <v>339</v>
      </c>
      <c r="E17" s="430"/>
      <c r="F17" s="432"/>
    </row>
    <row r="18" spans="1:8" ht="15" customHeight="1">
      <c r="A18" s="128" t="s">
        <v>340</v>
      </c>
      <c r="B18" s="219">
        <f>NSG_Supplies!I7/1000</f>
        <v>0</v>
      </c>
      <c r="C18" s="132"/>
      <c r="D18" s="64" t="s">
        <v>341</v>
      </c>
      <c r="E18" s="162"/>
      <c r="F18" s="129">
        <f>NSG_Requirements!N7/1000</f>
        <v>0</v>
      </c>
    </row>
    <row r="19" spans="1:8" ht="15" customHeight="1">
      <c r="A19" s="130" t="s">
        <v>491</v>
      </c>
      <c r="B19" s="446">
        <f>PGL_Requirements!Y7/1000+PGL_Requirements!AB7/1000</f>
        <v>0</v>
      </c>
      <c r="C19" s="445"/>
      <c r="D19" s="232" t="s">
        <v>342</v>
      </c>
      <c r="E19" s="162"/>
      <c r="F19" s="129">
        <f>NSG_Requirements!S7/1000</f>
        <v>0</v>
      </c>
    </row>
    <row r="20" spans="1:8" ht="15" customHeight="1">
      <c r="A20" s="130" t="s">
        <v>343</v>
      </c>
      <c r="B20" s="446">
        <f>PGL_Requirements!Z7/1000</f>
        <v>0</v>
      </c>
      <c r="C20" s="445" t="s">
        <v>11</v>
      </c>
      <c r="D20" s="214" t="s">
        <v>344</v>
      </c>
      <c r="E20" s="162"/>
      <c r="F20" s="129">
        <f>NSG_Requirements!O7/1000</f>
        <v>0</v>
      </c>
    </row>
    <row r="21" spans="1:8" ht="15" customHeight="1">
      <c r="A21" s="130" t="s">
        <v>520</v>
      </c>
      <c r="B21" s="446">
        <f>PGL_Requirements!AA7/1000</f>
        <v>0</v>
      </c>
      <c r="C21" s="445"/>
      <c r="D21" s="223" t="s">
        <v>345</v>
      </c>
      <c r="E21" s="219">
        <f>NSG_Supplies!L7/1000</f>
        <v>0</v>
      </c>
      <c r="F21" s="144"/>
    </row>
    <row r="22" spans="1:8" ht="15" customHeight="1">
      <c r="A22" s="128" t="s">
        <v>325</v>
      </c>
      <c r="B22" s="214"/>
      <c r="C22" s="134">
        <f>NSG_Requirements!C7/1000</f>
        <v>0</v>
      </c>
      <c r="D22" s="223" t="s">
        <v>369</v>
      </c>
      <c r="E22" s="219">
        <f>NSG_Supplies!M7/1000</f>
        <v>0</v>
      </c>
      <c r="F22" s="144"/>
    </row>
    <row r="23" spans="1:8" ht="15" customHeight="1">
      <c r="A23" s="128" t="s">
        <v>346</v>
      </c>
      <c r="B23" s="214"/>
      <c r="C23" s="134">
        <f>NSG_Requirements!R7/1000</f>
        <v>0</v>
      </c>
      <c r="D23" s="223" t="s">
        <v>347</v>
      </c>
      <c r="E23" s="219">
        <f>PGL_Supplies!S7/1000</f>
        <v>0</v>
      </c>
      <c r="F23" s="129" t="s">
        <v>11</v>
      </c>
    </row>
    <row r="24" spans="1:8" ht="15" customHeight="1">
      <c r="A24" s="128" t="s">
        <v>348</v>
      </c>
      <c r="B24" s="219">
        <f>NSG_Supplies!K7/1000</f>
        <v>0</v>
      </c>
      <c r="C24" s="132"/>
      <c r="D24" s="231" t="s">
        <v>349</v>
      </c>
      <c r="E24" s="224">
        <f>NSG_Supplies!P7/1000</f>
        <v>0</v>
      </c>
      <c r="F24" s="127"/>
    </row>
    <row r="25" spans="1:8" ht="15" customHeight="1">
      <c r="A25" s="130" t="s">
        <v>350</v>
      </c>
      <c r="B25" s="214"/>
      <c r="C25" s="134">
        <f>NSG_Requirements!Q7/1000</f>
        <v>0</v>
      </c>
      <c r="D25" s="231" t="s">
        <v>351</v>
      </c>
      <c r="E25" s="219">
        <f>PGL_Requirements!V71/1000</f>
        <v>0</v>
      </c>
      <c r="F25" s="118"/>
    </row>
    <row r="26" spans="1:8" ht="15" customHeight="1">
      <c r="A26" s="145" t="s">
        <v>352</v>
      </c>
      <c r="B26" s="220">
        <f>NSG_Supplies!J7/1000</f>
        <v>0</v>
      </c>
      <c r="C26" s="146"/>
      <c r="D26" s="773" t="s">
        <v>353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42.751000000000005</v>
      </c>
      <c r="C27" s="148"/>
      <c r="D27" s="241" t="s">
        <v>354</v>
      </c>
      <c r="E27" s="221">
        <f>SUM(E18:E26)-SUM(F18:F26)</f>
        <v>0</v>
      </c>
      <c r="F27" s="149"/>
      <c r="H27" s="1" t="s">
        <v>11</v>
      </c>
    </row>
    <row r="28" spans="1:8" ht="15" customHeight="1" thickTop="1">
      <c r="A28" s="164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0"/>
  </cols>
  <sheetData>
    <row r="1" spans="2:7">
      <c r="E1" s="800" t="s">
        <v>11</v>
      </c>
    </row>
    <row r="2" spans="2:7">
      <c r="B2" s="928" t="s">
        <v>11</v>
      </c>
      <c r="C2" s="928" t="s">
        <v>11</v>
      </c>
      <c r="D2" s="928" t="s">
        <v>172</v>
      </c>
      <c r="E2" s="928" t="s">
        <v>11</v>
      </c>
      <c r="F2" s="928" t="s">
        <v>172</v>
      </c>
      <c r="G2" s="928" t="s">
        <v>11</v>
      </c>
    </row>
    <row r="4" spans="2:7">
      <c r="B4" s="929" t="s">
        <v>172</v>
      </c>
    </row>
    <row r="6" spans="2:7">
      <c r="B6" s="928" t="s">
        <v>11</v>
      </c>
    </row>
    <row r="7" spans="2:7">
      <c r="B7" s="928"/>
    </row>
    <row r="8" spans="2:7">
      <c r="B8" s="928" t="s">
        <v>11</v>
      </c>
    </row>
    <row r="9" spans="2:7">
      <c r="B9" s="928"/>
    </row>
    <row r="10" spans="2:7">
      <c r="B10" s="928" t="s">
        <v>11</v>
      </c>
    </row>
    <row r="11" spans="2:7">
      <c r="B11" s="928" t="s">
        <v>11</v>
      </c>
    </row>
    <row r="12" spans="2:7">
      <c r="B12" s="928" t="s">
        <v>11</v>
      </c>
    </row>
    <row r="13" spans="2:7">
      <c r="B13" s="928"/>
    </row>
    <row r="14" spans="2:7">
      <c r="B14" s="928" t="s">
        <v>11</v>
      </c>
    </row>
    <row r="15" spans="2:7">
      <c r="B15" s="928"/>
    </row>
    <row r="16" spans="2:7">
      <c r="B16" s="928" t="s">
        <v>11</v>
      </c>
    </row>
    <row r="17" spans="2:5">
      <c r="B17" s="928"/>
    </row>
    <row r="18" spans="2:5">
      <c r="B18" s="928" t="s">
        <v>11</v>
      </c>
    </row>
    <row r="19" spans="2:5">
      <c r="B19" s="928"/>
    </row>
    <row r="20" spans="2:5">
      <c r="B20" s="928" t="s">
        <v>11</v>
      </c>
    </row>
    <row r="21" spans="2:5">
      <c r="B21" s="928"/>
    </row>
    <row r="22" spans="2:5">
      <c r="B22" s="928" t="s">
        <v>11</v>
      </c>
    </row>
    <row r="24" spans="2:5">
      <c r="B24" s="928" t="s">
        <v>11</v>
      </c>
    </row>
    <row r="25" spans="2:5">
      <c r="E25" s="928" t="s">
        <v>11</v>
      </c>
    </row>
    <row r="27" spans="2:5">
      <c r="B27" s="928" t="s">
        <v>11</v>
      </c>
    </row>
    <row r="29" spans="2:5">
      <c r="B29" s="928" t="s">
        <v>11</v>
      </c>
    </row>
    <row r="30" spans="2:5">
      <c r="B30" s="928"/>
    </row>
    <row r="31" spans="2:5">
      <c r="B31" s="928" t="s">
        <v>11</v>
      </c>
    </row>
    <row r="32" spans="2:5">
      <c r="B32" s="928"/>
    </row>
    <row r="33" spans="2:2">
      <c r="B33" s="928" t="s">
        <v>11</v>
      </c>
    </row>
    <row r="34" spans="2:2">
      <c r="B34" s="928"/>
    </row>
    <row r="35" spans="2:2">
      <c r="B35" s="928" t="s">
        <v>11</v>
      </c>
    </row>
    <row r="36" spans="2:2">
      <c r="B36" s="928"/>
    </row>
    <row r="37" spans="2:2">
      <c r="B37" s="928" t="s">
        <v>11</v>
      </c>
    </row>
    <row r="38" spans="2:2">
      <c r="B38" s="928"/>
    </row>
    <row r="39" spans="2:2">
      <c r="B39" s="928" t="s">
        <v>11</v>
      </c>
    </row>
    <row r="40" spans="2:2">
      <c r="B40" s="928"/>
    </row>
    <row r="41" spans="2:2">
      <c r="B41" s="928" t="s">
        <v>11</v>
      </c>
    </row>
    <row r="42" spans="2:2">
      <c r="B42" s="928"/>
    </row>
    <row r="43" spans="2:2">
      <c r="B43" s="928" t="s">
        <v>11</v>
      </c>
    </row>
    <row r="44" spans="2:2">
      <c r="B44" s="928"/>
    </row>
    <row r="45" spans="2:2">
      <c r="B45" s="928" t="s">
        <v>11</v>
      </c>
    </row>
    <row r="47" spans="2:2">
      <c r="B47" s="928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7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topLeftCell="B1" workbookViewId="0">
      <selection activeCell="B6" sqref="B6:S6"/>
    </sheetView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356</v>
      </c>
      <c r="B1" s="51">
        <f>Weather_Input!A5</f>
        <v>37018</v>
      </c>
      <c r="C1" s="4"/>
    </row>
    <row r="2" spans="1:19">
      <c r="A2" s="111" t="s">
        <v>357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358</v>
      </c>
      <c r="C4" s="202"/>
      <c r="D4" s="198" t="s">
        <v>359</v>
      </c>
      <c r="E4" s="198" t="s">
        <v>359</v>
      </c>
      <c r="F4" s="6" t="s">
        <v>360</v>
      </c>
      <c r="G4" s="199"/>
      <c r="H4" s="6" t="s">
        <v>358</v>
      </c>
      <c r="I4" s="6"/>
      <c r="J4" s="198" t="s">
        <v>359</v>
      </c>
      <c r="K4" s="198" t="s">
        <v>359</v>
      </c>
      <c r="L4" s="6" t="s">
        <v>360</v>
      </c>
      <c r="M4" s="199"/>
      <c r="N4" s="6" t="s">
        <v>358</v>
      </c>
      <c r="O4" s="6"/>
      <c r="P4" s="198" t="s">
        <v>359</v>
      </c>
      <c r="Q4" s="198" t="s">
        <v>359</v>
      </c>
      <c r="R4" s="6" t="s">
        <v>360</v>
      </c>
      <c r="S4" s="6"/>
    </row>
    <row r="5" spans="1:19">
      <c r="A5" s="105"/>
      <c r="B5" s="208" t="s">
        <v>361</v>
      </c>
      <c r="C5" s="203" t="s">
        <v>362</v>
      </c>
      <c r="D5" s="200" t="s">
        <v>363</v>
      </c>
      <c r="E5" s="200" t="s">
        <v>364</v>
      </c>
      <c r="F5" s="200" t="s">
        <v>361</v>
      </c>
      <c r="G5" s="201" t="s">
        <v>362</v>
      </c>
      <c r="H5" s="200" t="s">
        <v>361</v>
      </c>
      <c r="I5" s="200" t="s">
        <v>362</v>
      </c>
      <c r="J5" s="200" t="s">
        <v>363</v>
      </c>
      <c r="K5" s="200" t="s">
        <v>364</v>
      </c>
      <c r="L5" s="200" t="s">
        <v>361</v>
      </c>
      <c r="M5" s="201" t="s">
        <v>362</v>
      </c>
      <c r="N5" s="200" t="s">
        <v>361</v>
      </c>
      <c r="O5" s="200" t="s">
        <v>362</v>
      </c>
      <c r="P5" s="200" t="s">
        <v>363</v>
      </c>
      <c r="Q5" s="200" t="s">
        <v>364</v>
      </c>
      <c r="R5" s="200" t="s">
        <v>361</v>
      </c>
      <c r="S5" s="200" t="s">
        <v>362</v>
      </c>
    </row>
    <row r="6" spans="1:19">
      <c r="A6" s="4">
        <f>B1-1</f>
        <v>37017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172515</v>
      </c>
      <c r="O6" s="204">
        <v>0</v>
      </c>
      <c r="P6" s="204">
        <v>46137106</v>
      </c>
      <c r="Q6" s="204">
        <v>15045098</v>
      </c>
      <c r="R6" s="204">
        <v>31092008</v>
      </c>
      <c r="S6" s="204">
        <v>0</v>
      </c>
    </row>
    <row r="7" spans="1:19">
      <c r="A7" s="4">
        <f>B1</f>
        <v>37018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172515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46309621</v>
      </c>
      <c r="Q7">
        <f>IF(O7&gt;0,Q6+O7,Q6)</f>
        <v>15045098</v>
      </c>
      <c r="R7">
        <f>IF(P7&gt;Q7,P7-Q7,0)</f>
        <v>31264523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C5" sqref="C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7" t="s">
        <v>728</v>
      </c>
      <c r="BE1" t="s">
        <v>729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725</v>
      </c>
      <c r="BC2" t="s">
        <v>726</v>
      </c>
      <c r="BE2" s="1092">
        <v>1</v>
      </c>
      <c r="BF2" s="198" t="s">
        <v>726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707</v>
      </c>
      <c r="AP3" s="1072"/>
      <c r="AQ3" s="795" t="s">
        <v>708</v>
      </c>
      <c r="AR3" s="1072"/>
      <c r="AS3" s="795" t="s">
        <v>709</v>
      </c>
      <c r="AT3" s="1072"/>
      <c r="AU3" s="433" t="s">
        <v>184</v>
      </c>
      <c r="AV3" s="433" t="s">
        <v>184</v>
      </c>
      <c r="AW3" s="433"/>
      <c r="AX3" s="433" t="s">
        <v>184</v>
      </c>
      <c r="AZ3" s="122" t="s">
        <v>723</v>
      </c>
      <c r="BA3" s="122"/>
      <c r="BB3" s="162"/>
      <c r="BC3" s="122" t="s">
        <v>43</v>
      </c>
      <c r="BE3" s="1092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743</v>
      </c>
      <c r="W4" s="3" t="s">
        <v>68</v>
      </c>
      <c r="X4" s="3" t="s">
        <v>69</v>
      </c>
      <c r="Y4" s="3" t="s">
        <v>570</v>
      </c>
      <c r="Z4" s="3" t="s">
        <v>571</v>
      </c>
      <c r="AA4" s="3" t="s">
        <v>776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1" t="s">
        <v>705</v>
      </c>
      <c r="AP4" s="3" t="s">
        <v>706</v>
      </c>
      <c r="AQ4" s="3" t="s">
        <v>705</v>
      </c>
      <c r="AR4" s="3" t="s">
        <v>706</v>
      </c>
      <c r="AS4" s="3" t="s">
        <v>705</v>
      </c>
      <c r="AT4" s="3" t="s">
        <v>706</v>
      </c>
      <c r="AU4" s="433" t="s">
        <v>203</v>
      </c>
      <c r="AV4" s="433" t="s">
        <v>741</v>
      </c>
      <c r="AW4" s="433" t="s">
        <v>212</v>
      </c>
      <c r="AX4" s="433" t="s">
        <v>704</v>
      </c>
      <c r="AY4" s="1"/>
      <c r="AZ4" s="1093" t="s">
        <v>42</v>
      </c>
      <c r="BA4" s="1094" t="s">
        <v>43</v>
      </c>
      <c r="BB4" s="1095" t="s">
        <v>722</v>
      </c>
      <c r="BC4" s="1095" t="s">
        <v>727</v>
      </c>
      <c r="BE4" s="198" t="s">
        <v>400</v>
      </c>
      <c r="BF4" s="198" t="s">
        <v>724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37018</v>
      </c>
      <c r="B5" s="1">
        <f>(Weather_Input!B5+Weather_Input!C5)/2</f>
        <v>56</v>
      </c>
      <c r="C5" s="911">
        <v>245000</v>
      </c>
      <c r="D5" s="912">
        <v>0</v>
      </c>
      <c r="E5" s="912">
        <v>0</v>
      </c>
      <c r="F5" s="912">
        <v>0</v>
      </c>
      <c r="G5" s="912">
        <v>0</v>
      </c>
      <c r="H5" s="912">
        <v>0</v>
      </c>
      <c r="I5" s="912">
        <v>0</v>
      </c>
      <c r="J5" s="912">
        <v>0</v>
      </c>
      <c r="K5" s="912">
        <v>0</v>
      </c>
      <c r="L5" s="912">
        <v>0</v>
      </c>
      <c r="M5" s="912">
        <v>0</v>
      </c>
      <c r="N5" s="912">
        <v>0</v>
      </c>
      <c r="O5" s="912">
        <v>0</v>
      </c>
      <c r="P5" s="912">
        <v>0</v>
      </c>
      <c r="Q5" s="912">
        <v>0</v>
      </c>
      <c r="R5" s="912">
        <v>0</v>
      </c>
      <c r="S5" s="917">
        <v>3681</v>
      </c>
      <c r="T5" s="1159">
        <v>0</v>
      </c>
      <c r="U5" s="911">
        <f>SUM(D5:S5)-T5</f>
        <v>3681</v>
      </c>
      <c r="V5" s="911">
        <v>166258</v>
      </c>
      <c r="W5" s="11">
        <v>0</v>
      </c>
      <c r="X5" s="11">
        <v>0</v>
      </c>
      <c r="Y5" s="11">
        <v>0</v>
      </c>
      <c r="Z5" s="11">
        <v>182722</v>
      </c>
      <c r="AA5" s="11">
        <v>26896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14579</v>
      </c>
      <c r="AK5" s="11">
        <v>0</v>
      </c>
      <c r="AL5" s="11">
        <v>0</v>
      </c>
      <c r="AM5" s="1">
        <v>1033</v>
      </c>
      <c r="AN5" s="1"/>
      <c r="AO5" s="1">
        <v>7693</v>
      </c>
      <c r="AP5" s="1">
        <v>0</v>
      </c>
      <c r="AQ5" s="1">
        <v>6156</v>
      </c>
      <c r="AR5" s="1">
        <v>0</v>
      </c>
      <c r="AS5" s="1">
        <v>0</v>
      </c>
      <c r="AT5" s="1">
        <v>1672</v>
      </c>
      <c r="AU5" s="1">
        <v>180780</v>
      </c>
      <c r="AV5" s="1">
        <v>670</v>
      </c>
      <c r="AW5" s="627">
        <f>AU5*0.015</f>
        <v>2711.7</v>
      </c>
      <c r="AX5" s="1">
        <v>0</v>
      </c>
      <c r="AY5" s="1"/>
      <c r="AZ5" s="1">
        <v>2561</v>
      </c>
      <c r="BA5" s="1">
        <v>10</v>
      </c>
      <c r="BB5" s="1">
        <v>0</v>
      </c>
      <c r="BC5" s="1">
        <v>0</v>
      </c>
      <c r="BD5" s="1"/>
      <c r="BE5" s="1">
        <v>21574</v>
      </c>
      <c r="BF5" s="1">
        <v>20800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37019</v>
      </c>
      <c r="B6" s="930">
        <f>(Weather_Input!B6+Weather_Input!C6)/2</f>
        <v>61.5</v>
      </c>
      <c r="C6" s="911">
        <v>245000</v>
      </c>
      <c r="D6" s="913" t="s">
        <v>11</v>
      </c>
      <c r="E6" s="914"/>
      <c r="F6" s="914"/>
      <c r="G6" s="914"/>
      <c r="H6" s="914"/>
      <c r="I6" s="914" t="s">
        <v>11</v>
      </c>
      <c r="J6" s="914"/>
      <c r="K6" s="914"/>
      <c r="L6" s="914" t="s">
        <v>11</v>
      </c>
      <c r="M6" s="914"/>
      <c r="N6" s="914"/>
      <c r="O6" s="914"/>
      <c r="P6" s="914"/>
      <c r="Q6" s="914"/>
      <c r="R6" s="914"/>
      <c r="S6" s="914"/>
      <c r="T6" s="914"/>
      <c r="U6" s="914"/>
      <c r="V6" s="914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703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37020</v>
      </c>
      <c r="B7" s="930">
        <f>(Weather_Input!B7+Weather_Input!C7)/2</f>
        <v>67.5</v>
      </c>
      <c r="C7" s="911">
        <v>245000</v>
      </c>
      <c r="D7" s="913" t="s">
        <v>11</v>
      </c>
      <c r="E7" s="914"/>
      <c r="F7" s="914"/>
      <c r="G7" s="914"/>
      <c r="H7" s="915" t="s">
        <v>77</v>
      </c>
      <c r="I7" s="914"/>
      <c r="J7" s="914"/>
      <c r="K7" s="914"/>
      <c r="L7" s="914"/>
      <c r="M7" s="914"/>
      <c r="N7" s="914"/>
      <c r="O7" s="914"/>
      <c r="P7" s="914"/>
      <c r="Q7" s="914"/>
      <c r="R7" s="914" t="s">
        <v>537</v>
      </c>
      <c r="S7" s="918">
        <v>0</v>
      </c>
      <c r="T7" s="918"/>
      <c r="U7" s="914"/>
      <c r="V7" s="914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37021</v>
      </c>
      <c r="B8" s="930">
        <f>(Weather_Input!B8+Weather_Input!C8)/2</f>
        <v>68</v>
      </c>
      <c r="C8" s="911">
        <v>240000</v>
      </c>
      <c r="D8" s="913" t="s">
        <v>11</v>
      </c>
      <c r="E8" s="914" t="s">
        <v>11</v>
      </c>
      <c r="F8" s="914"/>
      <c r="G8" s="914"/>
      <c r="H8" s="916" t="s">
        <v>78</v>
      </c>
      <c r="I8" s="914"/>
      <c r="J8" s="914"/>
      <c r="K8" s="914"/>
      <c r="L8" s="914"/>
      <c r="M8" s="914"/>
      <c r="N8" s="914"/>
      <c r="O8" s="914"/>
      <c r="P8" s="914"/>
      <c r="Q8" s="914"/>
      <c r="R8" s="914" t="s">
        <v>538</v>
      </c>
      <c r="S8" s="918">
        <v>0</v>
      </c>
      <c r="T8" s="918"/>
      <c r="U8" s="914"/>
      <c r="V8" s="914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37022</v>
      </c>
      <c r="B9" s="930">
        <f>(Weather_Input!B9+Weather_Input!C9)/2</f>
        <v>59</v>
      </c>
      <c r="C9" s="911">
        <v>235000</v>
      </c>
      <c r="D9" s="913" t="s">
        <v>11</v>
      </c>
      <c r="E9" s="914"/>
      <c r="F9" s="914"/>
      <c r="G9" s="914"/>
      <c r="H9" s="914" t="s">
        <v>79</v>
      </c>
      <c r="I9" s="914"/>
      <c r="J9" s="914"/>
      <c r="K9" s="914"/>
      <c r="L9" s="914"/>
      <c r="M9" s="914"/>
      <c r="N9" s="914"/>
      <c r="O9" s="914"/>
      <c r="P9" s="914"/>
      <c r="Q9" s="914"/>
      <c r="R9" s="914" t="s">
        <v>539</v>
      </c>
      <c r="S9" s="918">
        <v>0</v>
      </c>
      <c r="T9" s="918"/>
      <c r="U9" s="914"/>
      <c r="V9" s="914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37023</v>
      </c>
      <c r="B10" s="930">
        <f>(Weather_Input!B10+Weather_Input!C10)/2</f>
        <v>59</v>
      </c>
      <c r="C10" s="911">
        <v>225000</v>
      </c>
      <c r="D10" s="913" t="s">
        <v>11</v>
      </c>
      <c r="E10" s="914" t="s">
        <v>11</v>
      </c>
      <c r="F10" s="914"/>
      <c r="G10" s="914"/>
      <c r="H10" s="914" t="s">
        <v>80</v>
      </c>
      <c r="I10" s="914"/>
      <c r="J10" s="914"/>
      <c r="K10" s="914"/>
      <c r="L10" s="914"/>
      <c r="M10" s="914"/>
      <c r="N10" s="914"/>
      <c r="O10" s="914"/>
      <c r="P10" s="914"/>
      <c r="Q10" s="914"/>
      <c r="R10" s="914" t="s">
        <v>542</v>
      </c>
      <c r="S10" s="918">
        <v>0</v>
      </c>
      <c r="T10" s="918"/>
      <c r="U10" s="914"/>
      <c r="V10" s="914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540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541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543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544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545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1" t="s">
        <v>11</v>
      </c>
      <c r="T16" s="83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5" sqref="C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701</v>
      </c>
      <c r="L2" t="s">
        <v>701</v>
      </c>
      <c r="M2" t="s">
        <v>701</v>
      </c>
      <c r="N2" t="s">
        <v>701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637</v>
      </c>
      <c r="G3" s="156" t="s">
        <v>82</v>
      </c>
      <c r="H3" s="3" t="s">
        <v>15</v>
      </c>
      <c r="I3" s="156" t="s">
        <v>83</v>
      </c>
      <c r="K3" t="s">
        <v>702</v>
      </c>
      <c r="L3" t="s">
        <v>702</v>
      </c>
      <c r="M3" t="s">
        <v>702</v>
      </c>
      <c r="N3" t="s">
        <v>702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699</v>
      </c>
      <c r="L4" s="1" t="s">
        <v>700</v>
      </c>
      <c r="M4" s="1" t="s">
        <v>699</v>
      </c>
      <c r="N4" s="1" t="s">
        <v>700</v>
      </c>
    </row>
    <row r="5" spans="1:14">
      <c r="A5" s="12">
        <f>Weather_Input!A5</f>
        <v>37018</v>
      </c>
      <c r="B5" s="1">
        <f>(Weather_Input!B5+Weather_Input!C5)/2</f>
        <v>56</v>
      </c>
      <c r="C5" s="911">
        <v>42000</v>
      </c>
      <c r="D5" s="911">
        <v>0</v>
      </c>
      <c r="E5" s="911">
        <v>0</v>
      </c>
      <c r="F5" s="911">
        <v>0</v>
      </c>
      <c r="G5" s="911">
        <v>0</v>
      </c>
      <c r="H5" s="919">
        <f>SUM(D5:G5)</f>
        <v>0</v>
      </c>
      <c r="I5" s="1">
        <v>1010</v>
      </c>
      <c r="J5" s="1" t="s">
        <v>11</v>
      </c>
      <c r="K5" s="1">
        <v>0</v>
      </c>
      <c r="L5" s="1">
        <v>11215</v>
      </c>
      <c r="M5" s="1">
        <v>20000</v>
      </c>
      <c r="N5" s="1">
        <v>0</v>
      </c>
    </row>
    <row r="6" spans="1:14">
      <c r="A6" s="12">
        <f>A5+1</f>
        <v>37019</v>
      </c>
      <c r="B6" s="930">
        <f>(Weather_Input!B6+Weather_Input!C6)/2</f>
        <v>61.5</v>
      </c>
      <c r="C6" s="911">
        <v>44000</v>
      </c>
      <c r="D6" s="914" t="s">
        <v>11</v>
      </c>
      <c r="E6" s="914"/>
      <c r="F6" s="914"/>
      <c r="G6" s="914"/>
      <c r="H6" s="15"/>
      <c r="I6" s="1" t="s">
        <v>11</v>
      </c>
    </row>
    <row r="7" spans="1:14">
      <c r="A7" s="12">
        <f>A6+1</f>
        <v>37020</v>
      </c>
      <c r="B7" s="930">
        <f>(Weather_Input!B7+Weather_Input!C7)/2</f>
        <v>67.5</v>
      </c>
      <c r="C7" s="911">
        <v>44000</v>
      </c>
      <c r="D7" s="914" t="s">
        <v>11</v>
      </c>
      <c r="E7" s="914" t="s">
        <v>11</v>
      </c>
      <c r="F7" s="914"/>
      <c r="G7" s="914"/>
      <c r="H7" s="15"/>
    </row>
    <row r="8" spans="1:14">
      <c r="A8" s="12">
        <f>A7+1</f>
        <v>37021</v>
      </c>
      <c r="B8" s="930">
        <f>(Weather_Input!B8+Weather_Input!C8)/2</f>
        <v>68</v>
      </c>
      <c r="C8" s="911">
        <v>44000</v>
      </c>
      <c r="D8" s="914" t="s">
        <v>11</v>
      </c>
      <c r="E8" s="914"/>
      <c r="F8" s="914"/>
      <c r="G8" s="914"/>
      <c r="H8" s="15"/>
    </row>
    <row r="9" spans="1:14">
      <c r="A9" s="12">
        <f>A8+1</f>
        <v>37022</v>
      </c>
      <c r="B9" s="930">
        <f>(Weather_Input!B9+Weather_Input!C9)/2</f>
        <v>59</v>
      </c>
      <c r="C9" s="911">
        <v>40000</v>
      </c>
      <c r="D9" s="914" t="s">
        <v>11</v>
      </c>
      <c r="E9" s="914"/>
      <c r="F9" s="914"/>
      <c r="G9" s="914"/>
      <c r="H9" s="15"/>
    </row>
    <row r="10" spans="1:14">
      <c r="A10" s="12">
        <f>A9+1</f>
        <v>37023</v>
      </c>
      <c r="B10" s="930">
        <f>(Weather_Input!B10+Weather_Input!C10)/2</f>
        <v>59</v>
      </c>
      <c r="C10" s="911">
        <v>38000</v>
      </c>
      <c r="D10" s="914" t="s">
        <v>11</v>
      </c>
      <c r="E10" s="914"/>
      <c r="F10" s="914"/>
      <c r="G10" s="914"/>
      <c r="H10" s="15"/>
    </row>
    <row r="11" spans="1:14">
      <c r="A11" s="1" t="s">
        <v>172</v>
      </c>
      <c r="C11" s="1189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D1" zoomScale="75" workbookViewId="0">
      <selection activeCell="H8" sqref="H8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88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5" t="s">
        <v>636</v>
      </c>
      <c r="I4" s="3" t="s">
        <v>1</v>
      </c>
      <c r="J4" s="3" t="s">
        <v>754</v>
      </c>
      <c r="K4" s="3" t="s">
        <v>724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5" t="s">
        <v>400</v>
      </c>
      <c r="I5" s="109" t="s">
        <v>720</v>
      </c>
      <c r="J5" s="54" t="s">
        <v>743</v>
      </c>
      <c r="K5" s="3" t="s">
        <v>799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7" t="s">
        <v>767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3" t="s">
        <v>96</v>
      </c>
      <c r="G6" s="54" t="s">
        <v>99</v>
      </c>
      <c r="H6" s="806" t="s">
        <v>416</v>
      </c>
      <c r="I6" s="1073" t="s">
        <v>721</v>
      </c>
      <c r="J6" s="54" t="s">
        <v>753</v>
      </c>
      <c r="K6" s="54" t="s">
        <v>798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738</v>
      </c>
      <c r="S6" s="54" t="s">
        <v>103</v>
      </c>
      <c r="T6" s="1074" t="s">
        <v>717</v>
      </c>
      <c r="U6" s="1073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2.75">
      <c r="A7" s="832">
        <f>Weather_Input!A5</f>
        <v>37018</v>
      </c>
      <c r="B7" s="920">
        <v>0</v>
      </c>
      <c r="C7" s="921">
        <v>0</v>
      </c>
      <c r="D7" s="625">
        <v>0</v>
      </c>
      <c r="E7" s="625">
        <v>0</v>
      </c>
      <c r="F7" s="920">
        <v>0</v>
      </c>
      <c r="G7" s="920">
        <v>0</v>
      </c>
      <c r="H7" s="922">
        <v>0</v>
      </c>
      <c r="I7" s="624">
        <v>0</v>
      </c>
      <c r="J7" s="624">
        <v>0</v>
      </c>
      <c r="K7" s="625">
        <v>20774</v>
      </c>
      <c r="L7" s="624">
        <v>0</v>
      </c>
      <c r="M7" s="625">
        <v>0</v>
      </c>
      <c r="N7" s="625">
        <v>0</v>
      </c>
      <c r="O7" s="626">
        <v>17480</v>
      </c>
      <c r="P7" s="625">
        <v>158000</v>
      </c>
      <c r="Q7" s="627">
        <f t="shared" ref="Q7:Q12" si="0">P7*0.015</f>
        <v>2370</v>
      </c>
      <c r="R7" s="625">
        <v>630</v>
      </c>
      <c r="S7" s="625">
        <v>0</v>
      </c>
      <c r="T7" s="625">
        <v>0</v>
      </c>
      <c r="U7" s="624">
        <v>40200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2">
        <f>Weather_Input!A5</f>
        <v>37018</v>
      </c>
    </row>
    <row r="8" spans="1:89" s="1" customFormat="1" ht="12.75">
      <c r="A8" s="832">
        <f>A7+1</f>
        <v>37019</v>
      </c>
      <c r="B8" s="920">
        <v>0</v>
      </c>
      <c r="C8" s="921">
        <v>0</v>
      </c>
      <c r="D8" s="625">
        <v>0</v>
      </c>
      <c r="E8" s="625">
        <v>0</v>
      </c>
      <c r="F8" s="920">
        <v>0</v>
      </c>
      <c r="G8" s="920">
        <v>0</v>
      </c>
      <c r="H8" s="922">
        <v>0</v>
      </c>
      <c r="I8" s="624">
        <v>0</v>
      </c>
      <c r="J8" s="624">
        <v>0</v>
      </c>
      <c r="K8" s="625">
        <v>20774</v>
      </c>
      <c r="L8" s="624">
        <v>0</v>
      </c>
      <c r="M8" s="625">
        <v>0</v>
      </c>
      <c r="N8" s="625">
        <v>0</v>
      </c>
      <c r="O8" s="626">
        <v>0</v>
      </c>
      <c r="P8" s="625">
        <v>150000</v>
      </c>
      <c r="Q8" s="627">
        <f t="shared" si="0"/>
        <v>2250</v>
      </c>
      <c r="R8" s="625">
        <v>630</v>
      </c>
      <c r="S8" s="625">
        <v>0</v>
      </c>
      <c r="T8" s="625">
        <v>0</v>
      </c>
      <c r="U8" s="624">
        <v>40200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2">
        <f>AJ7+1</f>
        <v>37019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2.75">
      <c r="A9" s="832">
        <f>A8+1</f>
        <v>37020</v>
      </c>
      <c r="B9" s="920">
        <v>0</v>
      </c>
      <c r="C9" s="921">
        <v>0</v>
      </c>
      <c r="D9" s="625">
        <v>0</v>
      </c>
      <c r="E9" s="625">
        <v>0</v>
      </c>
      <c r="F9" s="920">
        <v>0</v>
      </c>
      <c r="G9" s="920">
        <v>0</v>
      </c>
      <c r="H9" s="922">
        <v>0</v>
      </c>
      <c r="I9" s="624">
        <v>0</v>
      </c>
      <c r="J9" s="624">
        <v>0</v>
      </c>
      <c r="K9" s="625">
        <v>20774</v>
      </c>
      <c r="L9" s="624">
        <v>0</v>
      </c>
      <c r="M9" s="625">
        <v>0</v>
      </c>
      <c r="N9" s="625">
        <v>0</v>
      </c>
      <c r="O9" s="626">
        <v>0</v>
      </c>
      <c r="P9" s="625">
        <v>150000</v>
      </c>
      <c r="Q9" s="627">
        <f t="shared" si="0"/>
        <v>2250</v>
      </c>
      <c r="R9" s="625">
        <v>630</v>
      </c>
      <c r="S9" s="625">
        <v>0</v>
      </c>
      <c r="T9" s="625">
        <v>0</v>
      </c>
      <c r="U9" s="624">
        <v>40200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2">
        <f>AJ8+1</f>
        <v>37020</v>
      </c>
      <c r="AN9" s="624"/>
    </row>
    <row r="10" spans="1:89" s="1" customFormat="1" ht="12.75">
      <c r="A10" s="832">
        <f>A9+1</f>
        <v>37021</v>
      </c>
      <c r="B10" s="920">
        <v>0</v>
      </c>
      <c r="C10" s="921">
        <v>0</v>
      </c>
      <c r="D10" s="625">
        <v>0</v>
      </c>
      <c r="E10" s="625">
        <v>0</v>
      </c>
      <c r="F10" s="920">
        <v>0</v>
      </c>
      <c r="G10" s="920">
        <v>0</v>
      </c>
      <c r="H10" s="922">
        <v>0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150000</v>
      </c>
      <c r="Q10" s="627">
        <f t="shared" si="0"/>
        <v>2250</v>
      </c>
      <c r="R10" s="625">
        <v>630</v>
      </c>
      <c r="S10" s="625">
        <v>0</v>
      </c>
      <c r="T10" s="625">
        <v>0</v>
      </c>
      <c r="U10" s="624">
        <v>40200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2">
        <f>AJ9+1</f>
        <v>37021</v>
      </c>
    </row>
    <row r="11" spans="1:89" s="1" customFormat="1" ht="12.75">
      <c r="A11" s="832">
        <f>A10+1</f>
        <v>37022</v>
      </c>
      <c r="B11" s="920">
        <v>0</v>
      </c>
      <c r="C11" s="921">
        <v>0</v>
      </c>
      <c r="D11" s="625">
        <v>0</v>
      </c>
      <c r="E11" s="625">
        <v>0</v>
      </c>
      <c r="F11" s="920">
        <v>0</v>
      </c>
      <c r="G11" s="920">
        <v>0</v>
      </c>
      <c r="H11" s="922">
        <v>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150000</v>
      </c>
      <c r="Q11" s="627">
        <f t="shared" si="0"/>
        <v>2250</v>
      </c>
      <c r="R11" s="625">
        <v>630</v>
      </c>
      <c r="S11" s="625">
        <v>0</v>
      </c>
      <c r="T11" s="625">
        <v>0</v>
      </c>
      <c r="U11" s="624">
        <v>40200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2">
        <f>AJ10+1</f>
        <v>37022</v>
      </c>
    </row>
    <row r="12" spans="1:89" s="1" customFormat="1" ht="12.75">
      <c r="A12" s="832">
        <f>A11+1</f>
        <v>37023</v>
      </c>
      <c r="B12" s="920">
        <v>0</v>
      </c>
      <c r="C12" s="921">
        <v>0</v>
      </c>
      <c r="D12" s="625">
        <v>0</v>
      </c>
      <c r="E12" s="625">
        <v>0</v>
      </c>
      <c r="F12" s="920">
        <v>0</v>
      </c>
      <c r="G12" s="920">
        <v>0</v>
      </c>
      <c r="H12" s="922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150000</v>
      </c>
      <c r="Q12" s="627">
        <f t="shared" si="0"/>
        <v>2250</v>
      </c>
      <c r="R12" s="625">
        <v>630</v>
      </c>
      <c r="S12" s="625">
        <v>0</v>
      </c>
      <c r="T12" s="625">
        <v>0</v>
      </c>
      <c r="U12" s="624">
        <v>40200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2">
        <f>AJ11+1</f>
        <v>37023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K1" zoomScale="75" workbookViewId="0">
      <selection activeCell="T7" sqref="T7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635</v>
      </c>
      <c r="V4" s="3" t="s">
        <v>765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400</v>
      </c>
      <c r="U5" s="109" t="s">
        <v>720</v>
      </c>
      <c r="V5" s="3" t="s">
        <v>763</v>
      </c>
      <c r="W5" s="3"/>
      <c r="X5" s="59" t="s">
        <v>743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694</v>
      </c>
      <c r="M6" s="57" t="s">
        <v>60</v>
      </c>
      <c r="N6" s="54" t="s">
        <v>11</v>
      </c>
      <c r="O6" s="54" t="s">
        <v>11</v>
      </c>
      <c r="P6" s="54" t="s">
        <v>11</v>
      </c>
      <c r="Q6" s="1136" t="s">
        <v>6</v>
      </c>
      <c r="R6" s="1074" t="s">
        <v>90</v>
      </c>
      <c r="S6" s="69" t="s">
        <v>11</v>
      </c>
      <c r="T6" s="806" t="s">
        <v>803</v>
      </c>
      <c r="U6" s="1074" t="s">
        <v>721</v>
      </c>
      <c r="V6" s="54" t="s">
        <v>764</v>
      </c>
      <c r="W6" s="54" t="s">
        <v>11</v>
      </c>
      <c r="X6" s="1124" t="s">
        <v>750</v>
      </c>
      <c r="Y6" s="69" t="s">
        <v>743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2">
        <f>Weather_Input!A5</f>
        <v>37018</v>
      </c>
      <c r="B7" s="627">
        <v>0</v>
      </c>
      <c r="C7" s="628">
        <v>0</v>
      </c>
      <c r="D7" s="627">
        <v>0</v>
      </c>
      <c r="E7" s="627">
        <v>0</v>
      </c>
      <c r="F7" s="627">
        <v>0</v>
      </c>
      <c r="G7" s="920">
        <v>0</v>
      </c>
      <c r="H7" s="625">
        <v>1000</v>
      </c>
      <c r="I7" s="625">
        <v>15000</v>
      </c>
      <c r="J7" s="625">
        <v>0</v>
      </c>
      <c r="K7" s="923">
        <v>0</v>
      </c>
      <c r="L7" s="626">
        <v>0</v>
      </c>
      <c r="M7" s="924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3">
        <v>0</v>
      </c>
      <c r="T7" s="925">
        <v>23644</v>
      </c>
      <c r="U7" s="625">
        <v>0</v>
      </c>
      <c r="V7" s="626">
        <v>180844</v>
      </c>
      <c r="W7" s="626">
        <v>0</v>
      </c>
      <c r="X7" s="624">
        <v>0</v>
      </c>
      <c r="Y7" s="923">
        <v>172515</v>
      </c>
      <c r="Z7" s="626">
        <v>40200</v>
      </c>
      <c r="AA7" s="1">
        <v>0</v>
      </c>
      <c r="AB7" s="624">
        <v>183855</v>
      </c>
      <c r="AC7" s="624">
        <v>60064</v>
      </c>
      <c r="AD7" s="624">
        <v>0</v>
      </c>
      <c r="AE7" s="923">
        <v>0</v>
      </c>
      <c r="AF7" s="51">
        <f>Weather_Input!A5</f>
        <v>37018</v>
      </c>
      <c r="AI7" s="624"/>
      <c r="AJ7" s="624"/>
      <c r="AK7" s="624"/>
    </row>
    <row r="8" spans="1:37">
      <c r="A8" s="832">
        <f>A7+1</f>
        <v>37019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920">
        <v>0</v>
      </c>
      <c r="H8" s="625">
        <v>1000</v>
      </c>
      <c r="I8" s="625">
        <v>15000</v>
      </c>
      <c r="J8" s="625">
        <v>0</v>
      </c>
      <c r="K8" s="923">
        <v>0</v>
      </c>
      <c r="L8" s="626">
        <v>0</v>
      </c>
      <c r="M8" s="924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3">
        <v>0</v>
      </c>
      <c r="T8" s="925">
        <v>21290</v>
      </c>
      <c r="U8" s="625">
        <v>0</v>
      </c>
      <c r="V8" s="626">
        <v>180844</v>
      </c>
      <c r="W8" s="626">
        <v>0</v>
      </c>
      <c r="X8" s="624">
        <v>0</v>
      </c>
      <c r="Y8" s="923">
        <v>156584</v>
      </c>
      <c r="Z8" s="626">
        <v>40200</v>
      </c>
      <c r="AA8" s="1">
        <v>0</v>
      </c>
      <c r="AB8" s="624">
        <v>144566</v>
      </c>
      <c r="AC8" s="624">
        <v>110557</v>
      </c>
      <c r="AD8" s="624">
        <v>0</v>
      </c>
      <c r="AE8" s="923">
        <v>0</v>
      </c>
      <c r="AF8" s="832">
        <f>AF7+1</f>
        <v>37019</v>
      </c>
      <c r="AI8" s="624"/>
      <c r="AJ8" s="624"/>
      <c r="AK8" s="624"/>
    </row>
    <row r="9" spans="1:37" s="624" customFormat="1">
      <c r="A9" s="832">
        <f>A8+1</f>
        <v>37020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0">
        <v>0</v>
      </c>
      <c r="H9" s="625">
        <v>1000</v>
      </c>
      <c r="I9" s="625">
        <v>15000</v>
      </c>
      <c r="J9" s="625">
        <v>0</v>
      </c>
      <c r="K9" s="923">
        <v>0</v>
      </c>
      <c r="L9" s="626">
        <v>0</v>
      </c>
      <c r="M9" s="924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3">
        <v>0</v>
      </c>
      <c r="T9" s="925">
        <v>0</v>
      </c>
      <c r="U9" s="625">
        <v>0</v>
      </c>
      <c r="V9" s="626">
        <v>180844</v>
      </c>
      <c r="W9" s="626">
        <v>0</v>
      </c>
      <c r="X9" s="624">
        <v>0</v>
      </c>
      <c r="Y9" s="923">
        <v>156584</v>
      </c>
      <c r="Z9" s="626">
        <v>40200</v>
      </c>
      <c r="AA9" s="1">
        <v>0</v>
      </c>
      <c r="AB9" s="624">
        <v>144566</v>
      </c>
      <c r="AC9" s="624">
        <v>110449</v>
      </c>
      <c r="AD9" s="624">
        <v>0</v>
      </c>
      <c r="AE9" s="923">
        <v>0</v>
      </c>
      <c r="AF9" s="832">
        <f>AF8+1</f>
        <v>37020</v>
      </c>
    </row>
    <row r="10" spans="1:37">
      <c r="A10" s="832">
        <f>A9+1</f>
        <v>37021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0">
        <v>0</v>
      </c>
      <c r="H10" s="625">
        <v>1000</v>
      </c>
      <c r="I10" s="625">
        <v>15000</v>
      </c>
      <c r="J10" s="625">
        <v>0</v>
      </c>
      <c r="K10" s="923">
        <v>0</v>
      </c>
      <c r="L10" s="626">
        <v>0</v>
      </c>
      <c r="M10" s="924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3">
        <v>0</v>
      </c>
      <c r="T10" s="925">
        <v>0</v>
      </c>
      <c r="U10" s="625">
        <v>0</v>
      </c>
      <c r="V10" s="626">
        <v>180844</v>
      </c>
      <c r="W10" s="626">
        <v>0</v>
      </c>
      <c r="X10" s="624">
        <v>0</v>
      </c>
      <c r="Y10" s="923">
        <v>157084</v>
      </c>
      <c r="Z10" s="626">
        <v>40200</v>
      </c>
      <c r="AA10" s="1">
        <v>0</v>
      </c>
      <c r="AB10" s="624">
        <v>148449</v>
      </c>
      <c r="AC10" s="624">
        <v>100759</v>
      </c>
      <c r="AD10" s="624">
        <v>0</v>
      </c>
      <c r="AE10" s="923">
        <v>0</v>
      </c>
      <c r="AF10" s="832">
        <f>AF9+1</f>
        <v>37021</v>
      </c>
      <c r="AI10" s="624"/>
      <c r="AJ10" s="624"/>
      <c r="AK10" s="624"/>
    </row>
    <row r="11" spans="1:37">
      <c r="A11" s="832">
        <f>A10+1</f>
        <v>37022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0">
        <v>0</v>
      </c>
      <c r="H11" s="625">
        <v>1000</v>
      </c>
      <c r="I11" s="625">
        <v>15000</v>
      </c>
      <c r="J11" s="625">
        <v>0</v>
      </c>
      <c r="K11" s="923">
        <v>0</v>
      </c>
      <c r="L11" s="626">
        <v>0</v>
      </c>
      <c r="M11" s="924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3">
        <v>0</v>
      </c>
      <c r="T11" s="925">
        <v>0</v>
      </c>
      <c r="U11" s="625">
        <v>0</v>
      </c>
      <c r="V11" s="626">
        <v>180844</v>
      </c>
      <c r="W11" s="626">
        <v>0</v>
      </c>
      <c r="X11" s="624">
        <v>0</v>
      </c>
      <c r="Y11" s="923">
        <v>157084</v>
      </c>
      <c r="Z11" s="626">
        <v>40200</v>
      </c>
      <c r="AA11" s="1">
        <v>0</v>
      </c>
      <c r="AB11" s="624">
        <v>148449</v>
      </c>
      <c r="AC11" s="624">
        <v>100759</v>
      </c>
      <c r="AD11" s="624">
        <v>0</v>
      </c>
      <c r="AE11" s="923">
        <v>0</v>
      </c>
      <c r="AF11" s="832">
        <f>AF10+1</f>
        <v>37022</v>
      </c>
    </row>
    <row r="12" spans="1:37">
      <c r="A12" s="832">
        <f>A11+1</f>
        <v>37023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0">
        <v>0</v>
      </c>
      <c r="H12" s="625">
        <v>1000</v>
      </c>
      <c r="I12" s="625">
        <v>15000</v>
      </c>
      <c r="J12" s="625">
        <v>0</v>
      </c>
      <c r="K12" s="923">
        <v>0</v>
      </c>
      <c r="L12" s="626">
        <v>0</v>
      </c>
      <c r="M12" s="924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3">
        <v>0</v>
      </c>
      <c r="T12" s="925">
        <v>0</v>
      </c>
      <c r="U12" s="625">
        <v>0</v>
      </c>
      <c r="V12" s="626">
        <v>180844</v>
      </c>
      <c r="W12" s="626">
        <v>0</v>
      </c>
      <c r="X12" s="624">
        <v>0</v>
      </c>
      <c r="Y12" s="923">
        <v>157084</v>
      </c>
      <c r="Z12" s="626">
        <v>40200</v>
      </c>
      <c r="AA12" s="1">
        <v>0</v>
      </c>
      <c r="AB12" s="624">
        <v>148449</v>
      </c>
      <c r="AC12" s="624">
        <v>100759</v>
      </c>
      <c r="AD12" s="624">
        <v>0</v>
      </c>
      <c r="AE12" s="923">
        <v>0</v>
      </c>
      <c r="AF12" s="832">
        <f>AF11+1</f>
        <v>37023</v>
      </c>
    </row>
    <row r="13" spans="1:37">
      <c r="G13" s="1" t="s">
        <v>11</v>
      </c>
      <c r="I13" s="11"/>
      <c r="P13" s="1" t="s">
        <v>11</v>
      </c>
      <c r="T13" s="925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J7" sqref="J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2.75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694</v>
      </c>
      <c r="I6" s="54" t="s">
        <v>100</v>
      </c>
      <c r="J6" s="54" t="s">
        <v>90</v>
      </c>
      <c r="K6" s="54" t="s">
        <v>554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2.75">
      <c r="A7" s="833">
        <f>Weather_Input!A5</f>
        <v>37018</v>
      </c>
      <c r="B7" s="920">
        <v>0</v>
      </c>
      <c r="C7" s="625">
        <v>0</v>
      </c>
      <c r="D7" s="625">
        <v>0</v>
      </c>
      <c r="E7" s="625">
        <v>0</v>
      </c>
      <c r="F7" s="625">
        <v>0</v>
      </c>
      <c r="G7" s="924">
        <v>0</v>
      </c>
      <c r="H7" s="625">
        <v>0</v>
      </c>
      <c r="I7" s="921">
        <v>7197</v>
      </c>
      <c r="J7" s="921">
        <v>18540</v>
      </c>
      <c r="K7" s="628">
        <v>0</v>
      </c>
      <c r="L7" s="926">
        <v>0</v>
      </c>
      <c r="M7" s="926">
        <v>0</v>
      </c>
      <c r="N7" s="926">
        <v>0</v>
      </c>
      <c r="O7" s="926">
        <v>0</v>
      </c>
      <c r="P7" s="625">
        <v>0</v>
      </c>
      <c r="Q7" s="926">
        <v>0</v>
      </c>
      <c r="R7" s="625">
        <v>0</v>
      </c>
      <c r="S7" s="834">
        <v>0</v>
      </c>
      <c r="T7" s="625">
        <v>0</v>
      </c>
      <c r="U7" s="625">
        <v>0</v>
      </c>
      <c r="V7" s="834">
        <v>0</v>
      </c>
      <c r="W7" s="625">
        <v>0</v>
      </c>
      <c r="X7" s="625">
        <v>0</v>
      </c>
      <c r="Y7" s="834">
        <v>0</v>
      </c>
      <c r="Z7" s="625">
        <v>0</v>
      </c>
      <c r="AA7" s="625">
        <v>0</v>
      </c>
      <c r="AB7" s="924">
        <v>0</v>
      </c>
      <c r="AC7" s="625">
        <v>0</v>
      </c>
      <c r="AD7" s="625">
        <v>0</v>
      </c>
      <c r="AE7" s="625">
        <v>0</v>
      </c>
      <c r="AF7" s="832">
        <f>Weather_Input!A5</f>
        <v>37018</v>
      </c>
      <c r="AG7" s="624"/>
      <c r="AH7" s="624"/>
      <c r="AI7" s="624"/>
      <c r="AJ7" s="624"/>
      <c r="AK7" s="624"/>
    </row>
    <row r="8" spans="1:128" s="1" customFormat="1" ht="12.75">
      <c r="A8" s="833">
        <f>Weather_Input!A6</f>
        <v>37019</v>
      </c>
      <c r="B8" s="920">
        <v>0</v>
      </c>
      <c r="C8" s="625">
        <v>0</v>
      </c>
      <c r="D8" s="625">
        <v>0</v>
      </c>
      <c r="E8" s="625">
        <v>0</v>
      </c>
      <c r="F8" s="625">
        <v>0</v>
      </c>
      <c r="G8" s="924">
        <v>0</v>
      </c>
      <c r="H8" s="625">
        <v>0</v>
      </c>
      <c r="I8" s="921">
        <v>7197</v>
      </c>
      <c r="J8" s="921">
        <v>20000</v>
      </c>
      <c r="K8" s="628">
        <v>0</v>
      </c>
      <c r="L8" s="926">
        <v>0</v>
      </c>
      <c r="M8" s="926">
        <v>0</v>
      </c>
      <c r="N8" s="926">
        <v>0</v>
      </c>
      <c r="O8" s="926">
        <v>0</v>
      </c>
      <c r="P8" s="625">
        <v>0</v>
      </c>
      <c r="Q8" s="926">
        <v>0</v>
      </c>
      <c r="R8" s="625">
        <v>0</v>
      </c>
      <c r="S8" s="834">
        <v>0</v>
      </c>
      <c r="T8" s="625">
        <v>0</v>
      </c>
      <c r="U8" s="625">
        <v>0</v>
      </c>
      <c r="V8" s="834">
        <v>0</v>
      </c>
      <c r="W8" s="625">
        <v>0</v>
      </c>
      <c r="X8" s="625">
        <v>0</v>
      </c>
      <c r="Y8" s="834">
        <v>0</v>
      </c>
      <c r="Z8" s="625">
        <v>0</v>
      </c>
      <c r="AA8" s="625">
        <v>0</v>
      </c>
      <c r="AB8" s="924">
        <v>0</v>
      </c>
      <c r="AC8" s="625">
        <v>0</v>
      </c>
      <c r="AD8" s="625">
        <v>0</v>
      </c>
      <c r="AE8" s="625">
        <v>0</v>
      </c>
      <c r="AF8" s="833">
        <f>AF7+1</f>
        <v>37019</v>
      </c>
      <c r="AG8" s="624"/>
      <c r="AH8" s="624"/>
      <c r="AI8" s="624"/>
      <c r="AJ8" s="624"/>
      <c r="AK8" s="624"/>
    </row>
    <row r="9" spans="1:128" s="1" customFormat="1" ht="12.75">
      <c r="A9" s="832">
        <f>A8+1</f>
        <v>37020</v>
      </c>
      <c r="B9" s="920">
        <v>0</v>
      </c>
      <c r="C9" s="625">
        <v>0</v>
      </c>
      <c r="D9" s="625">
        <v>0</v>
      </c>
      <c r="E9" s="625">
        <v>0</v>
      </c>
      <c r="F9" s="625">
        <v>0</v>
      </c>
      <c r="G9" s="924">
        <v>0</v>
      </c>
      <c r="H9" s="625">
        <v>0</v>
      </c>
      <c r="I9" s="921">
        <v>7197</v>
      </c>
      <c r="J9" s="921">
        <v>20000</v>
      </c>
      <c r="K9" s="628">
        <v>0</v>
      </c>
      <c r="L9" s="926">
        <v>0</v>
      </c>
      <c r="M9" s="926">
        <v>0</v>
      </c>
      <c r="N9" s="926">
        <v>0</v>
      </c>
      <c r="O9" s="926">
        <v>0</v>
      </c>
      <c r="P9" s="625">
        <v>0</v>
      </c>
      <c r="Q9" s="926">
        <v>0</v>
      </c>
      <c r="R9" s="625">
        <v>0</v>
      </c>
      <c r="S9" s="834">
        <v>0</v>
      </c>
      <c r="T9" s="625">
        <v>0</v>
      </c>
      <c r="U9" s="625">
        <v>0</v>
      </c>
      <c r="V9" s="834">
        <v>0</v>
      </c>
      <c r="W9" s="625">
        <v>0</v>
      </c>
      <c r="X9" s="625">
        <v>0</v>
      </c>
      <c r="Y9" s="834">
        <v>0</v>
      </c>
      <c r="Z9" s="625">
        <v>0</v>
      </c>
      <c r="AA9" s="625">
        <v>0</v>
      </c>
      <c r="AB9" s="924">
        <v>0</v>
      </c>
      <c r="AC9" s="625">
        <v>0</v>
      </c>
      <c r="AD9" s="625">
        <v>0</v>
      </c>
      <c r="AE9" s="625">
        <v>0</v>
      </c>
      <c r="AF9" s="832">
        <f>AF8+1</f>
        <v>37020</v>
      </c>
      <c r="AG9" s="624"/>
      <c r="AH9" s="624"/>
      <c r="AI9" s="624"/>
      <c r="AJ9" s="624"/>
      <c r="AK9" s="624"/>
    </row>
    <row r="10" spans="1:128" s="1" customFormat="1" ht="12.75">
      <c r="A10" s="832">
        <f>A9+1</f>
        <v>37021</v>
      </c>
      <c r="B10" s="920">
        <v>0</v>
      </c>
      <c r="C10" s="625">
        <v>0</v>
      </c>
      <c r="D10" s="625">
        <v>0</v>
      </c>
      <c r="E10" s="625">
        <v>0</v>
      </c>
      <c r="F10" s="625">
        <v>0</v>
      </c>
      <c r="G10" s="924">
        <v>0</v>
      </c>
      <c r="H10" s="625">
        <v>0</v>
      </c>
      <c r="I10" s="921">
        <v>7197</v>
      </c>
      <c r="J10" s="921">
        <v>20000</v>
      </c>
      <c r="K10" s="628">
        <v>0</v>
      </c>
      <c r="L10" s="926">
        <v>0</v>
      </c>
      <c r="M10" s="926">
        <v>0</v>
      </c>
      <c r="N10" s="926">
        <v>0</v>
      </c>
      <c r="O10" s="926">
        <v>0</v>
      </c>
      <c r="P10" s="625">
        <v>0</v>
      </c>
      <c r="Q10" s="926">
        <v>0</v>
      </c>
      <c r="R10" s="625">
        <v>0</v>
      </c>
      <c r="S10" s="834">
        <v>0</v>
      </c>
      <c r="T10" s="625">
        <v>0</v>
      </c>
      <c r="U10" s="625">
        <v>0</v>
      </c>
      <c r="V10" s="834">
        <v>0</v>
      </c>
      <c r="W10" s="625">
        <v>0</v>
      </c>
      <c r="X10" s="625">
        <v>0</v>
      </c>
      <c r="Y10" s="834">
        <v>0</v>
      </c>
      <c r="Z10" s="625">
        <v>0</v>
      </c>
      <c r="AA10" s="625">
        <v>0</v>
      </c>
      <c r="AB10" s="924">
        <v>0</v>
      </c>
      <c r="AC10" s="625">
        <v>0</v>
      </c>
      <c r="AD10" s="625">
        <v>0</v>
      </c>
      <c r="AE10" s="625">
        <v>0</v>
      </c>
      <c r="AF10" s="832">
        <f>AF9+1</f>
        <v>37021</v>
      </c>
      <c r="AG10" s="624"/>
      <c r="AH10" s="624"/>
      <c r="AI10" s="624"/>
      <c r="AJ10" s="624"/>
      <c r="AK10" s="624"/>
    </row>
    <row r="11" spans="1:128" s="1" customFormat="1" ht="12.75">
      <c r="A11" s="832">
        <f>A10+1</f>
        <v>37022</v>
      </c>
      <c r="B11" s="920">
        <v>0</v>
      </c>
      <c r="C11" s="625">
        <v>0</v>
      </c>
      <c r="D11" s="625">
        <v>0</v>
      </c>
      <c r="E11" s="625">
        <v>0</v>
      </c>
      <c r="F11" s="625">
        <v>0</v>
      </c>
      <c r="G11" s="924">
        <v>0</v>
      </c>
      <c r="H11" s="625">
        <v>0</v>
      </c>
      <c r="I11" s="921">
        <v>7197</v>
      </c>
      <c r="J11" s="921">
        <v>20000</v>
      </c>
      <c r="K11" s="628">
        <v>0</v>
      </c>
      <c r="L11" s="926">
        <v>0</v>
      </c>
      <c r="M11" s="926">
        <v>0</v>
      </c>
      <c r="N11" s="926">
        <v>0</v>
      </c>
      <c r="O11" s="926">
        <v>0</v>
      </c>
      <c r="P11" s="625">
        <v>0</v>
      </c>
      <c r="Q11" s="926">
        <v>0</v>
      </c>
      <c r="R11" s="625">
        <v>0</v>
      </c>
      <c r="S11" s="834">
        <v>0</v>
      </c>
      <c r="T11" s="625">
        <v>0</v>
      </c>
      <c r="U11" s="625">
        <v>0</v>
      </c>
      <c r="V11" s="834">
        <v>0</v>
      </c>
      <c r="W11" s="625">
        <v>0</v>
      </c>
      <c r="X11" s="625">
        <v>0</v>
      </c>
      <c r="Y11" s="834">
        <v>0</v>
      </c>
      <c r="Z11" s="625">
        <v>0</v>
      </c>
      <c r="AA11" s="625">
        <v>0</v>
      </c>
      <c r="AB11" s="924">
        <v>0</v>
      </c>
      <c r="AC11" s="625">
        <v>0</v>
      </c>
      <c r="AD11" s="625">
        <v>0</v>
      </c>
      <c r="AE11" s="625">
        <v>0</v>
      </c>
      <c r="AF11" s="832">
        <f>AF10+1</f>
        <v>37022</v>
      </c>
      <c r="AG11" s="624"/>
      <c r="AH11" s="624"/>
      <c r="AI11" s="624"/>
      <c r="AJ11" s="624"/>
      <c r="AK11" s="624"/>
    </row>
    <row r="12" spans="1:128" s="1" customFormat="1" ht="12.75">
      <c r="A12" s="832">
        <f>A11+1</f>
        <v>37023</v>
      </c>
      <c r="B12" s="920">
        <v>0</v>
      </c>
      <c r="C12" s="625">
        <v>0</v>
      </c>
      <c r="D12" s="625">
        <v>0</v>
      </c>
      <c r="E12" s="625">
        <v>0</v>
      </c>
      <c r="F12" s="625">
        <v>0</v>
      </c>
      <c r="G12" s="924">
        <v>0</v>
      </c>
      <c r="H12" s="625">
        <v>0</v>
      </c>
      <c r="I12" s="921">
        <v>7197</v>
      </c>
      <c r="J12" s="921">
        <v>20000</v>
      </c>
      <c r="K12" s="628">
        <v>0</v>
      </c>
      <c r="L12" s="926">
        <v>0</v>
      </c>
      <c r="M12" s="926">
        <v>0</v>
      </c>
      <c r="N12" s="926">
        <v>0</v>
      </c>
      <c r="O12" s="926">
        <v>0</v>
      </c>
      <c r="P12" s="625">
        <v>0</v>
      </c>
      <c r="Q12" s="926">
        <v>0</v>
      </c>
      <c r="R12" s="625">
        <v>0</v>
      </c>
      <c r="S12" s="834">
        <v>0</v>
      </c>
      <c r="T12" s="625">
        <v>0</v>
      </c>
      <c r="U12" s="625">
        <v>0</v>
      </c>
      <c r="V12" s="834">
        <v>0</v>
      </c>
      <c r="W12" s="625">
        <v>0</v>
      </c>
      <c r="X12" s="625">
        <v>0</v>
      </c>
      <c r="Y12" s="834">
        <v>0</v>
      </c>
      <c r="Z12" s="625">
        <v>0</v>
      </c>
      <c r="AA12" s="625">
        <v>0</v>
      </c>
      <c r="AB12" s="924">
        <v>0</v>
      </c>
      <c r="AC12" s="625">
        <v>0</v>
      </c>
      <c r="AD12" s="625">
        <v>0</v>
      </c>
      <c r="AE12" s="625">
        <v>0</v>
      </c>
      <c r="AF12" s="832">
        <f>AF11+1</f>
        <v>37023</v>
      </c>
      <c r="AG12" s="624"/>
      <c r="AH12" s="624"/>
      <c r="AI12" s="624"/>
      <c r="AJ12" s="624"/>
      <c r="AK12" s="624"/>
    </row>
    <row r="13" spans="1:128" s="1" customFormat="1" ht="12.75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4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2.75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topLeftCell="P1" zoomScale="75" workbookViewId="0">
      <selection activeCell="R7" sqref="R7"/>
    </sheetView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634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694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638</v>
      </c>
      <c r="R6" s="54" t="s">
        <v>131</v>
      </c>
      <c r="S6" s="1074" t="s">
        <v>38</v>
      </c>
      <c r="T6" s="54" t="s">
        <v>416</v>
      </c>
      <c r="U6" s="69" t="s">
        <v>61</v>
      </c>
    </row>
    <row r="7" spans="1:24">
      <c r="A7" s="832">
        <f>Weather_Input!A5</f>
        <v>37018</v>
      </c>
      <c r="B7" s="627">
        <v>0</v>
      </c>
      <c r="C7" s="628">
        <v>0</v>
      </c>
      <c r="D7" s="627">
        <v>0</v>
      </c>
      <c r="E7" s="627">
        <v>0</v>
      </c>
      <c r="F7" s="627">
        <v>9000</v>
      </c>
      <c r="G7" s="627">
        <f>(R7+S7+C7+PGL_Requirements!Y7+PGL_Requirements!Z7-NSG_Requirements!C7)*0.05</f>
        <v>2606.3500000000004</v>
      </c>
      <c r="H7" s="628">
        <v>0</v>
      </c>
      <c r="I7" s="627">
        <v>0</v>
      </c>
      <c r="J7" s="627">
        <v>0</v>
      </c>
      <c r="K7" s="627">
        <v>0</v>
      </c>
      <c r="L7" s="627">
        <v>0</v>
      </c>
      <c r="M7" s="627">
        <v>0</v>
      </c>
      <c r="N7" s="628">
        <v>0</v>
      </c>
      <c r="O7" s="921">
        <v>0</v>
      </c>
      <c r="P7" s="627">
        <v>0</v>
      </c>
      <c r="Q7" s="627">
        <v>20000</v>
      </c>
      <c r="R7" s="627">
        <v>31536</v>
      </c>
      <c r="S7" s="627">
        <v>20591</v>
      </c>
      <c r="T7" s="627">
        <v>0</v>
      </c>
      <c r="U7" s="627">
        <v>0</v>
      </c>
      <c r="V7" s="832">
        <f>Weather_Input!A5</f>
        <v>37018</v>
      </c>
      <c r="W7" s="624"/>
      <c r="X7" s="624"/>
    </row>
    <row r="8" spans="1:24">
      <c r="A8" s="832">
        <f>A7+1</f>
        <v>37019</v>
      </c>
      <c r="B8" s="627">
        <v>0</v>
      </c>
      <c r="C8" s="628">
        <v>0</v>
      </c>
      <c r="D8" s="627">
        <v>0</v>
      </c>
      <c r="E8" s="627">
        <v>0</v>
      </c>
      <c r="F8" s="627">
        <v>9000</v>
      </c>
      <c r="G8" s="627">
        <f>(R8+S8+C8+PGL_Requirements!Y8+PGL_Requirements!Z8-NSG_Requirements!C8)*0.05</f>
        <v>2602.3500000000004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1">
        <v>0</v>
      </c>
      <c r="P8" s="627">
        <v>0</v>
      </c>
      <c r="Q8" s="627">
        <v>20000</v>
      </c>
      <c r="R8" s="627">
        <v>31456</v>
      </c>
      <c r="S8" s="627">
        <v>20591</v>
      </c>
      <c r="T8" s="627">
        <v>0</v>
      </c>
      <c r="U8" s="627">
        <v>0</v>
      </c>
      <c r="V8" s="832">
        <f>V7+1</f>
        <v>37019</v>
      </c>
      <c r="W8" s="624"/>
      <c r="X8" s="624"/>
    </row>
    <row r="9" spans="1:24">
      <c r="A9" s="832">
        <f>A8+1</f>
        <v>37020</v>
      </c>
      <c r="B9" s="627">
        <v>0</v>
      </c>
      <c r="C9" s="628">
        <v>0</v>
      </c>
      <c r="D9" s="627">
        <v>0</v>
      </c>
      <c r="E9" s="627">
        <v>0</v>
      </c>
      <c r="F9" s="627">
        <v>9000</v>
      </c>
      <c r="G9" s="627">
        <f>(R9+S9+C9+PGL_Requirements!Y9+PGL_Requirements!Z9-NSG_Requirements!C9)*0.05</f>
        <v>2606.3500000000004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1">
        <v>0</v>
      </c>
      <c r="P9" s="627">
        <v>0</v>
      </c>
      <c r="Q9" s="627">
        <v>20000</v>
      </c>
      <c r="R9" s="627">
        <v>31536</v>
      </c>
      <c r="S9" s="627">
        <v>20591</v>
      </c>
      <c r="T9" s="627">
        <v>0</v>
      </c>
      <c r="U9" s="627">
        <v>0</v>
      </c>
      <c r="V9" s="832">
        <f>V8+1</f>
        <v>37020</v>
      </c>
      <c r="W9" s="624"/>
      <c r="X9" s="624"/>
    </row>
    <row r="10" spans="1:24">
      <c r="A10" s="832">
        <f>A9+1</f>
        <v>37021</v>
      </c>
      <c r="B10" s="627">
        <v>0</v>
      </c>
      <c r="C10" s="628">
        <v>0</v>
      </c>
      <c r="D10" s="627">
        <v>0</v>
      </c>
      <c r="E10" s="627">
        <v>0</v>
      </c>
      <c r="F10" s="627">
        <v>9000</v>
      </c>
      <c r="G10" s="627">
        <f>(R10+S10+C10+PGL_Requirements!Y10+PGL_Requirements!Z10-NSG_Requirements!C10)*0.05</f>
        <v>2606.3500000000004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1">
        <v>0</v>
      </c>
      <c r="P10" s="627">
        <v>0</v>
      </c>
      <c r="Q10" s="627">
        <v>20000</v>
      </c>
      <c r="R10" s="627">
        <v>31536</v>
      </c>
      <c r="S10" s="627">
        <v>20591</v>
      </c>
      <c r="T10" s="627">
        <v>0</v>
      </c>
      <c r="U10" s="627">
        <v>0</v>
      </c>
      <c r="V10" s="832">
        <f>V9+1</f>
        <v>37021</v>
      </c>
      <c r="W10" s="624"/>
      <c r="X10" s="624"/>
    </row>
    <row r="11" spans="1:24">
      <c r="A11" s="832">
        <f>A10+1</f>
        <v>37022</v>
      </c>
      <c r="B11" s="627">
        <v>0</v>
      </c>
      <c r="C11" s="628">
        <v>0</v>
      </c>
      <c r="D11" s="627">
        <v>0</v>
      </c>
      <c r="E11" s="627">
        <v>0</v>
      </c>
      <c r="F11" s="627">
        <v>9000</v>
      </c>
      <c r="G11" s="627">
        <f>(R11+S11+C11+PGL_Requirements!Y11+PGL_Requirements!Z11-NSG_Requirements!C11)*0.05</f>
        <v>2606.3500000000004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1">
        <v>0</v>
      </c>
      <c r="P11" s="627">
        <v>0</v>
      </c>
      <c r="Q11" s="627">
        <v>20000</v>
      </c>
      <c r="R11" s="627">
        <v>31536</v>
      </c>
      <c r="S11" s="627">
        <v>20591</v>
      </c>
      <c r="T11" s="627">
        <v>0</v>
      </c>
      <c r="U11" s="627">
        <v>0</v>
      </c>
      <c r="V11" s="832">
        <f>V10+1</f>
        <v>37022</v>
      </c>
      <c r="W11" s="624"/>
      <c r="X11" s="624"/>
    </row>
    <row r="12" spans="1:24">
      <c r="A12" s="832">
        <f>A11+1</f>
        <v>37023</v>
      </c>
      <c r="B12" s="627">
        <v>0</v>
      </c>
      <c r="C12" s="628">
        <v>0</v>
      </c>
      <c r="D12" s="627">
        <v>0</v>
      </c>
      <c r="E12" s="627">
        <v>0</v>
      </c>
      <c r="F12" s="627">
        <v>9000</v>
      </c>
      <c r="G12" s="627">
        <f>(R12+S12+C12+PGL_Requirements!Y12+PGL_Requirements!Z12-NSG_Requirements!C12)*0.05</f>
        <v>2606.3500000000004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1">
        <v>0</v>
      </c>
      <c r="P12" s="627">
        <v>0</v>
      </c>
      <c r="Q12" s="627">
        <v>20000</v>
      </c>
      <c r="R12" s="627">
        <v>31536</v>
      </c>
      <c r="S12" s="627">
        <v>20591</v>
      </c>
      <c r="T12" s="627">
        <v>0</v>
      </c>
      <c r="U12" s="627">
        <v>0</v>
      </c>
      <c r="V12" s="832">
        <f>V11+1</f>
        <v>37023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7" t="s">
        <v>0</v>
      </c>
      <c r="B1" s="835"/>
      <c r="C1" s="902"/>
      <c r="D1" s="835"/>
      <c r="E1" s="835"/>
      <c r="F1" s="835" t="s">
        <v>11</v>
      </c>
      <c r="G1" s="835" t="s">
        <v>135</v>
      </c>
      <c r="H1" s="836" t="str">
        <f>D3</f>
        <v>MON</v>
      </c>
      <c r="I1" s="837">
        <f>D4</f>
        <v>37018</v>
      </c>
    </row>
    <row r="2" spans="1:256" ht="15.75">
      <c r="A2" s="838" t="s">
        <v>136</v>
      </c>
      <c r="B2" s="839"/>
      <c r="C2" s="839"/>
      <c r="D2" s="839"/>
      <c r="E2" s="839"/>
      <c r="F2" s="839"/>
      <c r="G2" s="839"/>
      <c r="H2" s="839"/>
      <c r="I2" s="840"/>
    </row>
    <row r="3" spans="1:256" ht="16.5" thickBot="1">
      <c r="A3" s="841"/>
      <c r="B3" s="839"/>
      <c r="C3" s="839"/>
      <c r="D3" s="842" t="str">
        <f t="shared" ref="D3:I3" si="0">CHOOSE(WEEKDAY(D4),"SUN","MON","TUE","WED","THU","FRI","SAT")</f>
        <v>MON</v>
      </c>
      <c r="E3" s="842" t="str">
        <f t="shared" si="0"/>
        <v>TUE</v>
      </c>
      <c r="F3" s="842" t="str">
        <f t="shared" si="0"/>
        <v>WED</v>
      </c>
      <c r="G3" s="842" t="str">
        <f t="shared" si="0"/>
        <v>THU</v>
      </c>
      <c r="H3" s="842" t="str">
        <f t="shared" si="0"/>
        <v>FRI</v>
      </c>
      <c r="I3" s="843" t="str">
        <f t="shared" si="0"/>
        <v>SAT</v>
      </c>
    </row>
    <row r="4" spans="1:256" ht="15.75" thickBot="1">
      <c r="A4" s="844"/>
      <c r="B4" s="845"/>
      <c r="C4" s="845"/>
      <c r="D4" s="466">
        <f>Weather_Input!A5</f>
        <v>37018</v>
      </c>
      <c r="E4" s="466">
        <f>Weather_Input!A6</f>
        <v>37019</v>
      </c>
      <c r="F4" s="466">
        <f>Weather_Input!A7</f>
        <v>37020</v>
      </c>
      <c r="G4" s="466">
        <f>Weather_Input!A8</f>
        <v>37021</v>
      </c>
      <c r="H4" s="466">
        <f>Weather_Input!A9</f>
        <v>37022</v>
      </c>
      <c r="I4" s="467">
        <f>Weather_Input!A10</f>
        <v>37023</v>
      </c>
    </row>
    <row r="5" spans="1:256" ht="16.5" customHeight="1" thickTop="1">
      <c r="A5" s="848" t="s">
        <v>137</v>
      </c>
      <c r="B5" s="839"/>
      <c r="C5" s="839" t="s">
        <v>138</v>
      </c>
      <c r="D5" s="468" t="str">
        <f>TEXT(Weather_Input!B5,"0")&amp;"/"&amp;TEXT(Weather_Input!C5,"0") &amp; "/" &amp; TEXT((Weather_Input!B5+Weather_Input!C5)/2,"0")</f>
        <v>66/46/56</v>
      </c>
      <c r="E5" s="468" t="str">
        <f>TEXT(Weather_Input!B6,"0")&amp;"/"&amp;TEXT(Weather_Input!C6,"0") &amp; "/" &amp; TEXT((Weather_Input!B6+Weather_Input!C6)/2,"0")</f>
        <v>74/49/62</v>
      </c>
      <c r="F5" s="468" t="str">
        <f>TEXT(Weather_Input!B7,"0")&amp;"/"&amp;TEXT(Weather_Input!C7,"0") &amp; "/" &amp; TEXT((Weather_Input!B7+Weather_Input!C7)/2,"0")</f>
        <v>77/58/68</v>
      </c>
      <c r="G5" s="468" t="str">
        <f>TEXT(Weather_Input!B8,"0")&amp;"/"&amp;TEXT(Weather_Input!C8,"0") &amp; "/" &amp; TEXT((Weather_Input!B8+Weather_Input!C8)/2,"0")</f>
        <v>82/54/68</v>
      </c>
      <c r="H5" s="468" t="str">
        <f>TEXT(Weather_Input!B9,"0")&amp;"/"&amp;TEXT(Weather_Input!C9,"0") &amp; "/" &amp; TEXT((Weather_Input!B9+Weather_Input!C9)/2,"0")</f>
        <v>70/48/59</v>
      </c>
      <c r="I5" s="469" t="str">
        <f>TEXT(Weather_Input!B10,"0")&amp;"/"&amp;TEXT(Weather_Input!C10,"0") &amp; "/" &amp; TEXT((Weather_Input!B10+Weather_Input!C10)/2,"0")</f>
        <v>70/48/59</v>
      </c>
    </row>
    <row r="6" spans="1:256" ht="15.75">
      <c r="A6" s="851" t="s">
        <v>139</v>
      </c>
      <c r="B6" s="839"/>
      <c r="C6" s="839"/>
      <c r="D6" s="468">
        <f>PGL_Deliveries!C5/1000</f>
        <v>245</v>
      </c>
      <c r="E6" s="468">
        <f>PGL_Deliveries!C6/1000</f>
        <v>245</v>
      </c>
      <c r="F6" s="468">
        <f>PGL_Deliveries!C7/1000</f>
        <v>245</v>
      </c>
      <c r="G6" s="468">
        <f>PGL_Deliveries!C8/1000</f>
        <v>240</v>
      </c>
      <c r="H6" s="468">
        <f>PGL_Deliveries!C9/1000</f>
        <v>235</v>
      </c>
      <c r="I6" s="469">
        <f>PGL_Deliveries!C10/1000</f>
        <v>225</v>
      </c>
    </row>
    <row r="7" spans="1:256" ht="15.75">
      <c r="A7" s="851" t="s">
        <v>568</v>
      </c>
      <c r="B7" s="839" t="s">
        <v>416</v>
      </c>
      <c r="C7" s="839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1" t="s">
        <v>800</v>
      </c>
      <c r="B8" s="839"/>
      <c r="C8" s="839"/>
      <c r="D8" s="468">
        <f>PGL_Requirements!I7/1000+PGL_Requirements!K7/1000</f>
        <v>20.774000000000001</v>
      </c>
      <c r="E8" s="468">
        <f>PGL_Requirements!I8/1000+PGL_Requirements!K8/1000</f>
        <v>20.774000000000001</v>
      </c>
      <c r="F8" s="468">
        <f>PGL_Requirements!I9/1000+PGL_Requirements!K9/1000</f>
        <v>20.774000000000001</v>
      </c>
      <c r="G8" s="468">
        <f>PGL_Requirements!I10/1000+PGL_Requirements!K10/1000</f>
        <v>0</v>
      </c>
      <c r="H8" s="468">
        <f>PGL_Requirements!I11/1000+PGL_Requirements!K11/1000</f>
        <v>0</v>
      </c>
      <c r="I8" s="469">
        <f>PGL_Requirements!I12/1000+PGL_Requirements!K12/1000</f>
        <v>0</v>
      </c>
    </row>
    <row r="9" spans="1:256" ht="15.75">
      <c r="A9" s="848" t="s">
        <v>140</v>
      </c>
      <c r="B9" s="839" t="s">
        <v>143</v>
      </c>
      <c r="C9" s="852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48"/>
      <c r="B10" s="839" t="s">
        <v>147</v>
      </c>
      <c r="C10" s="852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48"/>
      <c r="B11" s="839" t="s">
        <v>416</v>
      </c>
      <c r="C11" s="839"/>
      <c r="D11" s="468">
        <v>0</v>
      </c>
      <c r="E11" s="468">
        <v>0</v>
      </c>
      <c r="F11" s="468">
        <v>0</v>
      </c>
      <c r="G11" s="468">
        <v>0</v>
      </c>
      <c r="H11" s="468">
        <v>0</v>
      </c>
      <c r="I11" s="469">
        <v>0</v>
      </c>
    </row>
    <row r="12" spans="1:256" ht="15.75">
      <c r="A12" s="848"/>
      <c r="B12" s="839" t="s">
        <v>141</v>
      </c>
      <c r="C12" s="839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48" t="s">
        <v>144</v>
      </c>
      <c r="B13" s="839" t="s">
        <v>145</v>
      </c>
      <c r="C13" s="839" t="s">
        <v>60</v>
      </c>
      <c r="D13" s="468">
        <f>PGL_Requirements!P7/1000</f>
        <v>158</v>
      </c>
      <c r="E13" s="468">
        <f>PGL_Requirements!P8/1000</f>
        <v>150</v>
      </c>
      <c r="F13" s="468">
        <f>PGL_Requirements!P9/1000</f>
        <v>150</v>
      </c>
      <c r="G13" s="468">
        <f>PGL_Requirements!P10/1000</f>
        <v>150</v>
      </c>
      <c r="H13" s="468">
        <f>PGL_Requirements!P11/1000</f>
        <v>150</v>
      </c>
      <c r="I13" s="469">
        <f>PGL_Requirements!P12/1000</f>
        <v>150</v>
      </c>
    </row>
    <row r="14" spans="1:256" ht="15.75">
      <c r="A14" s="848"/>
      <c r="B14" s="839"/>
      <c r="C14" s="839" t="s">
        <v>101</v>
      </c>
      <c r="D14" s="468">
        <f>PGL_Requirements!Q7/1000</f>
        <v>2.37</v>
      </c>
      <c r="E14" s="468">
        <f>PGL_Requirements!Q8/1000</f>
        <v>2.25</v>
      </c>
      <c r="F14" s="468">
        <f>PGL_Requirements!Q9/1000</f>
        <v>2.25</v>
      </c>
      <c r="G14" s="468">
        <f>PGL_Requirements!Q10/1000</f>
        <v>2.25</v>
      </c>
      <c r="H14" s="468">
        <f>PGL_Requirements!Q11/1000</f>
        <v>2.25</v>
      </c>
      <c r="I14" s="469">
        <f>PGL_Requirements!Q12/1000</f>
        <v>2.25</v>
      </c>
    </row>
    <row r="15" spans="1:256" ht="15.75">
      <c r="A15" s="848"/>
      <c r="C15" s="839" t="s">
        <v>738</v>
      </c>
      <c r="D15" s="468">
        <f>PGL_Requirements!R7/1000</f>
        <v>0.63</v>
      </c>
      <c r="E15" s="468">
        <f>PGL_Requirements!R8/1000</f>
        <v>0.63</v>
      </c>
      <c r="F15" s="468">
        <f>PGL_Requirements!R9/1000</f>
        <v>0.63</v>
      </c>
      <c r="G15" s="468">
        <f>PGL_Requirements!R10/1000</f>
        <v>0.63</v>
      </c>
      <c r="H15" s="468">
        <f>PGL_Requirements!R11/1000</f>
        <v>0.63</v>
      </c>
      <c r="I15" s="469">
        <f>PGL_Requirements!R12/1000</f>
        <v>0.63</v>
      </c>
    </row>
    <row r="16" spans="1:256" ht="15.75">
      <c r="A16" s="848"/>
      <c r="C16" s="839" t="s">
        <v>771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48"/>
      <c r="B17" s="839" t="s">
        <v>184</v>
      </c>
      <c r="C17" s="839" t="s">
        <v>717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48"/>
      <c r="B18" s="839" t="s">
        <v>143</v>
      </c>
      <c r="C18" s="839" t="s">
        <v>90</v>
      </c>
      <c r="D18" s="468">
        <f>PGL_Requirements!U7/1000</f>
        <v>40.200000000000003</v>
      </c>
      <c r="E18" s="468">
        <f>PGL_Requirements!U8/1000</f>
        <v>40.200000000000003</v>
      </c>
      <c r="F18" s="468">
        <f>PGL_Requirements!U9/1000</f>
        <v>40.200000000000003</v>
      </c>
      <c r="G18" s="468">
        <f>PGL_Requirements!U10/1000</f>
        <v>40.200000000000003</v>
      </c>
      <c r="H18" s="468">
        <f>PGL_Requirements!U11/1000</f>
        <v>40.200000000000003</v>
      </c>
      <c r="I18" s="469">
        <f>PGL_Requirements!U12/1000</f>
        <v>40.200000000000003</v>
      </c>
    </row>
    <row r="19" spans="1:10" ht="15.75">
      <c r="A19" s="848"/>
      <c r="B19" s="839" t="s">
        <v>141</v>
      </c>
      <c r="C19" s="839" t="s">
        <v>90</v>
      </c>
      <c r="D19" s="468">
        <f>PGL_Requirements!O7/1000</f>
        <v>17.48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1" t="s">
        <v>146</v>
      </c>
      <c r="B20" s="855" t="s">
        <v>143</v>
      </c>
      <c r="C20" s="855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48"/>
      <c r="B21" s="855" t="s">
        <v>141</v>
      </c>
      <c r="C21" s="855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48"/>
      <c r="B22" s="839" t="s">
        <v>416</v>
      </c>
      <c r="C22" s="855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 ht="15.75">
      <c r="A23" s="848"/>
      <c r="B23" s="853" t="s">
        <v>148</v>
      </c>
      <c r="C23" s="855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 ht="15.75">
      <c r="A24" s="851" t="s">
        <v>149</v>
      </c>
      <c r="B24" s="839"/>
      <c r="C24" s="839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48" t="s">
        <v>150</v>
      </c>
      <c r="B25" s="839" t="s">
        <v>756</v>
      </c>
      <c r="C25" s="839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48"/>
      <c r="B26" s="839" t="s">
        <v>68</v>
      </c>
      <c r="C26" s="839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48"/>
      <c r="B27" s="839" t="s">
        <v>93</v>
      </c>
      <c r="C27" s="839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48"/>
      <c r="B28" s="839" t="s">
        <v>416</v>
      </c>
      <c r="C28" s="839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48"/>
      <c r="B29" s="839" t="s">
        <v>96</v>
      </c>
      <c r="C29" s="839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6" t="s">
        <v>151</v>
      </c>
      <c r="B30" s="857"/>
      <c r="C30" s="857"/>
      <c r="D30" s="472">
        <f t="shared" ref="D30:I30" si="1">SUM(D6:D29)</f>
        <v>484.45400000000001</v>
      </c>
      <c r="E30" s="472">
        <f t="shared" si="1"/>
        <v>458.85399999999998</v>
      </c>
      <c r="F30" s="472">
        <f t="shared" si="1"/>
        <v>458.85399999999998</v>
      </c>
      <c r="G30" s="472">
        <f t="shared" si="1"/>
        <v>433.08</v>
      </c>
      <c r="H30" s="472">
        <f t="shared" si="1"/>
        <v>428.08</v>
      </c>
      <c r="I30" s="1173">
        <f t="shared" si="1"/>
        <v>418.08</v>
      </c>
    </row>
    <row r="31" spans="1:10" ht="17.25" thickTop="1" thickBot="1">
      <c r="A31" s="860"/>
      <c r="B31" s="839"/>
      <c r="C31" s="839"/>
      <c r="D31" s="473"/>
      <c r="E31" s="474"/>
      <c r="F31" s="474"/>
      <c r="G31" s="474"/>
      <c r="H31" s="474"/>
      <c r="I31" s="475"/>
    </row>
    <row r="32" spans="1:10" ht="16.5" thickTop="1" thickBot="1">
      <c r="A32" s="861" t="s">
        <v>152</v>
      </c>
      <c r="B32" s="862"/>
      <c r="C32" s="862"/>
      <c r="D32" s="476"/>
      <c r="E32" s="477"/>
      <c r="F32" s="477"/>
      <c r="G32" s="477"/>
      <c r="H32" s="477"/>
      <c r="I32" s="1174"/>
    </row>
    <row r="33" spans="1:9" ht="16.5" thickTop="1">
      <c r="A33" s="848" t="s">
        <v>153</v>
      </c>
      <c r="B33" s="839" t="s">
        <v>145</v>
      </c>
      <c r="C33" s="839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48"/>
      <c r="B34" s="839"/>
      <c r="C34" s="839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48"/>
      <c r="B35" s="839"/>
      <c r="C35" s="839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48"/>
      <c r="B36" s="839" t="s">
        <v>143</v>
      </c>
      <c r="C36" s="839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48"/>
      <c r="B37" s="839" t="s">
        <v>141</v>
      </c>
      <c r="C37" s="839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1" t="s">
        <v>155</v>
      </c>
      <c r="B38" s="839" t="s">
        <v>143</v>
      </c>
      <c r="C38" s="839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1"/>
      <c r="B39" s="839" t="s">
        <v>416</v>
      </c>
      <c r="C39" s="852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1"/>
      <c r="B40" s="839" t="s">
        <v>141</v>
      </c>
      <c r="C40" s="839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1"/>
      <c r="B41" s="839" t="s">
        <v>156</v>
      </c>
      <c r="C41" s="839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1" t="s">
        <v>719</v>
      </c>
      <c r="B42" s="839"/>
      <c r="C42" s="839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1" t="s">
        <v>622</v>
      </c>
      <c r="B43" s="839" t="s">
        <v>416</v>
      </c>
      <c r="C43" s="839"/>
      <c r="D43" s="468">
        <f>PGL_Supplies!T7/1000*0.5</f>
        <v>11.821999999999999</v>
      </c>
      <c r="E43" s="468">
        <f>PGL_Supplies!T8/1000*0.5</f>
        <v>10.645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48"/>
      <c r="B44" s="839" t="s">
        <v>147</v>
      </c>
      <c r="C44" s="852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48"/>
      <c r="B45" s="839" t="s">
        <v>416</v>
      </c>
      <c r="C45" s="852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48"/>
      <c r="B46" s="839" t="s">
        <v>141</v>
      </c>
      <c r="C46" s="839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5" t="s">
        <v>766</v>
      </c>
      <c r="B47" s="839" t="s">
        <v>744</v>
      </c>
      <c r="C47" s="839"/>
      <c r="D47" s="468">
        <f>PGL_Supplies!Y7/1000</f>
        <v>172.51499999999999</v>
      </c>
      <c r="E47" s="468">
        <f>PGL_Supplies!Y8/1000</f>
        <v>156.584</v>
      </c>
      <c r="F47" s="468">
        <f>PGL_Supplies!Y9/1000</f>
        <v>156.584</v>
      </c>
      <c r="G47" s="468">
        <f>PGL_Supplies!Y10/1000</f>
        <v>157.084</v>
      </c>
      <c r="H47" s="468">
        <f>PGL_Supplies!Y11/1000</f>
        <v>157.084</v>
      </c>
      <c r="I47" s="469">
        <f>PGL_Supplies!Y12/1000</f>
        <v>157.084</v>
      </c>
    </row>
    <row r="48" spans="1:9" ht="15.75">
      <c r="A48" s="851"/>
      <c r="B48" s="839" t="s">
        <v>143</v>
      </c>
      <c r="C48" s="852"/>
      <c r="D48" s="468">
        <f>PGL_Supplies!Z7/1000</f>
        <v>40.200000000000003</v>
      </c>
      <c r="E48" s="468">
        <f>PGL_Supplies!Z8/1000</f>
        <v>40.200000000000003</v>
      </c>
      <c r="F48" s="468">
        <f>PGL_Supplies!Z9/1000</f>
        <v>40.200000000000003</v>
      </c>
      <c r="G48" s="468">
        <f>PGL_Supplies!Z10/1000</f>
        <v>40.200000000000003</v>
      </c>
      <c r="H48" s="468">
        <f>PGL_Supplies!Z11/1000</f>
        <v>40.200000000000003</v>
      </c>
      <c r="I48" s="469">
        <f>PGL_Supplies!Z12/1000</f>
        <v>40.200000000000003</v>
      </c>
    </row>
    <row r="49" spans="1:10" ht="15.75">
      <c r="A49" s="851"/>
      <c r="B49" s="839" t="s">
        <v>147</v>
      </c>
      <c r="C49" s="852"/>
      <c r="D49" s="468">
        <f>PGL_Supplies!AA7/1000</f>
        <v>0</v>
      </c>
      <c r="E49" s="468">
        <f>PGL_Supplies!AA8/1000</f>
        <v>0</v>
      </c>
      <c r="F49" s="468">
        <f>PGL_Supplies!AA9/1000</f>
        <v>0</v>
      </c>
      <c r="G49" s="468">
        <f>PGL_Supplies!AA10/1000</f>
        <v>0</v>
      </c>
      <c r="H49" s="468">
        <f>PGL_Supplies!AA11/1000</f>
        <v>0</v>
      </c>
      <c r="I49" s="469">
        <f>PGL_Supplies!AA12/1000</f>
        <v>0</v>
      </c>
    </row>
    <row r="50" spans="1:10" ht="15.75">
      <c r="A50" s="851"/>
      <c r="B50" s="839" t="s">
        <v>416</v>
      </c>
      <c r="C50" s="852"/>
      <c r="D50" s="468">
        <f>PGL_Supplies!AB7/1000</f>
        <v>183.85499999999999</v>
      </c>
      <c r="E50" s="468">
        <f>PGL_Supplies!AB8/1000</f>
        <v>144.566</v>
      </c>
      <c r="F50" s="468">
        <f>PGL_Supplies!AB9/1000</f>
        <v>144.566</v>
      </c>
      <c r="G50" s="468">
        <f>PGL_Supplies!AB10/1000</f>
        <v>148.44900000000001</v>
      </c>
      <c r="H50" s="468">
        <f>PGL_Supplies!AB11/1000</f>
        <v>148.44900000000001</v>
      </c>
      <c r="I50" s="469">
        <f>PGL_Supplies!AB12/1000</f>
        <v>148.44900000000001</v>
      </c>
    </row>
    <row r="51" spans="1:10" ht="15.75">
      <c r="A51" s="851"/>
      <c r="B51" s="839" t="s">
        <v>141</v>
      </c>
      <c r="C51" s="839"/>
      <c r="D51" s="468">
        <f>PGL_Supplies!AC7/1000</f>
        <v>60.064</v>
      </c>
      <c r="E51" s="468">
        <f>PGL_Supplies!AC8/1000</f>
        <v>110.557</v>
      </c>
      <c r="F51" s="468">
        <f>PGL_Supplies!AC9/1000</f>
        <v>110.449</v>
      </c>
      <c r="G51" s="468">
        <f>PGL_Supplies!AC10/1000</f>
        <v>100.759</v>
      </c>
      <c r="H51" s="468">
        <f>PGL_Supplies!AC11/1000</f>
        <v>100.759</v>
      </c>
      <c r="I51" s="469">
        <f>PGL_Supplies!AC12/1000</f>
        <v>100.759</v>
      </c>
    </row>
    <row r="52" spans="1:10" ht="15.75">
      <c r="A52" s="851"/>
      <c r="B52" s="839" t="s">
        <v>142</v>
      </c>
      <c r="C52" s="839"/>
      <c r="D52" s="468">
        <f>PGL_Supplies!AD7/1000</f>
        <v>0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 ht="15.75">
      <c r="A53" s="865"/>
      <c r="B53" s="839" t="s">
        <v>158</v>
      </c>
      <c r="C53" s="839"/>
      <c r="D53" s="468">
        <f>PGL_Supplies!I7/1000</f>
        <v>15</v>
      </c>
      <c r="E53" s="468">
        <f>PGL_Supplies!I8/1000</f>
        <v>15</v>
      </c>
      <c r="F53" s="468">
        <f>PGL_Supplies!I9/1000</f>
        <v>15</v>
      </c>
      <c r="G53" s="468">
        <f>PGL_Supplies!I10/1000</f>
        <v>15</v>
      </c>
      <c r="H53" s="468">
        <f>PGL_Supplies!I11/1000</f>
        <v>15</v>
      </c>
      <c r="I53" s="469">
        <f>PGL_Supplies!I12/1000</f>
        <v>15</v>
      </c>
      <c r="J53" s="113" t="s">
        <v>11</v>
      </c>
    </row>
    <row r="54" spans="1:10" ht="15.75">
      <c r="A54" s="848"/>
      <c r="B54" s="839" t="s">
        <v>159</v>
      </c>
      <c r="C54" s="839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1" t="s">
        <v>782</v>
      </c>
      <c r="B55" s="839"/>
      <c r="C55" s="839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48" t="s">
        <v>755</v>
      </c>
      <c r="B56" s="839" t="s">
        <v>744</v>
      </c>
      <c r="C56" s="839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48"/>
      <c r="B57" s="839" t="s">
        <v>143</v>
      </c>
      <c r="C57" s="839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48"/>
      <c r="B58" s="853" t="s">
        <v>147</v>
      </c>
      <c r="C58" s="839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48"/>
      <c r="B59" s="839" t="s">
        <v>416</v>
      </c>
      <c r="C59" s="839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6"/>
      <c r="B60" s="867" t="s">
        <v>142</v>
      </c>
      <c r="C60" s="867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69" t="s">
        <v>160</v>
      </c>
      <c r="B61" s="870"/>
      <c r="C61" s="870"/>
      <c r="D61" s="478">
        <f t="shared" ref="D61:I61" si="2">SUM(D33:D60)</f>
        <v>484.45599999999996</v>
      </c>
      <c r="E61" s="478">
        <f t="shared" si="2"/>
        <v>478.55200000000002</v>
      </c>
      <c r="F61" s="478">
        <f t="shared" si="2"/>
        <v>467.79900000000004</v>
      </c>
      <c r="G61" s="478">
        <f t="shared" si="2"/>
        <v>462.49200000000002</v>
      </c>
      <c r="H61" s="478">
        <f t="shared" si="2"/>
        <v>462.49200000000002</v>
      </c>
      <c r="I61" s="1175">
        <f t="shared" si="2"/>
        <v>462.49200000000002</v>
      </c>
    </row>
    <row r="62" spans="1:10">
      <c r="A62" s="871" t="s">
        <v>161</v>
      </c>
      <c r="B62" s="872"/>
      <c r="C62" s="872"/>
      <c r="D62" s="479">
        <f t="shared" ref="D62:I62" si="3">IF(D61-D30&lt;0,0,D61-D30)</f>
        <v>1.9999999999527063E-3</v>
      </c>
      <c r="E62" s="479">
        <f t="shared" si="3"/>
        <v>19.698000000000036</v>
      </c>
      <c r="F62" s="479">
        <f t="shared" si="3"/>
        <v>8.94500000000005</v>
      </c>
      <c r="G62" s="479">
        <f t="shared" si="3"/>
        <v>29.412000000000035</v>
      </c>
      <c r="H62" s="479">
        <f t="shared" si="3"/>
        <v>34.412000000000035</v>
      </c>
      <c r="I62" s="1176">
        <f t="shared" si="3"/>
        <v>44.412000000000035</v>
      </c>
    </row>
    <row r="63" spans="1:10" ht="15.75" thickBot="1">
      <c r="A63" s="873" t="s">
        <v>162</v>
      </c>
      <c r="B63" s="857"/>
      <c r="C63" s="874"/>
      <c r="D63" s="480">
        <f t="shared" ref="D63:I63" si="4">IF(D30-D61&lt;0,0,D30-D61)</f>
        <v>0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77">
        <f t="shared" si="4"/>
        <v>0</v>
      </c>
    </row>
    <row r="64" spans="1:10" ht="16.5" thickTop="1" thickBot="1">
      <c r="A64" s="1164" t="s">
        <v>770</v>
      </c>
      <c r="B64" s="1165"/>
      <c r="C64" s="1165"/>
      <c r="D64" s="1166">
        <f>PGL_Supplies!V7/1000</f>
        <v>180.84399999999999</v>
      </c>
      <c r="E64" s="1166">
        <f>PGL_Supplies!V8/1000</f>
        <v>180.84399999999999</v>
      </c>
      <c r="F64" s="1166">
        <f>PGL_Supplies!V9/1000</f>
        <v>180.84399999999999</v>
      </c>
      <c r="G64" s="1166">
        <f>PGL_Supplies!V10/1000</f>
        <v>180.84399999999999</v>
      </c>
      <c r="H64" s="1166">
        <f>PGL_Supplies!V11/1000</f>
        <v>180.84399999999999</v>
      </c>
      <c r="I64" s="1167">
        <f>PGL_Supplies!V12/1000</f>
        <v>180.84399999999999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2001-05-07T21:30:41Z</cp:lastPrinted>
  <dcterms:created xsi:type="dcterms:W3CDTF">1997-07-16T16:14:22Z</dcterms:created>
  <dcterms:modified xsi:type="dcterms:W3CDTF">2023-09-10T17:20:52Z</dcterms:modified>
</cp:coreProperties>
</file>