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615F2D-DFCA-468E-BD73-DBCD3FEC1DFF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<sst xmlns="http://schemas.openxmlformats.org/spreadsheetml/2006/main" count="2121" uniqueCount="793">
  <si>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</si>
  <si>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</si>
  <si>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</si>
  <si>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</si>
  <si>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</si>
  <si>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</si>
  <si>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</si>
  <si>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</si>
  <si>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</si>
  <si>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</si>
  <si>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</si>
  <si>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</si>
  <si>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</si>
  <si>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</si>
  <si>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</si>
  <si>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</si>
  <si>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</si>
  <si>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</si>
  <si>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</si>
  <si>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</si>
  <si>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</si>
  <si>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</si>
  <si>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</si>
  <si>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</si>
  <si>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</si>
  <si>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</si>
  <si>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</si>
  <si>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</si>
  <si>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</si>
  <si>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</si>
  <si>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</si>
  <si>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</si>
  <si>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</si>
  <si>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</si>
  <si>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</si>
  <si>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</si>
  <si>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</si>
  <si>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</si>
  <si>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</si>
  <si>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</si>
  <si>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</si>
  <si>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</si>
  <si>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</si>
  <si>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</si>
  <si>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</si>
  <si>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</si>
  <si>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</si>
  <si>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</si>
  <si>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</si>
  <si>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</si>
  <si>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</si>
  <si>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</si>
  <si>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</si>
  <si>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</si>
  <si>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</si>
  <si>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</si>
  <si>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</si>
  <si>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</si>
  <si>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</si>
  <si>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</si>
  <si>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</si>
  <si>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</si>
  <si>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</si>
  <si>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</si>
  <si>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</si>
  <si>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</si>
  <si>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</si>
  <si>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</si>
  <si>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</si>
  <si>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</si>
  <si>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</si>
  <si>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</si>
  <si>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</si>
  <si>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</si>
  <si>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</si>
  <si>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</si>
  <si>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</si>
  <si>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</si>
  <si>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</si>
  <si>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</si>
  <si>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</si>
  <si>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</si>
  <si>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</si>
  <si>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</si>
  <si>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</si>
  <si>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</si>
  <si>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</si>
  <si>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</si>
  <si>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</si>
  <si>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</si>
  <si>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</si>
  <si>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</si>
  <si>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</si>
  <si>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</si>
  <si>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</si>
  <si>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</si>
  <si>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</si>
  <si>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</si>
  <si>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</si>
  <si>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</si>
  <si>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</si>
  <si>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</si>
  <si>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</si>
  <si>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</si>
  <si>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</si>
  <si>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</si>
  <si>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</si>
  <si>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</si>
  <si>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</si>
  <si>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</si>
  <si>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</si>
  <si>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</si>
  <si>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</si>
  <si>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</si>
  <si>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</si>
  <si>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</si>
  <si>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</si>
  <si>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</si>
  <si>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</si>
  <si>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</si>
  <si>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</si>
  <si>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</si>
  <si>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</si>
  <si>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</si>
  <si>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</si>
  <si>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</si>
  <si>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</si>
  <si>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</si>
  <si>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</si>
  <si>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</si>
  <si>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</si>
  <si>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</si>
  <si>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</si>
  <si>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</si>
  <si>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</si>
  <si>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</si>
  <si>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</si>
  <si>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</si>
  <si>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</si>
  <si>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</si>
  <si>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</si>
  <si>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</si>
  <si>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</si>
  <si>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</si>
  <si>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</si>
  <si>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</si>
  <si>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</si>
  <si>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</si>
  <si>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</si>
  <si>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</si>
  <si>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</si>
  <si>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</si>
  <si>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</si>
  <si>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</si>
  <si>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</si>
  <si>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</si>
  <si>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</si>
  <si>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</si>
  <si>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</si>
  <si>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</si>
  <si>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</si>
  <si>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</si>
  <si>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</si>
  <si>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</si>
  <si>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</si>
  <si>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</si>
  <si>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</si>
  <si>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</si>
  <si>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</si>
  <si>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</si>
  <si>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</si>
  <si>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</si>
  <si>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</si>
  <si>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</si>
  <si>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</si>
  <si>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</si>
  <si>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</si>
  <si>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</si>
  <si>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</si>
  <si>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</si>
  <si>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</si>
  <si>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</si>
  <si>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</si>
  <si>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</si>
  <si>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</si>
  <si>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</si>
  <si>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</si>
  <si>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</si>
  <si>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</si>
  <si>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</si>
  <si>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</si>
  <si>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</si>
  <si>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</si>
  <si>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</si>
  <si>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</si>
  <si>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</si>
  <si>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</si>
  <si>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</si>
  <si>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</si>
  <si>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</si>
  <si>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</si>
  <si>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</si>
  <si>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</si>
  <si>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</si>
  <si>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</si>
  <si>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</si>
  <si>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</si>
  <si>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</si>
  <si>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</si>
  <si>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</si>
  <si>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</si>
  <si>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</si>
  <si>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</si>
  <si>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</si>
  <si>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</si>
  <si>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</si>
  <si>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</si>
  <si>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</si>
  <si>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</si>
  <si>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</si>
  <si>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</si>
  <si>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</si>
  <si>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</si>
  <si>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</si>
  <si>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</si>
  <si>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</si>
  <si>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</si>
  <si>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</si>
  <si>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</si>
  <si>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</si>
  <si>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</si>
  <si>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</si>
  <si>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</si>
  <si>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</si>
  <si>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</si>
  <si>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</si>
  <si>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</si>
  <si>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</si>
  <si>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</si>
  <si>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</si>
  <si>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</si>
  <si>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</si>
  <si>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</si>
  <si>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</si>
  <si>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</si>
  <si>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</si>
  <si>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</si>
  <si>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</si>
  <si>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</si>
  <si>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</si>
  <si>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</si>
  <si>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</si>
  <si>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</si>
  <si>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</si>
  <si>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</si>
  <si>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</si>
  <si>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</si>
  <si>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</si>
  <si>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</si>
  <si>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</si>
  <si>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</si>
  <si>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</si>
  <si>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</si>
  <si>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</si>
  <si>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</si>
  <si>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</si>
  <si>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</si>
  <si>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</si>
  <si>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</si>
  <si>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</si>
  <si>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</si>
  <si>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</si>
  <si>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</si>
  <si>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</si>
  <si>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</si>
  <si>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</si>
  <si>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</si>
  <si>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</si>
  <si>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</si>
  <si>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</si>
  <si>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</si>
  <si>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</si>
  <si>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</si>
  <si>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</si>
  <si>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</si>
  <si>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</si>
  <si>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</si>
  <si>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</si>
  <si>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</si>
  <si>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</si>
  <si>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</si>
  <si>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</si>
  <si>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</si>
  <si>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</si>
  <si>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</si>
  <si>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</si>
  <si>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</si>
  <si>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</si>
  <si>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</si>
  <si>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</si>
  <si>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</si>
  <si>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</si>
  <si>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</si>
  <si>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</si>
  <si>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</si>
  <si>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</si>
  <si>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</si>
  <si>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</si>
  <si>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</si>
  <si>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</si>
  <si>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</si>
  <si>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</si>
  <si>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</si>
  <si>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</si>
  <si>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</si>
  <si>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</si>
  <si>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</si>
  <si>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</si>
  <si>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</si>
  <si>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</si>
  <si>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</si>
  <si>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</si>
  <si>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</si>
  <si>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</si>
  <si>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</si>
  <si>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</si>
  <si>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</si>
  <si>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</si>
  <si>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</si>
  <si>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</si>
  <si>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</si>
  <si>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</si>
  <si>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</si>
  <si>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</si>
  <si>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</si>
  <si>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</si>
  <si>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</si>
  <si>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</si>
  <si>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</si>
  <si>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</si>
  <si>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</si>
  <si>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</si>
  <si>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</si>
  <si>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</si>
  <si>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</si>
  <si>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</si>
  <si>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</si>
  <si>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</si>
  <si>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</si>
  <si>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</si>
  <si>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</si>
  <si>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</si>
  <si>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</si>
  <si>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</si>
  <si>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</si>
  <si>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</si>
  <si>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</si>
  <si>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</si>
  <si>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</si>
  <si>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</si>
  <si>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</si>
  <si>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</si>
  <si>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</si>
  <si>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</si>
  <si>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</si>
  <si>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</si>
  <si>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</si>
  <si>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</si>
  <si>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</si>
  <si>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</si>
  <si>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</si>
  <si>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</si>
  <si>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</si>
  <si>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</si>
  <si>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</si>
  <si>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</si>
  <si>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</si>
  <si>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</si>
  <si>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</si>
  <si>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</si>
  <si>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</si>
  <si>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</si>
  <si>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</si>
  <si>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</si>
  <si>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</si>
  <si>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</si>
  <si>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</si>
  <si>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</si>
  <si>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</si>
  <si>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</si>
  <si>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</si>
  <si>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</si>
  <si>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</si>
  <si>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</si>
  <si>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</si>
  <si>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</si>
  <si>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</si>
  <si>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</si>
  <si>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</si>
  <si>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</si>
  <si>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</si>
  <si>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</si>
  <si>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</si>
  <si>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</si>
  <si>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</si>
  <si>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</si>
  <si>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</si>
  <si>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</si>
  <si>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</si>
  <si>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</si>
  <si>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</si>
  <si>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</si>
  <si>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</si>
  <si>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</si>
  <si>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</si>
  <si>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</si>
  <si>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</si>
  <si>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</si>
  <si>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</si>
  <si>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</si>
  <si>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</si>
  <si>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</si>
  <si>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</si>
  <si>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</si>
  <si>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</si>
  <si>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</si>
  <si>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</si>
  <si>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</si>
  <si>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</si>
  <si>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</si>
  <si>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</si>
  <si>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</si>
  <si>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</si>
  <si>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</si>
  <si>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</si>
  <si>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</si>
  <si>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</si>
  <si>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</si>
  <si>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</si>
  <si>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</si>
  <si>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</si>
  <si>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</si>
  <si>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</si>
  <si>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</si>
  <si>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</si>
  <si>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</si>
  <si>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</si>
  <si>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</si>
  <si>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</si>
  <si>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</si>
  <si>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</si>
  <si>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</si>
  <si>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</si>
  <si>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</si>
  <si>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</si>
  <si>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</si>
  <si>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</si>
  <si>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</si>
  <si>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</si>
  <si>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</si>
  <si>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</si>
  <si>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</si>
  <si>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</si>
  <si>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</si>
  <si>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</si>
  <si>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</si>
  <si>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</si>
  <si>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</si>
  <si>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</si>
  <si>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</si>
  <si>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</si>
  <si>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</si>
  <si>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</si>
  <si>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</si>
  <si>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</si>
  <si>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</si>
  <si>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</si>
  <si>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</si>
  <si>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</si>
  <si>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</si>
  <si>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</si>
  <si>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</si>
  <si>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</si>
  <si>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</si>
  <si>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</si>
  <si>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</si>
  <si>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</si>
  <si>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</si>
  <si>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</si>
  <si>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</si>
  <si>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</si>
  <si>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</si>
  <si>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</si>
  <si>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</si>
  <si>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</si>
  <si>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</si>
  <si>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</si>
  <si>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</si>
  <si>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</si>
  <si>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</si>
  <si>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</si>
  <si>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</si>
  <si>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</si>
  <si>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</si>
  <si>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</si>
  <si>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</si>
  <si>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</si>
  <si>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</si>
  <si>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</si>
  <si>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</si>
  <si>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</si>
  <si>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</si>
  <si>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</si>
  <si>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</si>
  <si>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</si>
  <si>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</si>
  <si>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</si>
  <si>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</si>
  <si>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</si>
  <si>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</si>
  <si>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</si>
  <si>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</si>
  <si>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</si>
  <si>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</si>
  <si>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</si>
  <si>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</si>
  <si>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</si>
  <si>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</si>
  <si>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</si>
  <si>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</si>
  <si>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</si>
  <si>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</si>
  <si>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</si>
  <si>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</si>
  <si>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</si>
  <si>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</si>
  <si>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</si>
  <si>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</si>
  <si>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</si>
  <si>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</si>
  <si>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</si>
  <si>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</si>
  <si>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</si>
  <si>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</si>
  <si>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</si>
  <si>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</si>
  <si>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</si>
  <si>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</si>
  <si>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</si>
  <si>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</si>
  <si>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</si>
  <si>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</si>
  <si>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</si>
  <si>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</si>
  <si>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</si>
  <si>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</si>
  <si>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</si>
  <si>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</si>
  <si>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</si>
  <si>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</si>
  <si>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</si>
  <si>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</si>
  <si>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</si>
  <si>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</si>
  <si>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</si>
  <si>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</si>
  <si>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</si>
  <si>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</si>
  <si>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</si>
  <si>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</si>
  <si>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</si>
  <si>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</si>
  <si>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</si>
  <si>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</si>
  <si>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</si>
  <si>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</si>
  <si>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</si>
  <si>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</si>
  <si>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</si>
  <si>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</si>
  <si>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</si>
  <si>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</si>
  <si>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</si>
  <si>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</si>
  <si>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</si>
  <si>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</si>
  <si>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</si>
  <si>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</si>
  <si>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</si>
  <si>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</si>
  <si>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</si>
  <si>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</si>
  <si>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</si>
  <si>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</si>
  <si>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</si>
  <si>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</si>
  <si>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</si>
  <si>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</si>
  <si>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</si>
  <si>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</si>
  <si>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</si>
  <si>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</si>
  <si>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</si>
  <si>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</si>
  <si>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</si>
  <si>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</si>
  <si>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</si>
  <si>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</si>
  <si>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</si>
  <si>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</si>
  <si>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</si>
  <si>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</si>
  <si>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</si>
  <si>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</si>
  <si>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</si>
  <si>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</si>
  <si>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</si>
  <si>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</si>
  <si>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</si>
  <si>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</si>
  <si>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</si>
  <si>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</si>
  <si>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</si>
  <si>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</si>
  <si>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</si>
  <si>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</si>
  <si>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</si>
  <si>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</si>
  <si>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</si>
  <si>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</si>
  <si>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</si>
  <si>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</si>
  <si>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</si>
  <si>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</si>
  <si>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</si>
  <si>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</si>
  <si>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</si>
  <si>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</si>
  <si>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</si>
  <si>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</si>
  <si>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</si>
  <si>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</si>
  <si>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</si>
  <si>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</si>
  <si>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</si>
  <si>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</si>
  <si>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</si>
  <si>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</si>
  <si>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</si>
  <si>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</si>
  <si>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</si>
  <si>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</si>
  <si>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</si>
  <si>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</si>
  <si>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</si>
  <si>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</si>
  <si>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</si>
  <si>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</si>
  <si>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</si>
  <si>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</si>
  <si>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</si>
  <si>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</si>
  <si>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</si>
  <si>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</si>
  <si>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</si>
  <si>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</si>
  <si>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</si>
  <si>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</si>
  <si>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</si>
  <si>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</si>
  <si>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</si>
  <si>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</si>
  <si>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</si>
  <si>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</si>
  <si>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</si>
  <si>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</si>
  <si>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</si>
  <si>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</si>
  <si>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</si>
  <si>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</si>
  <si>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</si>
  <si>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</si>
  <si>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</si>
  <si>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</si>
  <si>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</si>
  <si>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</si>
  <si>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</si>
  <si>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</si>
  <si>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</si>
  <si>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</si>
  <si>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</si>
  <si>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</si>
  <si>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</si>
  <si>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</si>
  <si>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</si>
  <si>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</si>
  <si>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</si>
  <si>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</si>
  <si>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</si>
  <si>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</si>
  <si>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</si>
  <si>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</si>
  <si>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</si>
  <si>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</si>
  <si>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</si>
  <si>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</si>
  <si>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</si>
  <si>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</si>
  <si>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</si>
  <si>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</si>
  <si>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</si>
  <si>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</si>
  <si>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</si>
  <si>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</si>
  <si>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</si>
  <si>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</si>
  <si>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</si>
  <si>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</si>
  <si>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</si>
  <si>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</si>
  <si>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</si>
  <si>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</si>
  <si>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</si>
  <si>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</si>
  <si>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</si>
  <si>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</si>
  <si>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</si>
  <si>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</si>
  <si>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</si>
  <si>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</si>
  <si>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</si>
  <si>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</si>
  <si>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</si>
  <si>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</si>
  <si>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</si>
  <si>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</si>
  <si>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</si>
  <si>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</si>
  <si>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</si>
  <si>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</si>
  <si>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</si>
  <si>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</si>
  <si>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</si>
  <si>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</si>
  <si>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</si>
  <si>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</si>
  <si>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</si>
  <si>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</si>
  <si>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</si>
  <si>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</si>
  <si>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</si>
  <si>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</si>
  <si>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</si>
  <si>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</si>
  <si>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</si>
  <si>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</si>
  <si>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</si>
  <si>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</si>
  <si>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</si>
  <si>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</si>
  <si>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</si>
  <si>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</si>
  <si>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</si>
  <si>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</si>
  <si>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</si>
  <si>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</si>
  <si>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</si>
  <si>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</si>
  <si>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</si>
  <si>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</si>
  <si>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</si>
  <si>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</si>
  <si>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</si>
  <si>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</si>
  <si>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</si>
  <si>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</si>
  <si>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</si>
  <si>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</si>
  <si>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</si>
  <si>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</si>
  <si>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</si>
  <si>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</si>
  <si>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</si>
  <si>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</si>
  <si>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</si>
  <si>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</si>
  <si>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</si>
  <si>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PARTLY CLOUDY. A CHANCE OF RAIN AND T'STORMS DURING THE NIGHT.</t>
  </si>
  <si>
    <t>A CHANCE OF SHOWERS AND T'STORMS.</t>
  </si>
  <si>
    <t>t</t>
  </si>
  <si>
    <t>DELIVERY TO MANLOVE</t>
  </si>
  <si>
    <t>ALIIANCE TO MANLOVE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</si>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</sst>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3BC9256-C129-8052-82DA-1FA0349B4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4585C54-60E2-A6C1-83D6-94BEC8F4C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B734839-25C7-8065-3C54-C1B3454C8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845B0A5-D8C2-AEF7-72DA-FC696CAD0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787C019-3605-D5C0-5BF2-E200507AC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E0A5E20-D5AC-942A-0B28-DC896FB0C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71418BF-AAA2-BD5D-A77B-CFFC918E9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A6660A5-FAED-3BEC-5AA7-AF349147E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4344491-363B-2981-CF17-B9B5D9622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9FF7963-0F36-A80C-9342-B4B63D82A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5FBAA9D-5A71-81CE-43D6-768E8D769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CF36583-2D8A-9051-BB02-7760A39B5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C2FB985-F58D-FE4D-9FD4-3414DD727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E9F6163-8689-ABA0-0F29-8167A1539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F9D0287-8427-C894-CC4B-422ADC449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1C1CF5E-34A8-DB69-6240-9A3896BC6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454EB4-3578-81AE-7307-CCBE74C1D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6DB9F20-52B9-B1D1-98F9-407EFAD75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36E1DB7-B3C9-4DC8-6014-6C64D784A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FCA3F87E-E187-1B71-BD4D-749FC0892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915FF6B-F7AC-224B-D42A-85EA7CF8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81AB284-6D13-6B05-CBF5-877C46091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FB9F2CA4-9401-F1C2-083B-62B1D957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07DE24F-B9F3-3663-F39E-0B5341303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AF89B25-0C58-EDCB-63A2-93E6D41A5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663E3D72-50EB-253F-9FAD-E43D8A24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1CBEA8C-0743-A485-CB84-AB171F1B3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5755FA1-A872-C68E-9FD0-ACDC33511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3C57137F-1D0F-2F52-2408-5E35A53C1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42F8CC8-FCA6-7375-6A46-801E0A2FC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6B6AE32B-73EE-44F2-51E9-4E351581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D757538-6964-416D-C141-94366DC3E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CB58A064-B568-BDB3-5EAE-E2FF3E06A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7A5601CB-8832-D718-C4A3-EA3538FF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0D27D24-F71D-08E7-7786-5CA3E2A4C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24606B4-77B1-B51A-6CAB-86E34A3AE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A3FE4DA-AF97-3957-F7AE-8A5A41FD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528FB43-1801-1361-0C14-FF2FFB7D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ACC6AB0D-0E57-BB95-0538-A4266940C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7C5D9509-13FE-01E5-C2BA-D1078CEAF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3AF03EC1-BA90-5C15-651B-F06E7BC50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5F11BC1-4D64-DC93-EC70-E8CF4AE5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7750C49-1F17-B0B1-738C-2B24CC91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86FC4049-1267-AFDD-FBA7-BFA0CF241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881" name="Day_1">
          <a:extLst>
            <a:ext uri="{FF2B5EF4-FFF2-40B4-BE49-F238E27FC236}">
              <a16:creationId xmlns:a16="http://schemas.microsoft.com/office/drawing/2014/main" id="{AE15FFF4-930F-3CFC-744B-287F17764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882" name="Day_2">
          <a:extLst>
            <a:ext uri="{FF2B5EF4-FFF2-40B4-BE49-F238E27FC236}">
              <a16:creationId xmlns:a16="http://schemas.microsoft.com/office/drawing/2014/main" id="{C9297386-3193-162E-2167-586AD589D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883" name="Day_3">
          <a:extLst>
            <a:ext uri="{FF2B5EF4-FFF2-40B4-BE49-F238E27FC236}">
              <a16:creationId xmlns:a16="http://schemas.microsoft.com/office/drawing/2014/main" id="{7E9CF372-D8E3-58CA-BF76-1EE7BCB81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884" name="Day_4">
          <a:extLst>
            <a:ext uri="{FF2B5EF4-FFF2-40B4-BE49-F238E27FC236}">
              <a16:creationId xmlns:a16="http://schemas.microsoft.com/office/drawing/2014/main" id="{46FD1FE6-60CC-C0C2-807E-FBB4B0803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885" name="Day_5">
          <a:extLst>
            <a:ext uri="{FF2B5EF4-FFF2-40B4-BE49-F238E27FC236}">
              <a16:creationId xmlns:a16="http://schemas.microsoft.com/office/drawing/2014/main" id="{2F36CC5E-B759-EA04-BB1E-1147A5E62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886" name="Day_6">
          <a:extLst>
            <a:ext uri="{FF2B5EF4-FFF2-40B4-BE49-F238E27FC236}">
              <a16:creationId xmlns:a16="http://schemas.microsoft.com/office/drawing/2014/main" id="{730EADEB-5795-3470-8B2F-5A167ABF6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97CCAAC-4F76-58A2-5C08-FEEFF932D6A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0BCAD36C-1ABC-06BA-C464-A5B33430847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91A4B6CA-58A8-3AA3-9254-335872C95D4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9BB9B95-BD2B-BC3F-12FF-8DFAD5D26DCD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835A2AB3-D1BC-6784-0688-EC35FEF1C726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CC941154-ED64-52EF-82D1-E97130642D8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6FE7EBC-57EF-15D0-68CC-48AFF255E0A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A7B84794-E646-C906-945D-7057AEC892C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D1FCF43D-BA6C-8569-5A44-973208642784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67FCEEE-8A3F-7519-E883-BCE98AD3CE8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B301E2B-738D-BD2D-AC7B-020E5B5E5CD0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49D5A67-934F-7C3D-30B7-24012ED4371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5EB04FFF-DFB7-7DAE-9EB7-A98C75BD537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C923FF4D-50F8-A976-6891-849256B0018A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8F9F904-FA77-DD62-F627-90AF892F1DE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8A094D0-0839-B8DD-4881-8FEF555E4D83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28763F8-9888-D923-45D6-873B981483B9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BC822CE0-AA42-7B4B-FD97-9E0DC59BBC4B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25FEE108-B7D8-80B8-E1FE-CB12AFF0C87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5FD9D680-3B7C-C414-71DF-591C0FA6545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1E4EC6A-C622-1DA3-411B-2F22E1C4A0FD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9DAA46FC-7167-54D1-6176-EE115195EEF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38D9246-1923-FAF1-407E-2F721CA3B832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5F0D55DF-0738-5CFE-5CF4-FE387F37CD2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F3996473-D5A4-96CE-9F32-2E205C32973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36C63D9-C08F-7415-C7E1-30E685788F7E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B6A899E3-872D-EC2A-0B25-571060D1725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8BCD196-20C6-2CB9-A936-DD84D043FDE9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6D92BED4-DB7F-4C12-EF85-7D21CFFC7B93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5EB500AC-03C1-8D7C-72E7-B1D07D4F9DB9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8FB522E3-CA8D-7711-3F38-7610C2FE2DE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B293A2F-2BB7-A0CF-B7B2-1DB3688DD4D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8F69908-8A31-763F-070A-51645A73AC1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A16BA70-38D8-C301-90FC-BF5C23AAE00E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791A0F6-BB11-08F1-8C34-511535E7E1B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5D2E7F6B-DA1F-832D-A539-63A84E2F702A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BE8C019A-F2EC-8D7D-E74F-FA6AD0615C8F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41DF3C94-2B08-7D98-472A-3BA137C0D5EB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2F16532F-9AA5-63C4-845D-2EB1F0C93A1A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C5012DA-93EF-2D27-D82F-E24A7E219BF1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7A6B10A1-C780-6837-6320-F41A6B61057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4A359553-838F-FEB9-1F14-C04C5FE7D4A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489352F-BE31-EE19-03B0-A673F8DAB7BC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A31177D-1F50-5A9D-25E1-A36C9C1D400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1EB19765-4614-C2AE-30DF-99CB099FCE0A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6E00F1D7-D570-C2DC-C34F-A4BC5A206982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5D12016-A9A3-559D-0DAE-CEAAC8B55592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434A841-1F18-BB8D-88F2-E714C9FD7C25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89663064-A34E-0A6A-A422-DB97D3F89AAB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AFB28D36-C286-F6ED-3ED6-FD494FAE969B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879E7F3D-FE98-F0FD-3F54-07B2FD2E2960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3161A56-4C1D-80A3-D38C-0593CB7EDB47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847BB5EA-C649-0797-7929-248F27AF2C6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76A7FDA-6AA0-2AED-41AA-E11068CF209C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8B0ADD7A-DC1D-E00F-9E81-32207645BF5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EAD4B42B-FA09-F0D6-319E-D64DCB1E6E3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78A4422-8A80-7B6C-4F6B-3BCFE740994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DD866023-0842-BA3E-3BBB-14F32876287C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DD531091-A306-8286-C462-8D114A87C6D1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A3AB6BE1-73A5-F504-4DD5-4E5CA0639DC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9EEC4E2F-7318-1D9E-6CDD-6A167A751192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FEFEC0A-2030-A026-C9A5-C6250D8DAAB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3A4D74EA-D20F-E504-8C8E-4BFFF52CE86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8D32D52-E45C-4DF9-F016-B82C34106A6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9F24518-017B-486B-F58A-86C46C5F2AC4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2A29C17E-8A2A-67BA-4667-AA3E171C3ED1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4F88D133-6FD5-789A-5AA6-6F34D7C49999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C71A7F5-D7EA-93C2-827D-0C0D192264F7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1A1C996E-D5C9-25F9-9F34-1360F02F9A0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230A220-7770-5BCC-6D56-098C46EDB77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42548B8-A993-2CE5-1BCF-0C8984C00F22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C0F05E45-14FF-6922-20FB-7B8FE487790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D42ABD24-4958-09C6-B649-A86C0ED4E50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CBC9FD94-627A-3A1B-8FC5-11B477279F9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F41C9D52-438D-54CF-8963-36702D79B12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83CBC33-8867-460F-4AE2-CEFCCE26F0D6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29B1542-1C2F-A573-AC51-FC403CC6740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F7BC622-98E6-AB9D-B7D6-DD3381E2EBFC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3DC54EE9-D2B4-1D82-1DE7-0FFF3F35282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F65619FB-ED1F-8C52-092D-8C00C715A195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3E1F6D1E-8E06-F342-CDDD-1280FA9B9AAE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4D19B749-1353-9D2E-9D83-A68318183623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2EBC525-5DCC-1AD7-5C51-86E27C820145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8F5612DF-ADAF-B1E8-4E0D-14CEECFDA0EF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DC1EF98-2B3D-74BD-6709-FC74F1428FB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FFEC20F0-3626-52E3-65D3-1F194C258C0C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EC5C29D-5A01-918D-3251-B65A3367827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40F882B-2617-9120-C72B-1594E6208452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FE88F327-0CA0-5D08-2C31-5437E5A6FCC4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DCCA1289-607E-0AB9-A342-ED80FF67A01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7C65A69-610A-9AC9-51E0-2F57779B9988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EE9FF2B2-9D7A-ECCC-3209-962301ADB61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0696E32-1693-1EAE-2C14-16D36FB44060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39CBCF7-EA12-99BA-FAAE-E74926D68272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D53A13C-EFF5-3FF7-3E58-38DFF160315E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799CD73-1D40-9654-FC1C-22015FEA086A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2CDFEE0-75FF-A4FC-BE5E-1BF6616ACD82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798F78EF-6D92-B8CF-670E-3F41BC4B383A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89F65507-3968-A7FA-707A-B857A92225B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CD99677A-CFCF-9BB2-A74E-B2734D00F62B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94465E9C-79E4-07C0-89B2-55D0EF69932E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7B34A6F-DD95-CE39-65B6-EE1FCB736D5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CBEF30D2-D97B-5ED7-EE0F-7804B18DEB5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01F5007-93A0-55FE-E07C-48B5EDCCBAD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F313652-74F4-A398-2091-BF010D1E9D19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B22D455-5903-E646-62D1-FBBB932E8535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D8EF674B-6DFE-F5AE-5EF7-987B879F0CEF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F9A93A0-8D56-BB63-583D-0F431F4A59C7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3147F95-9788-E4A5-4221-56173378E335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556A2C7-C221-ED7E-F0F2-213B2415404B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F0EA3E47-AB75-30D6-7B13-43108DC7F8D3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52374D6E-4A36-607D-8B50-E2CACD4FBC3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368F2F20-2D17-D9DB-1066-80DFE3D1C24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7A28BD1F-5D88-8CC5-5033-B54DB18F6B1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592553E-B0B8-C856-ED31-21CBC1C2C7E3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F9AF7D11-2B00-7296-4EA7-9582E29FF6D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72C012E9-3C25-9887-2AFE-1B07B977E2B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FF1C9B8-6230-2353-FA69-A5D434DD8BF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A6B259AD-4752-53F6-4FBF-095B687EEE1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2953281-E549-4483-DAC9-9383A719F8D0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1D2ACD9-9B68-E023-3877-2767C9C6E36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99B7F3F-7067-B83F-0643-963DA78769F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88B727CD-904C-5D91-DFB6-68C43281DEB9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33649AD-5C5B-6FE7-0934-0A9FB467EA8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B926405-4BEB-8415-3F7A-43653EC90C99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5D8DB257-371E-F021-140F-D71BC7D49D7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AFD362F-3872-3993-2B4E-D5C5D9F1166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D0B947E4-3717-455D-8319-53077B68414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77339113-5EAF-8C62-96C1-EF4C6781D47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94F6558-E2A7-DB10-CF19-B314F2C80CC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700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718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700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631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631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784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628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628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631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631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650</v>
      </c>
      <c r="B1" s="836"/>
      <c r="C1" s="836"/>
      <c r="D1" s="836"/>
      <c r="E1" s="836"/>
      <c r="F1" s="836"/>
      <c r="G1" s="836" t="s">
        <v>135</v>
      </c>
      <c r="H1" s="879" t="str">
        <f>D3</f>
        <v>SUN</v>
      </c>
      <c r="I1" s="880">
        <f>D4</f>
        <v>37017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SUN</v>
      </c>
      <c r="E3" s="843" t="str">
        <f t="shared" si="0"/>
        <v>MON</v>
      </c>
      <c r="F3" s="843" t="str">
        <f t="shared" si="0"/>
        <v>TUE</v>
      </c>
      <c r="G3" s="843" t="str">
        <f t="shared" si="0"/>
        <v>WED</v>
      </c>
      <c r="H3" s="843" t="str">
        <f t="shared" si="0"/>
        <v>THU</v>
      </c>
      <c r="I3" s="844" t="str">
        <f t="shared" si="0"/>
        <v>FRI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37017</v>
      </c>
      <c r="E4" s="847">
        <f>Weather_Input!A6</f>
        <v>37018</v>
      </c>
      <c r="F4" s="847">
        <f>Weather_Input!A7</f>
        <v>37019</v>
      </c>
      <c r="G4" s="847">
        <f>Weather_Input!A8</f>
        <v>37020</v>
      </c>
      <c r="H4" s="847">
        <f>Weather_Input!A9</f>
        <v>37021</v>
      </c>
      <c r="I4" s="848">
        <f>Weather_Input!A10</f>
        <v>37022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75/62/69</v>
      </c>
      <c r="E5" s="881" t="str">
        <f>TEXT(Weather_Input!B6,"0")&amp;"/"&amp;TEXT(Weather_Input!C6,"0") &amp; "/" &amp; TEXT((Weather_Input!B6+Weather_Input!C6)/2,"0")</f>
        <v>72/51/62</v>
      </c>
      <c r="F5" s="881" t="str">
        <f>TEXT(Weather_Input!B7,"0")&amp;"/"&amp;TEXT(Weather_Input!C7,"0") &amp; "/" &amp; TEXT((Weather_Input!B7+Weather_Input!C7)/2,"0")</f>
        <v>65/45/55</v>
      </c>
      <c r="G5" s="881" t="str">
        <f>TEXT(Weather_Input!B8,"0")&amp;"/"&amp;TEXT(Weather_Input!C8,"0") &amp; "/" &amp; TEXT((Weather_Input!B8+Weather_Input!C8)/2,"0")</f>
        <v>62/49/56</v>
      </c>
      <c r="H5" s="881" t="str">
        <f>TEXT(Weather_Input!B9,"0")&amp;"/"&amp;TEXT(Weather_Input!C9,"0") &amp; "/" &amp; TEXT((Weather_Input!B9+Weather_Input!C9)/2,"0")</f>
        <v>69/54/62</v>
      </c>
      <c r="I5" s="882" t="str">
        <f>TEXT(Weather_Input!B10,"0")&amp;"/"&amp;TEXT(Weather_Input!C10,"0") &amp; "/" &amp; TEXT((Weather_Input!B10+Weather_Input!C10)/2,"0")</f>
        <v>69/54/62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44</v>
      </c>
      <c r="E6" s="850">
        <f ca="1">VLOOKUP(E4,NSG_Sendouts,CELL("Col",NSG_Deliveries!C6),FALSE)/1000</f>
        <v>48</v>
      </c>
      <c r="F6" s="850">
        <f ca="1">VLOOKUP(F4,NSG_Sendouts,CELL("Col",NSG_Deliveries!C7),FALSE)/1000</f>
        <v>55</v>
      </c>
      <c r="G6" s="850">
        <f ca="1">VLOOKUP(G4,NSG_Sendouts,CELL("Col",NSG_Deliveries!C8),FALSE)/1000</f>
        <v>54</v>
      </c>
      <c r="H6" s="850">
        <f ca="1">VLOOKUP(H4,NSG_Sendouts,CELL("Col",NSG_Deliveries!C9),FALSE)/1000</f>
        <v>48</v>
      </c>
      <c r="I6" s="855">
        <f ca="1">VLOOKUP(I4,NSG_Sendouts,CELL("Col",NSG_Deliveries!C10),FALSE)/1000</f>
        <v>45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416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416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401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64</v>
      </c>
      <c r="E19" s="859">
        <f t="shared" ca="1" si="1"/>
        <v>68</v>
      </c>
      <c r="F19" s="859">
        <f t="shared" ca="1" si="1"/>
        <v>75</v>
      </c>
      <c r="G19" s="859">
        <f t="shared" ca="1" si="1"/>
        <v>74</v>
      </c>
      <c r="H19" s="859">
        <f t="shared" ca="1" si="1"/>
        <v>68</v>
      </c>
      <c r="I19" s="860">
        <f t="shared" ca="1" si="1"/>
        <v>65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774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12.46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775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416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776</v>
      </c>
      <c r="D32" s="850">
        <f>NSG_Supplies!R7/1000</f>
        <v>31.536000000000001</v>
      </c>
      <c r="E32" s="850">
        <f>NSG_Supplies!R8/1000</f>
        <v>31.536000000000001</v>
      </c>
      <c r="F32" s="850">
        <f>NSG_Supplies!R9/1000</f>
        <v>31.536000000000001</v>
      </c>
      <c r="G32" s="850">
        <f>NSG_Supplies!R10/1000</f>
        <v>31.536000000000001</v>
      </c>
      <c r="H32" s="850">
        <f>NSG_Supplies!R11/1000</f>
        <v>31.536000000000001</v>
      </c>
      <c r="I32" s="851">
        <f>NSG_Supplies!R12/1000</f>
        <v>31.536000000000001</v>
      </c>
      <c r="J32" s="112"/>
    </row>
    <row r="33" spans="1:13" ht="20.100000000000001" customHeight="1">
      <c r="A33" s="849"/>
      <c r="B33" s="840" t="s">
        <v>143</v>
      </c>
      <c r="C33" s="840" t="s">
        <v>639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416</v>
      </c>
      <c r="C35" s="854" t="s">
        <v>524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401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63.996000000000002</v>
      </c>
      <c r="E37" s="890">
        <f t="shared" si="2"/>
        <v>51.536000000000001</v>
      </c>
      <c r="F37" s="890">
        <f t="shared" si="2"/>
        <v>51.536000000000001</v>
      </c>
      <c r="G37" s="890">
        <f t="shared" si="2"/>
        <v>51.536000000000001</v>
      </c>
      <c r="H37" s="890">
        <f t="shared" si="2"/>
        <v>51.536000000000001</v>
      </c>
      <c r="I37" s="891">
        <f t="shared" si="2"/>
        <v>51.536000000000001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0</v>
      </c>
      <c r="F38" s="894">
        <f t="shared" ca="1" si="3"/>
        <v>0</v>
      </c>
      <c r="G38" s="894">
        <f t="shared" ca="1" si="3"/>
        <v>0</v>
      </c>
      <c r="H38" s="894">
        <f t="shared" ca="1" si="3"/>
        <v>0</v>
      </c>
      <c r="I38" s="895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3.9999999999977831E-3</v>
      </c>
      <c r="E39" s="876">
        <f t="shared" ca="1" si="4"/>
        <v>16.463999999999999</v>
      </c>
      <c r="F39" s="876">
        <f t="shared" ca="1" si="4"/>
        <v>23.463999999999999</v>
      </c>
      <c r="G39" s="876">
        <f t="shared" ca="1" si="4"/>
        <v>22.463999999999999</v>
      </c>
      <c r="H39" s="876">
        <f t="shared" ca="1" si="4"/>
        <v>16.463999999999999</v>
      </c>
      <c r="I39" s="877">
        <f t="shared" ca="1" si="4"/>
        <v>13.463999999999999</v>
      </c>
      <c r="J39" s="112"/>
      <c r="K39" s="113"/>
      <c r="L39" s="113"/>
      <c r="M39" s="113"/>
    </row>
    <row r="40" spans="1:13" ht="20.100000000000001" customHeight="1" thickTop="1" thickBot="1">
      <c r="A40" s="1171" t="s">
        <v>777</v>
      </c>
      <c r="B40" s="1172"/>
      <c r="C40" s="1172"/>
      <c r="D40" s="1173">
        <f>NSG_Supplies!S7/1000</f>
        <v>20.591000000000001</v>
      </c>
      <c r="E40" s="1173">
        <f>NSG_Supplies!S8/1000</f>
        <v>20.591000000000001</v>
      </c>
      <c r="F40" s="1173">
        <f>NSG_Supplies!S9/1000</f>
        <v>20.591000000000001</v>
      </c>
      <c r="G40" s="1173">
        <f>NSG_Supplies!S10/1000</f>
        <v>20.591000000000001</v>
      </c>
      <c r="H40" s="1173">
        <f>NSG_Supplies!S11/1000</f>
        <v>20.591000000000001</v>
      </c>
      <c r="I40" s="1174">
        <f>NSG_Supplies!S12/1000</f>
        <v>20.591000000000001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14</v>
      </c>
      <c r="E42" s="901">
        <f>Weather_Input!D6</f>
        <v>10</v>
      </c>
      <c r="F42" s="901">
        <f>Weather_Input!D7</f>
        <v>10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2" zoomScale="75" workbookViewId="0">
      <selection activeCell="I62" sqref="I62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37017</v>
      </c>
      <c r="G1" s="770" t="str">
        <f>CHOOSE(WEEKDAY(F1),"SUN","MON","TUE","WED","THU","FRI","SAT")</f>
        <v>SUN</v>
      </c>
      <c r="H1" s="592" t="s">
        <v>258</v>
      </c>
      <c r="I1" s="593"/>
    </row>
    <row r="2" spans="1:9" ht="15.75">
      <c r="A2" s="258" t="s">
        <v>11</v>
      </c>
      <c r="B2" s="609" t="s">
        <v>690</v>
      </c>
      <c r="C2" s="962"/>
      <c r="D2" s="601" t="s">
        <v>556</v>
      </c>
      <c r="E2" s="608"/>
      <c r="F2" s="606" t="s">
        <v>557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75</v>
      </c>
      <c r="C4" s="964">
        <f>Weather_Input!C5</f>
        <v>62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629</v>
      </c>
      <c r="B5" s="965"/>
      <c r="C5" s="966">
        <f>PGL_Requirements!H7/1000</f>
        <v>24.83</v>
      </c>
      <c r="D5" s="620"/>
      <c r="E5" s="302"/>
      <c r="F5" s="620"/>
      <c r="G5" s="607"/>
      <c r="H5" s="302"/>
      <c r="I5" s="296"/>
    </row>
    <row r="6" spans="1:9" ht="15.75">
      <c r="A6" s="262" t="s">
        <v>419</v>
      </c>
      <c r="B6" s="1163" t="s">
        <v>11</v>
      </c>
      <c r="C6" s="967">
        <f>PGL_Deliveries!C5/1000</f>
        <v>230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771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560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745</v>
      </c>
      <c r="B10" s="1115"/>
      <c r="C10" s="1132">
        <f>+B34</f>
        <v>169.41499999999999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561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562</v>
      </c>
      <c r="B12" s="282" t="s">
        <v>11</v>
      </c>
      <c r="C12" s="614">
        <f>B55</f>
        <v>-189.63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563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564</v>
      </c>
      <c r="B14" s="286" t="s">
        <v>11</v>
      </c>
      <c r="C14" s="614">
        <f>I60</f>
        <v>184.24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8">
        <f>PGL_Supplies!I7/1000</f>
        <v>15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565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566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567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699</v>
      </c>
      <c r="B19" s="617" t="s">
        <v>11</v>
      </c>
      <c r="C19" s="511">
        <f>SUM(C9:C17)-C18</f>
        <v>179.02500000000001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644</v>
      </c>
      <c r="H20" s="507"/>
      <c r="I20" s="970"/>
    </row>
    <row r="21" spans="1:12">
      <c r="A21" s="493" t="s">
        <v>630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50.974999999999994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427</v>
      </c>
      <c r="B24" s="973" t="s">
        <v>11</v>
      </c>
      <c r="C24" s="974">
        <f>SUM(B54+B56+B57)</f>
        <v>2.85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428</v>
      </c>
      <c r="B25" s="978" t="s">
        <v>11</v>
      </c>
      <c r="C25" s="979">
        <f>SUM(C22:C24)</f>
        <v>53.824999999999996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736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436</v>
      </c>
      <c r="B27" s="988"/>
      <c r="C27" s="989">
        <f>PGL_Requirements!O7/1000</f>
        <v>6.24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437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-60.064</v>
      </c>
      <c r="D29" s="986" t="s">
        <v>11</v>
      </c>
      <c r="E29" s="985">
        <f>-PGL_Supplies!AC7/1000</f>
        <v>-60.064</v>
      </c>
      <c r="F29" s="307"/>
      <c r="G29" s="985">
        <f>-PGL_Supplies!AC7/1000</f>
        <v>-60.064</v>
      </c>
      <c r="H29" s="514"/>
      <c r="I29" s="987">
        <f>-PGL_Supplies!AC7/1000</f>
        <v>-60.064</v>
      </c>
      <c r="L29" s="1102"/>
    </row>
    <row r="30" spans="1:12" ht="16.5" thickBot="1">
      <c r="A30" s="326" t="s">
        <v>11</v>
      </c>
      <c r="B30" s="487" t="s">
        <v>11</v>
      </c>
      <c r="C30" s="1186" t="s">
        <v>745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749</v>
      </c>
      <c r="B31" s="324">
        <f>PGL_Requirements!J7/1000</f>
        <v>3.1</v>
      </c>
      <c r="C31" s="8"/>
      <c r="D31" s="613"/>
      <c r="E31" s="8"/>
      <c r="F31" s="332" t="s">
        <v>460</v>
      </c>
      <c r="G31" s="544"/>
      <c r="H31" s="523"/>
      <c r="I31" s="336"/>
      <c r="L31" s="1102"/>
    </row>
    <row r="32" spans="1:12">
      <c r="A32" s="425" t="s">
        <v>750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172.51499999999999</v>
      </c>
      <c r="C33" s="1120" t="s">
        <v>11</v>
      </c>
      <c r="D33" s="349"/>
      <c r="E33" s="554"/>
      <c r="F33" s="425" t="s">
        <v>462</v>
      </c>
      <c r="G33" s="544"/>
      <c r="H33" s="317"/>
      <c r="I33" s="336"/>
      <c r="L33" s="1102"/>
    </row>
    <row r="34" spans="1:12" ht="16.5" thickBot="1">
      <c r="A34" s="559" t="s">
        <v>443</v>
      </c>
      <c r="B34" s="1124">
        <f>+B33+B32-B31</f>
        <v>169.41499999999999</v>
      </c>
      <c r="C34" s="1125" t="s">
        <v>11</v>
      </c>
      <c r="D34" s="531"/>
      <c r="E34" s="521"/>
      <c r="F34" s="425" t="s">
        <v>463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464</v>
      </c>
      <c r="G35" s="544"/>
      <c r="H35" s="317"/>
      <c r="I35" s="994" t="s">
        <v>691</v>
      </c>
      <c r="L35" s="1102"/>
    </row>
    <row r="36" spans="1:12">
      <c r="A36" s="425" t="s">
        <v>632</v>
      </c>
      <c r="B36" s="324">
        <f>PGL_Requirements!U7/1000</f>
        <v>40.200000000000003</v>
      </c>
      <c r="C36" s="594"/>
      <c r="D36" s="313"/>
      <c r="E36" s="333"/>
      <c r="F36" s="370" t="s">
        <v>465</v>
      </c>
      <c r="G36" s="544"/>
      <c r="H36" s="317"/>
      <c r="I36" s="995"/>
      <c r="L36" s="1102"/>
    </row>
    <row r="37" spans="1:12">
      <c r="A37" s="425" t="s">
        <v>715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2"/>
    </row>
    <row r="38" spans="1:12">
      <c r="A38" s="425" t="s">
        <v>441</v>
      </c>
      <c r="B38" s="324">
        <f>PGL_Requirements!C7/1000</f>
        <v>0</v>
      </c>
      <c r="C38" s="1115"/>
      <c r="D38" s="1116"/>
      <c r="E38" s="1011"/>
      <c r="F38" s="425" t="s">
        <v>467</v>
      </c>
      <c r="G38" s="544"/>
      <c r="H38" s="317"/>
      <c r="I38" s="336"/>
      <c r="L38" s="1102"/>
    </row>
    <row r="39" spans="1:12">
      <c r="A39" s="425" t="s">
        <v>442</v>
      </c>
      <c r="B39" s="324">
        <f>PGL_Supplies!C7/1000</f>
        <v>0</v>
      </c>
      <c r="C39" s="1115"/>
      <c r="D39" s="1116"/>
      <c r="E39" s="813"/>
      <c r="F39" s="996" t="s">
        <v>468</v>
      </c>
      <c r="G39" s="122"/>
      <c r="H39" s="549"/>
      <c r="I39" s="336"/>
      <c r="L39" s="1102"/>
    </row>
    <row r="40" spans="1:12" ht="15.75" thickBot="1">
      <c r="A40" s="638" t="s">
        <v>697</v>
      </c>
      <c r="B40" s="324">
        <f>PGL_Supplies!Z7/1000</f>
        <v>40.200000000000003</v>
      </c>
      <c r="C40" s="122"/>
      <c r="D40" s="1114"/>
      <c r="E40" s="122"/>
      <c r="F40" s="547" t="s">
        <v>469</v>
      </c>
      <c r="G40" s="544"/>
      <c r="H40" s="350"/>
      <c r="I40" s="336"/>
      <c r="L40" s="594"/>
    </row>
    <row r="41" spans="1:12" ht="16.5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0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75" thickBot="1">
      <c r="A45" s="425" t="s">
        <v>446</v>
      </c>
      <c r="B45" s="999">
        <f>PGL_Requirements!D7/1000</f>
        <v>0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5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443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474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190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75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75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3" t="s">
        <v>11</v>
      </c>
    </row>
    <row r="52" spans="1:9" ht="16.5" thickBot="1">
      <c r="A52" s="425" t="s">
        <v>450</v>
      </c>
      <c r="B52" s="324">
        <f>PGL_Supplies!H7/1000</f>
        <v>1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741</v>
      </c>
      <c r="B53" s="324">
        <f>PGL_Requirements!R7/1000</f>
        <v>0.63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742</v>
      </c>
      <c r="B54" s="324">
        <f>PGL_Requirements!Q7/1000</f>
        <v>2.85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5" thickBot="1">
      <c r="A55" s="518" t="s">
        <v>452</v>
      </c>
      <c r="B55" s="519">
        <f>-B49+B50+B52+B56+B57-B53-B51</f>
        <v>-189.63</v>
      </c>
      <c r="C55" s="520"/>
      <c r="D55" s="520"/>
      <c r="E55" s="521"/>
      <c r="F55" s="547" t="s">
        <v>480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6">
        <f>PGL_Supplies!E7/1000</f>
        <v>2.8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183.85499999999999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624</v>
      </c>
      <c r="G58" s="122"/>
      <c r="H58" s="1006">
        <f>PGL_Supplies!T7/1000*0.5</f>
        <v>10</v>
      </c>
      <c r="I58" s="1011"/>
    </row>
    <row r="59" spans="1:9" ht="15.75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623</v>
      </c>
      <c r="G59" s="122"/>
      <c r="H59" s="1012"/>
      <c r="I59" s="1013">
        <f>PGL_Requirements!H7/1000*0.5</f>
        <v>12.414999999999999</v>
      </c>
    </row>
    <row r="60" spans="1:9" ht="16.5" thickBot="1">
      <c r="A60" s="425" t="s">
        <v>455</v>
      </c>
      <c r="B60" s="388">
        <f>PGL_Requirements!F7/1000</f>
        <v>0</v>
      </c>
      <c r="C60" s="381" t="s">
        <v>11</v>
      </c>
      <c r="D60" s="313"/>
      <c r="E60" s="382"/>
      <c r="F60" s="551" t="s">
        <v>692</v>
      </c>
      <c r="G60" s="430"/>
      <c r="H60" s="430"/>
      <c r="I60" s="1083">
        <f>SUM(H55:H59)-SUM(I55:I59)</f>
        <v>184.24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4" t="s">
        <v>693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694</v>
      </c>
      <c r="G62" s="594"/>
      <c r="H62" s="1087" t="s">
        <v>11</v>
      </c>
      <c r="I62" s="1085">
        <f>H57+H58-I59-I61</f>
        <v>181.44</v>
      </c>
    </row>
    <row r="63" spans="1:9" ht="16.5" thickBot="1">
      <c r="A63" s="799" t="s">
        <v>559</v>
      </c>
      <c r="B63" s="1019">
        <f>+B62+B61-B60+B59</f>
        <v>0</v>
      </c>
      <c r="C63" s="1000" t="s">
        <v>11</v>
      </c>
      <c r="D63" s="531"/>
      <c r="E63" s="521"/>
      <c r="F63" s="1018" t="s">
        <v>779</v>
      </c>
      <c r="G63" s="225"/>
      <c r="H63" s="1115"/>
      <c r="I63" s="1182">
        <f>I59</f>
        <v>12.414999999999999</v>
      </c>
    </row>
    <row r="64" spans="1:9" ht="15.75">
      <c r="A64" s="542" t="s">
        <v>732</v>
      </c>
      <c r="B64" s="1026"/>
      <c r="C64" s="1036" t="s">
        <v>11</v>
      </c>
      <c r="D64" s="1036" t="s">
        <v>11</v>
      </c>
      <c r="E64" s="1037" t="s">
        <v>11</v>
      </c>
      <c r="F64" s="1185" t="s">
        <v>781</v>
      </c>
      <c r="G64" s="434"/>
      <c r="H64" s="1116"/>
      <c r="I64" s="1182">
        <f>PGL_Requirements!H7/1000</f>
        <v>24.83</v>
      </c>
    </row>
    <row r="65" spans="1:9" ht="15.75">
      <c r="A65" s="370" t="s">
        <v>733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193.85499999999999</v>
      </c>
    </row>
    <row r="66" spans="1:9" ht="16.5" thickBot="1">
      <c r="A66" s="1188" t="s">
        <v>783</v>
      </c>
      <c r="B66" s="1027"/>
      <c r="C66" s="1038" t="s">
        <v>11</v>
      </c>
      <c r="D66" s="1038" t="s">
        <v>11</v>
      </c>
      <c r="E66" s="1039" t="s">
        <v>11</v>
      </c>
      <c r="F66" s="358" t="s">
        <v>748</v>
      </c>
      <c r="G66" s="359"/>
      <c r="H66" s="359"/>
      <c r="I66" s="360"/>
    </row>
    <row r="67" spans="1:9" ht="16.5" thickBot="1">
      <c r="A67" s="1024" t="s">
        <v>698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484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751</v>
      </c>
      <c r="B68" s="1100"/>
      <c r="C68" s="122"/>
      <c r="D68" s="1100"/>
      <c r="E68" s="122"/>
      <c r="F68" s="361" t="s">
        <v>485</v>
      </c>
      <c r="G68" s="313"/>
      <c r="H68" s="540"/>
      <c r="I68" s="1023"/>
    </row>
    <row r="69" spans="1:9" ht="16.5" thickBot="1">
      <c r="A69" s="518" t="s">
        <v>734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7" t="s">
        <v>782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486</v>
      </c>
      <c r="G70" s="120"/>
      <c r="H70" s="1022" t="s">
        <v>487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SUN</v>
      </c>
      <c r="G1" s="1082">
        <f>Weather_Input!A5</f>
        <v>37017</v>
      </c>
      <c r="H1" s="589" t="s">
        <v>258</v>
      </c>
      <c r="I1" s="593"/>
    </row>
    <row r="2" spans="1:9" ht="20.25">
      <c r="A2" s="642" t="s">
        <v>11</v>
      </c>
      <c r="B2" s="793" t="s">
        <v>555</v>
      </c>
      <c r="C2" s="953"/>
      <c r="D2" s="795" t="s">
        <v>556</v>
      </c>
      <c r="E2" s="794"/>
      <c r="F2" s="795" t="s">
        <v>557</v>
      </c>
      <c r="G2" s="794"/>
      <c r="H2" s="796" t="s">
        <v>496</v>
      </c>
      <c r="I2" s="645"/>
    </row>
    <row r="3" spans="1:9" ht="20.25">
      <c r="A3" s="1091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62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44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44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640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644</v>
      </c>
      <c r="H18" s="662"/>
      <c r="I18" s="830"/>
    </row>
    <row r="19" spans="1:9" ht="24" thickBot="1">
      <c r="A19" s="703" t="s">
        <v>428</v>
      </c>
      <c r="B19" s="704"/>
      <c r="C19" s="705">
        <f>C7+C12</f>
        <v>44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437</v>
      </c>
      <c r="B25" s="714"/>
      <c r="C25" s="711">
        <f>-NSG_Supplies!F7/1000</f>
        <v>-12.46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-31.536000000000001</v>
      </c>
      <c r="D26" s="718"/>
      <c r="E26" s="711">
        <f>-NSG_Supplies!R7/1000</f>
        <v>-31.536000000000001</v>
      </c>
      <c r="F26" s="718"/>
      <c r="G26" s="711">
        <f>-NSG_Supplies!R7/1000</f>
        <v>-31.536000000000001</v>
      </c>
      <c r="H26" s="717"/>
      <c r="I26" s="776">
        <f>-NSG_Supplies!R7/1000</f>
        <v>-31.536000000000001</v>
      </c>
    </row>
    <row r="27" spans="1:9" ht="20.25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25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645</v>
      </c>
      <c r="D39" s="723"/>
      <c r="E39" s="725"/>
      <c r="F39" s="643"/>
      <c r="G39" s="715"/>
      <c r="H39" s="715"/>
      <c r="I39" s="734"/>
    </row>
    <row r="40" spans="1:9" ht="20.25">
      <c r="A40" s="709" t="s">
        <v>506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507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508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509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510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641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505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25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515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37017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62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230</v>
      </c>
      <c r="C8" s="274">
        <f>NSG_Deliveries!C5/1000</f>
        <v>44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174.64400000000001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-17.485000000000014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-173.15899999999999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56.841000000000008</v>
      </c>
      <c r="C20" s="295">
        <f>C8+C18+C19</f>
        <v>44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2.85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59.69100000000001</v>
      </c>
      <c r="C23" s="301">
        <f>C20</f>
        <v>44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-60.064</v>
      </c>
      <c r="C32" s="315">
        <f>-NSG_Supplies!R7/1000</f>
        <v>-31.536000000000001</v>
      </c>
      <c r="D32" s="315">
        <f>B32</f>
        <v>-60.064</v>
      </c>
      <c r="E32" s="315">
        <f>C32</f>
        <v>-31.536000000000001</v>
      </c>
      <c r="F32" s="315">
        <f>B32</f>
        <v>-60.064</v>
      </c>
      <c r="G32" s="315">
        <f>C32</f>
        <v>-31.536000000000001</v>
      </c>
      <c r="H32" s="320">
        <f>B32</f>
        <v>-60.064</v>
      </c>
      <c r="I32" s="321">
        <f>C32</f>
        <v>-31.536000000000001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-20.591000000000001</v>
      </c>
      <c r="D33" s="315">
        <f>B33</f>
        <v>0</v>
      </c>
      <c r="E33" s="315">
        <f>C33</f>
        <v>-20.591000000000001</v>
      </c>
      <c r="F33" s="315">
        <f>B33</f>
        <v>0</v>
      </c>
      <c r="G33" s="315">
        <f>C33</f>
        <v>-20.591000000000001</v>
      </c>
      <c r="H33" s="320">
        <f>B33</f>
        <v>0</v>
      </c>
      <c r="I33" s="321">
        <f>C33</f>
        <v>-20.591000000000001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6.24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-12.46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190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2.85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2.85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177.744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3.1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174.64400000000001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40.200000000000003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40.200000000000003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172.51499999999999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190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-17.485000000000014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SUN</v>
      </c>
      <c r="H73" s="406">
        <f>Weather_Input!A5</f>
        <v>37017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6.240000000000002</v>
      </c>
      <c r="D97" s="602"/>
      <c r="E97" s="614">
        <f>+C97</f>
        <v>6.240000000000002</v>
      </c>
      <c r="F97" s="602"/>
      <c r="G97" s="614">
        <f>+C97</f>
        <v>6.240000000000002</v>
      </c>
      <c r="H97" s="602"/>
      <c r="I97" s="285">
        <f>+C97</f>
        <v>6.240000000000002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-2922.2559999999999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172.51499999999999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-40.200000000000003</v>
      </c>
      <c r="C116" s="419">
        <f>-NSG_Supplies!W7/1000</f>
        <v>0</v>
      </c>
      <c r="D116" s="315">
        <f>-PGL_Supplies!Z7/1000</f>
        <v>-40.200000000000003</v>
      </c>
      <c r="E116" s="315">
        <f>-NSG_Supplies!W7/1000</f>
        <v>0</v>
      </c>
      <c r="F116" s="315">
        <f>-PGL_Supplies!Z7/1000</f>
        <v>-40.200000000000003</v>
      </c>
      <c r="G116" s="315">
        <f>-NSG_Supplies!W7/1000</f>
        <v>0</v>
      </c>
      <c r="H116" s="320">
        <f>-PGL_Supplies!Z7/1000</f>
        <v>-40.200000000000003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-20.591000000000001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40.200000000000003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6.24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40.200000000000003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75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5" thickBot="1">
      <c r="A133" s="559" t="s">
        <v>443</v>
      </c>
      <c r="B133" s="566">
        <f>B126+B127+B130+B131+B132-B125-B128-B129</f>
        <v>6.240000000000002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3100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0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75" thickBot="1">
      <c r="A140" s="425" t="s">
        <v>393</v>
      </c>
      <c r="B140" s="324">
        <f>PGL_Supplies!V7/1000</f>
        <v>177.744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5" thickBot="1">
      <c r="A141" s="559" t="s">
        <v>443</v>
      </c>
      <c r="B141" s="561">
        <f>-B135+B136+B137-B138+B139+B140</f>
        <v>-2922.2559999999999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190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75" thickBot="1">
      <c r="A146" s="425" t="s">
        <v>450</v>
      </c>
      <c r="B146" s="324">
        <f>PGL_Supplies!H7/1000</f>
        <v>1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75" thickBot="1">
      <c r="A148" s="425" t="s">
        <v>451</v>
      </c>
      <c r="B148" s="324">
        <f>PGL_Requirements!Q7/1000</f>
        <v>2.85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452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75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75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393</v>
      </c>
      <c r="B160" s="611">
        <f>PGL_Supplies!Y7/1000</f>
        <v>172.51499999999999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5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5" thickBot="1">
      <c r="A162" s="399" t="s">
        <v>452</v>
      </c>
      <c r="B162" s="612">
        <f>B154+B156+B158+B159+B160-B153-B155-B157-B161</f>
        <v>172.51499999999999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37018.153027430555</v>
      </c>
      <c r="F22" s="164" t="s">
        <v>271</v>
      </c>
      <c r="G22" s="191">
        <f ca="1">NOW()</f>
        <v>37018.153027430555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75" thickBot="1"/>
    <row r="26" spans="2:9" ht="15.75" thickBot="1">
      <c r="B26" s="209" t="s">
        <v>11</v>
      </c>
      <c r="C26" s="164" t="s">
        <v>275</v>
      </c>
    </row>
    <row r="27" spans="2:9" ht="15.75" thickBot="1">
      <c r="B27" s="209" t="s">
        <v>11</v>
      </c>
      <c r="C27" s="164" t="s">
        <v>276</v>
      </c>
    </row>
    <row r="28" spans="2:9" ht="15.75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75">
      <c r="B34" s="164" t="s">
        <v>278</v>
      </c>
      <c r="E34" s="190">
        <v>0</v>
      </c>
      <c r="F34" t="s">
        <v>279</v>
      </c>
    </row>
    <row r="36" spans="2:8" ht="15.75">
      <c r="B36" s="164" t="s">
        <v>280</v>
      </c>
      <c r="E36" s="190">
        <v>0</v>
      </c>
      <c r="F36" t="s">
        <v>279</v>
      </c>
    </row>
    <row r="38" spans="2:8" ht="15.75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75">
      <c r="E39" s="166">
        <f>+E38+1</f>
        <v>35917</v>
      </c>
      <c r="F39" s="190">
        <v>0</v>
      </c>
      <c r="G39" t="s">
        <v>279</v>
      </c>
    </row>
    <row r="40" spans="2:8" ht="15.75">
      <c r="E40" s="166">
        <f>+E39+1</f>
        <v>35918</v>
      </c>
      <c r="F40" s="190">
        <v>0</v>
      </c>
      <c r="G40" t="s">
        <v>279</v>
      </c>
    </row>
    <row r="41" spans="2:8" ht="15.75">
      <c r="E41" s="166">
        <f>+E40+1</f>
        <v>35919</v>
      </c>
      <c r="F41" s="190">
        <v>0</v>
      </c>
      <c r="G41" t="s">
        <v>279</v>
      </c>
    </row>
    <row r="42" spans="2:8" ht="15.75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37017</v>
      </c>
      <c r="C5" s="15"/>
      <c r="D5" s="22" t="s">
        <v>289</v>
      </c>
      <c r="E5" s="23">
        <f>Weather_Input!B5</f>
        <v>75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-10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292</v>
      </c>
      <c r="G6" s="25">
        <f>Weather_Input!F5</f>
        <v>17</v>
      </c>
      <c r="H6" s="26" t="s">
        <v>293</v>
      </c>
      <c r="I6" s="27">
        <f ca="1">G6-(VLOOKUP(B5,DD_Normal_Data,CELL("Col",C7),FALSE))</f>
        <v>-47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68.5</v>
      </c>
      <c r="F7" s="24" t="s">
        <v>295</v>
      </c>
      <c r="G7" s="25">
        <f>Weather_Input!G5</f>
        <v>6424</v>
      </c>
      <c r="H7" s="26" t="s">
        <v>295</v>
      </c>
      <c r="I7" s="123">
        <f ca="1">G7-(VLOOKUP(B5,DD_Normal_Data,CELL("Col",D4),FALSE))</f>
        <v>209</v>
      </c>
      <c r="J7" s="123"/>
    </row>
    <row r="8" spans="1:109" ht="15">
      <c r="A8" s="18"/>
      <c r="B8" s="20"/>
      <c r="C8" s="15"/>
      <c r="D8" s="32" t="str">
        <f>IF(Weather_Input!I5=""," ",Weather_Input!I5)</f>
        <v>PARTLY CLOUDY. A CHANCE OF RAIN AND T'STORMS DURING THE NIGHT.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37018</v>
      </c>
      <c r="C10" s="15"/>
      <c r="D10" s="153" t="s">
        <v>289</v>
      </c>
      <c r="E10" s="23">
        <f>Weather_Input!B6</f>
        <v>72</v>
      </c>
      <c r="F10" s="24" t="s">
        <v>290</v>
      </c>
      <c r="G10" s="25">
        <f>IF(E12&lt;65,65-(Weather_Input!B6+Weather_Input!C6)/2,0)</f>
        <v>3.5</v>
      </c>
      <c r="H10" s="26" t="s">
        <v>291</v>
      </c>
      <c r="I10" s="27">
        <f ca="1">G10-(VLOOKUP(B10,DD_Normal_Data,CELL("Col",B11),FALSE))</f>
        <v>-5.5</v>
      </c>
    </row>
    <row r="11" spans="1:109" ht="15">
      <c r="A11" s="18"/>
      <c r="B11" s="21"/>
      <c r="C11" s="15"/>
      <c r="D11" s="22" t="s">
        <v>176</v>
      </c>
      <c r="E11" s="23">
        <f>Weather_Input!C6</f>
        <v>51</v>
      </c>
      <c r="F11" s="24" t="s">
        <v>292</v>
      </c>
      <c r="G11" s="25">
        <f>IF(DAY(B10)=1,G10,G6+G10)</f>
        <v>20.5</v>
      </c>
      <c r="H11" s="30" t="s">
        <v>293</v>
      </c>
      <c r="I11" s="27">
        <f ca="1">G11-(VLOOKUP(B10,DD_Normal_Data,CELL("Col",C12),FALSE))</f>
        <v>-52.5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61.5</v>
      </c>
      <c r="F12" s="24" t="s">
        <v>295</v>
      </c>
      <c r="G12" s="25">
        <f>IF(AND(DAY(B10)=1,MONTH(B10)=8),G10,G7+G10)</f>
        <v>6427.5</v>
      </c>
      <c r="H12" s="26" t="s">
        <v>295</v>
      </c>
      <c r="I12" s="27">
        <f ca="1">G12-(VLOOKUP(B10,DD_Normal_Data,CELL("Col",D9),FALSE))</f>
        <v>203.5</v>
      </c>
    </row>
    <row r="13" spans="1:109" ht="15">
      <c r="A13" s="18"/>
      <c r="B13" s="21"/>
      <c r="C13" s="15"/>
      <c r="D13" s="32" t="str">
        <f>IF(Weather_Input!I6=""," ",Weather_Input!I6)</f>
        <v>A CHANCE OF SHOWERS AND T'STORMS.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37019</v>
      </c>
      <c r="C15" s="15"/>
      <c r="D15" s="22" t="s">
        <v>289</v>
      </c>
      <c r="E15" s="23">
        <f>Weather_Input!B7</f>
        <v>65</v>
      </c>
      <c r="F15" s="24" t="s">
        <v>290</v>
      </c>
      <c r="G15" s="25">
        <f>IF(E17&lt;65,65-(Weather_Input!B7+Weather_Input!C7)/2,0)</f>
        <v>10</v>
      </c>
      <c r="H15" s="26" t="s">
        <v>291</v>
      </c>
      <c r="I15" s="27">
        <f ca="1">G15-(VLOOKUP(B15,DD_Normal_Data,CELL("Col",B16),FALSE))</f>
        <v>1</v>
      </c>
    </row>
    <row r="16" spans="1:109" ht="15">
      <c r="A16" s="18"/>
      <c r="B16" s="20"/>
      <c r="C16" s="15"/>
      <c r="D16" s="22" t="s">
        <v>176</v>
      </c>
      <c r="E16" s="23">
        <f>Weather_Input!C7</f>
        <v>45</v>
      </c>
      <c r="F16" s="24" t="s">
        <v>292</v>
      </c>
      <c r="G16" s="25">
        <f>IF(DAY(B15)=1,G15,G11+G15)</f>
        <v>30.5</v>
      </c>
      <c r="H16" s="30" t="s">
        <v>293</v>
      </c>
      <c r="I16" s="27">
        <f ca="1">G16-(VLOOKUP(B15,DD_Normal_Data,CELL("Col",C17),FALSE))</f>
        <v>-51.5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55</v>
      </c>
      <c r="F17" s="24" t="s">
        <v>295</v>
      </c>
      <c r="G17" s="25">
        <f>IF(AND(DAY(B15)=1,MONTH(B15)=8),G15,G12+G15)</f>
        <v>6437.5</v>
      </c>
      <c r="H17" s="26" t="s">
        <v>295</v>
      </c>
      <c r="I17" s="27">
        <f ca="1">G17-(VLOOKUP(B15,DD_Normal_Data,CELL("Col",D14),FALSE))</f>
        <v>204.5</v>
      </c>
    </row>
    <row r="18" spans="1:109" ht="15">
      <c r="A18" s="18"/>
      <c r="B18" s="20"/>
      <c r="C18" s="15"/>
      <c r="D18" s="32" t="str">
        <f>IF(Weather_Input!I7=""," ",Weather_Input!I7)</f>
        <v>A CHANCE OF SHOWERS AND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37020</v>
      </c>
      <c r="C20" s="15"/>
      <c r="D20" s="22" t="s">
        <v>289</v>
      </c>
      <c r="E20" s="23">
        <f>Weather_Input!B8</f>
        <v>62</v>
      </c>
      <c r="F20" s="24" t="s">
        <v>290</v>
      </c>
      <c r="G20" s="25">
        <f>IF(E22&lt;65,65-(Weather_Input!B8+Weather_Input!C8)/2,0)</f>
        <v>9.5</v>
      </c>
      <c r="H20" s="26" t="s">
        <v>291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176</v>
      </c>
      <c r="E21" s="23">
        <f>Weather_Input!C8</f>
        <v>49</v>
      </c>
      <c r="F21" s="24" t="s">
        <v>292</v>
      </c>
      <c r="G21" s="25">
        <f>IF(DAY(B20)=1,G20,G16+G20)</f>
        <v>40</v>
      </c>
      <c r="H21" s="30" t="s">
        <v>293</v>
      </c>
      <c r="I21" s="27">
        <f ca="1">G21-(VLOOKUP(B20,DD_Normal_Data,CELL("Col",C22),FALSE))</f>
        <v>-51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55.5</v>
      </c>
      <c r="F22" s="24" t="s">
        <v>295</v>
      </c>
      <c r="G22" s="25">
        <f>IF(AND(DAY(B20)=1,MONTH(B20)=8),G20,G17+G20)</f>
        <v>6447</v>
      </c>
      <c r="H22" s="26" t="s">
        <v>295</v>
      </c>
      <c r="I22" s="27">
        <f ca="1">G22-(VLOOKUP(B20,DD_Normal_Data,CELL("Col",D19),FALSE))</f>
        <v>205</v>
      </c>
    </row>
    <row r="23" spans="1:109" ht="15">
      <c r="A23" s="18"/>
      <c r="B23" s="21"/>
      <c r="C23" s="15"/>
      <c r="D23" s="32" t="str">
        <f>IF(Weather_Input!I8=""," ",Weather_Input!I8)</f>
        <v>A CHANCE OF SHOWERS AND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37021</v>
      </c>
      <c r="C25" s="15"/>
      <c r="D25" s="22" t="s">
        <v>289</v>
      </c>
      <c r="E25" s="23">
        <f>Weather_Input!B9</f>
        <v>69</v>
      </c>
      <c r="F25" s="24" t="s">
        <v>290</v>
      </c>
      <c r="G25" s="25">
        <f>IF(E27&lt;65,65-(Weather_Input!B9+Weather_Input!C9)/2,0)</f>
        <v>3.5</v>
      </c>
      <c r="H25" s="26" t="s">
        <v>291</v>
      </c>
      <c r="I25" s="27">
        <f ca="1">G25-(VLOOKUP(B25,DD_Normal_Data,CELL("Col",B26),FALSE))</f>
        <v>-4.5</v>
      </c>
    </row>
    <row r="26" spans="1:109" ht="15">
      <c r="A26" s="18"/>
      <c r="B26" s="21"/>
      <c r="C26" s="15"/>
      <c r="D26" s="22" t="s">
        <v>176</v>
      </c>
      <c r="E26" s="23">
        <f>Weather_Input!C9</f>
        <v>54</v>
      </c>
      <c r="F26" s="24" t="s">
        <v>292</v>
      </c>
      <c r="G26" s="25">
        <f>IF(DAY(B25)=1,G25,G21+G25)</f>
        <v>43.5</v>
      </c>
      <c r="H26" s="30" t="s">
        <v>293</v>
      </c>
      <c r="I26" s="27">
        <f ca="1">G26-(VLOOKUP(B25,DD_Normal_Data,CELL("Col",C27),FALSE))</f>
        <v>-55.5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61.5</v>
      </c>
      <c r="F27" s="24" t="s">
        <v>295</v>
      </c>
      <c r="G27" s="25">
        <f>IF(AND(DAY(B25)=1,MONTH(B25)=8),G25,G22+G25)</f>
        <v>6450.5</v>
      </c>
      <c r="H27" s="26" t="s">
        <v>295</v>
      </c>
      <c r="I27" s="27">
        <f ca="1">G27-(VLOOKUP(B25,DD_Normal_Data,CELL("Col",D24),FALSE))</f>
        <v>200.5</v>
      </c>
    </row>
    <row r="28" spans="1:109" ht="15">
      <c r="A28" s="18"/>
      <c r="B28" s="20"/>
      <c r="C28" s="15"/>
      <c r="D28" s="32" t="str">
        <f>IF(Weather_Input!I9=""," ",Weather_Input!I9)</f>
        <v>A CHANCE OF SHOWERS AND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37022</v>
      </c>
      <c r="C30" s="15"/>
      <c r="D30" s="22" t="s">
        <v>289</v>
      </c>
      <c r="E30" s="23">
        <f>Weather_Input!B10</f>
        <v>69</v>
      </c>
      <c r="F30" s="24" t="s">
        <v>290</v>
      </c>
      <c r="G30" s="25">
        <f>IF(E32&lt;65,65-(Weather_Input!B10+Weather_Input!C10)/2,0)</f>
        <v>3.5</v>
      </c>
      <c r="H30" s="26" t="s">
        <v>291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54</v>
      </c>
      <c r="F31" s="24" t="s">
        <v>292</v>
      </c>
      <c r="G31" s="25">
        <f>IF(DAY(B30)=1,G30,G26+G30)</f>
        <v>47</v>
      </c>
      <c r="H31" s="30" t="s">
        <v>293</v>
      </c>
      <c r="I31" s="27">
        <f ca="1">G31-(VLOOKUP(B30,DD_Normal_Data,CELL("Col",C32),FALSE))</f>
        <v>-60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61.5</v>
      </c>
      <c r="F32" s="24" t="s">
        <v>295</v>
      </c>
      <c r="G32" s="25">
        <f>IF(AND(DAY(B30)=1,MONTH(B30)=8),G30,G27+G30)</f>
        <v>6454</v>
      </c>
      <c r="H32" s="26" t="s">
        <v>295</v>
      </c>
      <c r="I32" s="27">
        <f ca="1">G32-(VLOOKUP(B30,DD_Normal_Data,CELL("Col",D29),FALSE))</f>
        <v>196</v>
      </c>
    </row>
    <row r="33" spans="1:9" ht="15">
      <c r="A33" s="15"/>
      <c r="B33" s="34"/>
      <c r="C33" s="15"/>
      <c r="D33" s="32" t="str">
        <f>IF(Weather_Input!I10=""," ",Weather_Input!I10)</f>
        <v>A CHANCE OF SHOWERS AND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37017</v>
      </c>
      <c r="C36" s="91">
        <f>B10</f>
        <v>37018</v>
      </c>
      <c r="D36" s="91">
        <f>B15</f>
        <v>37019</v>
      </c>
      <c r="E36" s="91">
        <f xml:space="preserve">       B20</f>
        <v>37020</v>
      </c>
      <c r="F36" s="91">
        <f>B25</f>
        <v>37021</v>
      </c>
      <c r="G36" s="91">
        <f>B30</f>
        <v>37022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230</v>
      </c>
      <c r="C37" s="41">
        <f ca="1">(VLOOKUP(C36,PGL_Sendouts,(CELL("COL",PGL_Deliveries!C7))))/1000</f>
        <v>255</v>
      </c>
      <c r="D37" s="41">
        <f ca="1">(VLOOKUP(D36,PGL_Sendouts,(CELL("COL",PGL_Deliveries!C8))))/1000</f>
        <v>290</v>
      </c>
      <c r="E37" s="41">
        <f ca="1">(VLOOKUP(E36,PGL_Sendouts,(CELL("COL",PGL_Deliveries!C9))))/1000</f>
        <v>285</v>
      </c>
      <c r="F37" s="41">
        <f ca="1">(VLOOKUP(F36,PGL_Sendouts,(CELL("COL",PGL_Deliveries!C10))))/1000</f>
        <v>255</v>
      </c>
      <c r="G37" s="41">
        <f ca="1">(VLOOKUP(G36,PGL_Sendouts,(CELL("COL",PGL_Deliveries!C10))))/1000</f>
        <v>235</v>
      </c>
      <c r="H37" s="14"/>
      <c r="I37" s="15"/>
    </row>
    <row r="38" spans="1:9" ht="15">
      <c r="A38" s="15" t="s">
        <v>300</v>
      </c>
      <c r="B38" s="41">
        <f>PGL_6_Day_Report!D30</f>
        <v>485.435</v>
      </c>
      <c r="C38" s="41">
        <f>PGL_6_Day_Report!E30</f>
        <v>458.08</v>
      </c>
      <c r="D38" s="41">
        <f>PGL_6_Day_Report!F30</f>
        <v>483.08</v>
      </c>
      <c r="E38" s="41">
        <f>PGL_6_Day_Report!G30</f>
        <v>478.08</v>
      </c>
      <c r="F38" s="41">
        <f>PGL_6_Day_Report!H30</f>
        <v>448.08</v>
      </c>
      <c r="G38" s="41">
        <f>PGL_6_Day_Report!I30</f>
        <v>428.08</v>
      </c>
      <c r="H38" s="14"/>
      <c r="I38" s="15"/>
    </row>
    <row r="39" spans="1:9" ht="15">
      <c r="A39" s="42" t="s">
        <v>109</v>
      </c>
      <c r="B39" s="41">
        <f>SUM(PGL_Supplies!Z7:AE7)/1000</f>
        <v>284.11900000000003</v>
      </c>
      <c r="C39" s="41">
        <f>SUM(PGL_Supplies!Z8:AE8)/1000</f>
        <v>284.11900000000003</v>
      </c>
      <c r="D39" s="41">
        <f>SUM(PGL_Supplies!Z9:AE9)/1000</f>
        <v>340.11900000000003</v>
      </c>
      <c r="E39" s="41">
        <f>SUM(PGL_Supplies!Z10:AE10)/1000</f>
        <v>340.11900000000003</v>
      </c>
      <c r="F39" s="41">
        <f>SUM(PGL_Supplies!Z11:AE11)/1000</f>
        <v>340.11900000000003</v>
      </c>
      <c r="G39" s="41">
        <f>SUM(PGL_Supplies!Z12:AE12)/1000</f>
        <v>340.11900000000003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177.744</v>
      </c>
      <c r="C42" s="41">
        <f>PGL_Supplies!V8/1000</f>
        <v>177.744</v>
      </c>
      <c r="D42" s="41">
        <f>PGL_Supplies!V9/1000</f>
        <v>177.744</v>
      </c>
      <c r="E42" s="41">
        <f>PGL_Supplies!V10/1000</f>
        <v>177.744</v>
      </c>
      <c r="F42" s="41">
        <f>PGL_Supplies!V11/1000</f>
        <v>177.744</v>
      </c>
      <c r="G42" s="41">
        <f>PGL_Supplies!V12/1000</f>
        <v>177.744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37017</v>
      </c>
      <c r="C44" s="91">
        <f t="shared" si="0"/>
        <v>37018</v>
      </c>
      <c r="D44" s="91">
        <f t="shared" si="0"/>
        <v>37019</v>
      </c>
      <c r="E44" s="91">
        <f t="shared" si="0"/>
        <v>37020</v>
      </c>
      <c r="F44" s="91">
        <f t="shared" si="0"/>
        <v>37021</v>
      </c>
      <c r="G44" s="91">
        <f t="shared" si="0"/>
        <v>37022</v>
      </c>
      <c r="H44" s="14"/>
      <c r="I44" s="15"/>
    </row>
    <row r="45" spans="1:9" ht="15">
      <c r="A45" s="15" t="s">
        <v>56</v>
      </c>
      <c r="B45" s="41">
        <f ca="1">NSG_6_Day_Report!D6</f>
        <v>44</v>
      </c>
      <c r="C45" s="41">
        <f ca="1">NSG_6_Day_Report!E6</f>
        <v>48</v>
      </c>
      <c r="D45" s="41">
        <f ca="1">NSG_6_Day_Report!F6</f>
        <v>55</v>
      </c>
      <c r="E45" s="41">
        <f ca="1">NSG_6_Day_Report!G6</f>
        <v>54</v>
      </c>
      <c r="F45" s="41">
        <f ca="1">NSG_6_Day_Report!H6</f>
        <v>48</v>
      </c>
      <c r="G45" s="41">
        <f ca="1">NSG_6_Day_Report!I6</f>
        <v>45</v>
      </c>
      <c r="H45" s="14"/>
      <c r="I45" s="15"/>
    </row>
    <row r="46" spans="1:9" ht="15">
      <c r="A46" s="42" t="s">
        <v>300</v>
      </c>
      <c r="B46" s="41">
        <f ca="1">NSG_6_Day_Report!D19</f>
        <v>64</v>
      </c>
      <c r="C46" s="41">
        <f ca="1">NSG_6_Day_Report!E19</f>
        <v>68</v>
      </c>
      <c r="D46" s="41">
        <f ca="1">NSG_6_Day_Report!F19</f>
        <v>75</v>
      </c>
      <c r="E46" s="41">
        <f ca="1">NSG_6_Day_Report!G19</f>
        <v>74</v>
      </c>
      <c r="F46" s="41">
        <f ca="1">NSG_6_Day_Report!H19</f>
        <v>68</v>
      </c>
      <c r="G46" s="41">
        <f ca="1">NSG_6_Day_Report!I19</f>
        <v>65</v>
      </c>
      <c r="H46" s="14"/>
      <c r="I46" s="15"/>
    </row>
    <row r="47" spans="1:9" ht="15">
      <c r="A47" s="42" t="s">
        <v>109</v>
      </c>
      <c r="B47" s="41">
        <f>SUM(NSG_Supplies!P7:R7)/1000</f>
        <v>51.536000000000001</v>
      </c>
      <c r="C47" s="41">
        <f>SUM(NSG_Supplies!P8:R8)/1000</f>
        <v>51.536000000000001</v>
      </c>
      <c r="D47" s="41">
        <f>SUM(NSG_Supplies!P9:R9)/1000</f>
        <v>51.536000000000001</v>
      </c>
      <c r="E47" s="41">
        <f>SUM(NSG_Supplies!P10:R10)/1000</f>
        <v>51.536000000000001</v>
      </c>
      <c r="F47" s="41">
        <f>SUM(NSG_Supplies!P11:R11)/1000</f>
        <v>51.536000000000001</v>
      </c>
      <c r="G47" s="41">
        <f>SUM(NSG_Supplies!P12:R12)/1000</f>
        <v>51.536000000000001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20.591000000000001</v>
      </c>
      <c r="C50" s="41">
        <f>NSG_Supplies!S8/1000</f>
        <v>20.591000000000001</v>
      </c>
      <c r="D50" s="41">
        <f>NSG_Supplies!S9/1000</f>
        <v>20.591000000000001</v>
      </c>
      <c r="E50" s="41">
        <f>NSG_Supplies!S10/1000</f>
        <v>20.591000000000001</v>
      </c>
      <c r="F50" s="41">
        <f>NSG_Supplies!S11/1000</f>
        <v>20.591000000000001</v>
      </c>
      <c r="G50" s="41">
        <f>NSG_Supplies!S12/1000</f>
        <v>20.591000000000001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37017</v>
      </c>
      <c r="C52" s="91">
        <f t="shared" si="1"/>
        <v>37018</v>
      </c>
      <c r="D52" s="91">
        <f t="shared" si="1"/>
        <v>37019</v>
      </c>
      <c r="E52" s="91">
        <f t="shared" si="1"/>
        <v>37020</v>
      </c>
      <c r="F52" s="91">
        <f t="shared" si="1"/>
        <v>37021</v>
      </c>
      <c r="G52" s="91">
        <f t="shared" si="1"/>
        <v>37022</v>
      </c>
      <c r="H52" s="14"/>
      <c r="I52" s="15"/>
    </row>
    <row r="53" spans="1:9" ht="15">
      <c r="A53" s="94" t="s">
        <v>304</v>
      </c>
      <c r="B53" s="41">
        <f>PGL_Requirements!P7/1000</f>
        <v>190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737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310</v>
      </c>
    </row>
    <row r="4" spans="1:8">
      <c r="A4" s="99"/>
      <c r="B4" s="1141" t="str">
        <f>Six_Day_Summary!A10</f>
        <v>Monday</v>
      </c>
      <c r="C4" s="1142" t="str">
        <f>Six_Day_Summary!A15</f>
        <v>Tuesday</v>
      </c>
      <c r="D4" s="1142" t="str">
        <f>Six_Day_Summary!A20</f>
        <v>Wednesday</v>
      </c>
      <c r="E4" s="1142" t="str">
        <f>Six_Day_Summary!A25</f>
        <v>Thursday</v>
      </c>
      <c r="F4" s="1143" t="str">
        <f>Six_Day_Summary!A30</f>
        <v>Friday</v>
      </c>
      <c r="G4" s="100"/>
    </row>
    <row r="5" spans="1:8">
      <c r="A5" s="103" t="s">
        <v>311</v>
      </c>
      <c r="B5" s="1144">
        <f>Weather_Input!A6</f>
        <v>37018</v>
      </c>
      <c r="C5" s="1145">
        <f>Weather_Input!A7</f>
        <v>37019</v>
      </c>
      <c r="D5" s="1145">
        <f>Weather_Input!A8</f>
        <v>37020</v>
      </c>
      <c r="E5" s="1145">
        <f>Weather_Input!A9</f>
        <v>37021</v>
      </c>
      <c r="F5" s="1146">
        <f>Weather_Input!A10</f>
        <v>37022</v>
      </c>
      <c r="G5" s="100"/>
    </row>
    <row r="6" spans="1:8">
      <c r="A6" s="100" t="s">
        <v>312</v>
      </c>
      <c r="B6" s="1147">
        <f>PGL_Supplies!AC8/1000+PGL_Supplies!L8/1000-PGL_Requirements!O8/1000-PGL_Requirements!T8/1000+B8</f>
        <v>60.064</v>
      </c>
      <c r="C6" s="1147">
        <f>PGL_Supplies!AC9/1000+PGL_Supplies!L9/1000-PGL_Requirements!O9/1000+C15-PGL_Requirements!T9/1000</f>
        <v>116.06399999999999</v>
      </c>
      <c r="D6" s="1147">
        <f>PGL_Supplies!AC10/1000+PGL_Supplies!L10/1000-PGL_Requirements!O10/1000+D15-PGL_Requirements!T10/1000</f>
        <v>116.06399999999999</v>
      </c>
      <c r="E6" s="1147">
        <f>PGL_Supplies!AC11/1000+PGL_Supplies!L11/1000-PGL_Requirements!O11/1000+E15-PGL_Requirements!T11/1000</f>
        <v>116.06399999999999</v>
      </c>
      <c r="F6" s="1148">
        <f>PGL_Supplies!AC12/1000+PGL_Supplies!L12/1000-PGL_Requirements!O12/1000+F15-PGL_Requirements!T12/1000</f>
        <v>116.06399999999999</v>
      </c>
      <c r="G6" s="100"/>
      <c r="H6" t="s">
        <v>11</v>
      </c>
    </row>
    <row r="7" spans="1:8">
      <c r="A7" s="100" t="s">
        <v>313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314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315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316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317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318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720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319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791</v>
      </c>
      <c r="B17" s="1154">
        <v>50</v>
      </c>
      <c r="C17" s="1155"/>
      <c r="D17" s="1155"/>
      <c r="E17" s="1155"/>
      <c r="F17" s="1156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Monday</v>
      </c>
      <c r="C21" s="1157" t="str">
        <f t="shared" si="0"/>
        <v>Tuesday</v>
      </c>
      <c r="D21" s="1157" t="str">
        <f t="shared" si="0"/>
        <v>Wednesday</v>
      </c>
      <c r="E21" s="1157" t="str">
        <f t="shared" si="0"/>
        <v>Thursday</v>
      </c>
      <c r="F21" s="1158" t="str">
        <f t="shared" si="0"/>
        <v>Friday</v>
      </c>
      <c r="G21" s="100"/>
    </row>
    <row r="22" spans="1:7">
      <c r="A22" s="107" t="s">
        <v>311</v>
      </c>
      <c r="B22" s="1159">
        <f t="shared" si="0"/>
        <v>37018</v>
      </c>
      <c r="C22" s="1159">
        <f t="shared" si="0"/>
        <v>37019</v>
      </c>
      <c r="D22" s="1159">
        <f t="shared" si="0"/>
        <v>37020</v>
      </c>
      <c r="E22" s="1159">
        <f t="shared" si="0"/>
        <v>37021</v>
      </c>
      <c r="F22" s="1160">
        <f t="shared" si="0"/>
        <v>37022</v>
      </c>
      <c r="G22" s="100"/>
    </row>
    <row r="23" spans="1:7">
      <c r="A23" s="100" t="s">
        <v>312</v>
      </c>
      <c r="B23" s="1153">
        <f>NSG_Supplies!R8/1000+NSG_Supplies!F8/1000-NSG_Requirements!H8/1000</f>
        <v>31.536000000000001</v>
      </c>
      <c r="C23" s="1153">
        <f>NSG_Supplies!R9/1000+NSG_Supplies!F9/1000-NSG_Requirements!H9/1000</f>
        <v>31.536000000000001</v>
      </c>
      <c r="D23" s="1153">
        <f>NSG_Supplies!R10/1000+NSG_Supplies!F10/1000-NSG_Requirements!H10/1000</f>
        <v>31.536000000000001</v>
      </c>
      <c r="E23" s="1153">
        <f>NSG_Supplies!R12/1000+NSG_Supplies!F11/1000-NSG_Requirements!H11/1000</f>
        <v>31.536000000000001</v>
      </c>
      <c r="F23" s="1148">
        <f>NSG_Supplies!R12/1000+NSG_Supplies!F12/1000-NSG_Requirements!H12/1000</f>
        <v>31.536000000000001</v>
      </c>
      <c r="G23" s="100"/>
    </row>
    <row r="24" spans="1:7">
      <c r="A24" s="100" t="s">
        <v>321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313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314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315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322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316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317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318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323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381</v>
      </c>
      <c r="C1" s="909">
        <f>Weather_Input!A6</f>
        <v>37018</v>
      </c>
      <c r="D1" s="910" t="s">
        <v>372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646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573</v>
      </c>
      <c r="I3" s="803" t="s">
        <v>572</v>
      </c>
    </row>
    <row r="4" spans="1:11" ht="15.75" customHeight="1" thickBot="1">
      <c r="A4" t="s">
        <v>11</v>
      </c>
      <c r="B4" s="100" t="s">
        <v>647</v>
      </c>
      <c r="C4" s="1137">
        <f>NSG_Supplies!E8/1000</f>
        <v>0</v>
      </c>
      <c r="D4" s="135">
        <f>NSG_Requirements!J8/1000</f>
        <v>20</v>
      </c>
      <c r="E4" s="802"/>
      <c r="F4" s="172" t="s">
        <v>546</v>
      </c>
      <c r="G4" s="60"/>
      <c r="H4" s="154">
        <f>PGL_Requirements!P8/1000</f>
        <v>150</v>
      </c>
      <c r="I4" s="176">
        <f>AVERAGE(H4/1.025)</f>
        <v>146.34146341463415</v>
      </c>
      <c r="J4" t="s">
        <v>11</v>
      </c>
    </row>
    <row r="5" spans="1:11" ht="15.75" customHeight="1" thickTop="1" thickBot="1">
      <c r="B5" s="437" t="s">
        <v>648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392</v>
      </c>
      <c r="C6" s="908"/>
      <c r="D6" s="122"/>
      <c r="E6" s="801"/>
      <c r="F6" t="s">
        <v>780</v>
      </c>
      <c r="G6" s="908">
        <f>AVERAGE(H4/24)</f>
        <v>6.25</v>
      </c>
      <c r="H6" s="430"/>
      <c r="I6" s="1080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7" t="s">
        <v>626</v>
      </c>
      <c r="G7" s="1078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625</v>
      </c>
      <c r="G8" s="154">
        <f>PGL_Supplies!T8/1000</f>
        <v>23.643999999999998</v>
      </c>
      <c r="H8" s="60"/>
      <c r="I8" s="161"/>
    </row>
    <row r="9" spans="1:11" ht="15.75" customHeight="1" thickBot="1">
      <c r="B9" s="172" t="s">
        <v>770</v>
      </c>
      <c r="C9" s="154">
        <f>NSG_Requirements!B8/1000</f>
        <v>0</v>
      </c>
      <c r="D9" s="60"/>
      <c r="E9" s="450"/>
      <c r="F9" s="1" t="s">
        <v>716</v>
      </c>
      <c r="G9" s="154">
        <f>PGL_Supplies!U8/1000</f>
        <v>0</v>
      </c>
      <c r="I9" s="161"/>
    </row>
    <row r="10" spans="1:11" ht="15.75" customHeight="1" thickTop="1" thickBot="1">
      <c r="B10" s="437" t="s">
        <v>551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183.85499999999999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753</v>
      </c>
      <c r="C11" s="154">
        <f>PGL_Supplies!Y8/1000</f>
        <v>172.51499999999999</v>
      </c>
      <c r="D11" s="789"/>
      <c r="E11" s="1130"/>
      <c r="F11" s="435" t="s">
        <v>378</v>
      </c>
      <c r="G11" s="447">
        <f>G8+G10</f>
        <v>207.499</v>
      </c>
      <c r="H11" s="434"/>
      <c r="I11" s="436"/>
    </row>
    <row r="12" spans="1:11" ht="15.75" customHeight="1">
      <c r="B12" s="249" t="s">
        <v>790</v>
      </c>
      <c r="C12" s="154"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754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761</v>
      </c>
      <c r="C14" s="448">
        <f>C11-C12</f>
        <v>172.51499999999999</v>
      </c>
      <c r="D14" s="438"/>
      <c r="E14" s="440">
        <f>AVERAGE(C14/24)</f>
        <v>7.1881249999999994</v>
      </c>
      <c r="F14" s="782" t="s">
        <v>549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759</v>
      </c>
      <c r="C15" s="154">
        <f>PGL_Supplies!Z8/1000</f>
        <v>40.200000000000003</v>
      </c>
      <c r="D15" s="60"/>
      <c r="E15" s="161"/>
      <c r="F15" s="782" t="s">
        <v>558</v>
      </c>
      <c r="G15" s="447">
        <f>SUM(G11)-G16</f>
        <v>187.499</v>
      </c>
      <c r="H15" s="438" t="s">
        <v>11</v>
      </c>
      <c r="I15" s="440">
        <f>AVERAGE(G15/24)</f>
        <v>7.8124583333333328</v>
      </c>
    </row>
    <row r="16" spans="1:11" ht="15.75" customHeight="1" thickTop="1" thickBot="1">
      <c r="B16" s="172" t="s">
        <v>712</v>
      </c>
      <c r="C16" s="154">
        <f>PGL_Supplies!R8/1000</f>
        <v>0</v>
      </c>
      <c r="D16" s="154">
        <f>PGL_Requirements!U8/1000</f>
        <v>40.200000000000003</v>
      </c>
      <c r="E16" s="161"/>
      <c r="F16" s="782" t="s">
        <v>569</v>
      </c>
      <c r="G16" s="448">
        <f>PGL_Requirements!H8/1000</f>
        <v>20</v>
      </c>
      <c r="H16" s="448" t="s">
        <v>11</v>
      </c>
      <c r="I16" s="440">
        <f>AVERAGE(G16/24)</f>
        <v>0.83333333333333337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90" t="s">
        <v>717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8" t="s">
        <v>547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548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553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760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0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0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552</v>
      </c>
      <c r="C25" s="448">
        <f>C22+C23-D24</f>
        <v>0</v>
      </c>
      <c r="D25" s="438"/>
      <c r="E25" s="440">
        <f>AVERAGE(C25/24)</f>
        <v>0</v>
      </c>
      <c r="F25" s="551" t="s">
        <v>550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714</v>
      </c>
    </row>
    <row r="27" spans="1:9" ht="15.75" customHeight="1">
      <c r="B27" t="s">
        <v>713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649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activeCell="C39" sqref="C39"/>
    </sheetView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653</v>
      </c>
      <c r="D1" s="943"/>
      <c r="E1" s="943" t="s">
        <v>654</v>
      </c>
      <c r="F1" s="943"/>
      <c r="G1" s="1043" t="s">
        <v>324</v>
      </c>
      <c r="H1" s="1044">
        <f>Weather_Input!A6</f>
        <v>37018</v>
      </c>
      <c r="I1" s="932"/>
      <c r="J1" s="934"/>
      <c r="K1" s="934"/>
    </row>
    <row r="2" spans="1:22" ht="16.5" customHeight="1">
      <c r="A2" s="952" t="s">
        <v>681</v>
      </c>
      <c r="C2" s="1046">
        <v>383</v>
      </c>
      <c r="F2" s="1047">
        <v>385</v>
      </c>
      <c r="H2" s="934"/>
      <c r="I2" s="932" t="s">
        <v>683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655</v>
      </c>
      <c r="G4" s="960"/>
      <c r="H4" s="934"/>
      <c r="I4" s="932"/>
      <c r="J4" s="932" t="s">
        <v>679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651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15</v>
      </c>
      <c r="H9" s="954">
        <v>0</v>
      </c>
      <c r="I9" s="1051"/>
      <c r="K9" s="932" t="s">
        <v>685</v>
      </c>
      <c r="L9" s="954">
        <f>NSG_Deliveries!C6/1000</f>
        <v>48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684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686</v>
      </c>
      <c r="L11" s="960">
        <f>SUM(K4+K17+K19+H11+H9-L9)</f>
        <v>-16.463999999999999</v>
      </c>
      <c r="N11" s="935"/>
      <c r="O11" s="960"/>
      <c r="U11" s="934"/>
      <c r="V11" s="948"/>
    </row>
    <row r="12" spans="1:22" ht="14.45" customHeight="1">
      <c r="A12" s="932" t="s">
        <v>747</v>
      </c>
      <c r="H12" s="954"/>
      <c r="U12" s="934"/>
      <c r="V12" s="954"/>
    </row>
    <row r="13" spans="1:22" ht="14.45" customHeight="1">
      <c r="A13" s="1049">
        <f>PGL_Supplies!Y8/1000</f>
        <v>172.51499999999999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385</v>
      </c>
      <c r="F15" s="1052">
        <v>385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326</v>
      </c>
      <c r="K17" s="954">
        <f>NSG_Supplies!L8/1000</f>
        <v>0</v>
      </c>
      <c r="N17" s="954"/>
    </row>
    <row r="18" spans="1:17" ht="15" customHeight="1">
      <c r="A18" s="940"/>
      <c r="C18" s="1052">
        <v>492</v>
      </c>
      <c r="D18" s="1054"/>
      <c r="E18" s="1054"/>
      <c r="F18" s="1047">
        <v>786</v>
      </c>
    </row>
    <row r="19" spans="1:17">
      <c r="A19" s="941" t="s">
        <v>652</v>
      </c>
      <c r="C19" s="1045" t="s">
        <v>11</v>
      </c>
      <c r="J19" s="932" t="s">
        <v>680</v>
      </c>
      <c r="K19" s="954">
        <f>NSG_Supplies!R8/1000+NSG_Supplies!F8/1000-NSG_Requirements!H8/1000</f>
        <v>31.536000000000001</v>
      </c>
      <c r="N19" s="1057"/>
    </row>
    <row r="20" spans="1:17" ht="17.25" customHeight="1">
      <c r="A20" s="954">
        <f>Billy_Sheet!G15</f>
        <v>187.499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762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688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7.7</v>
      </c>
      <c r="H26" s="935"/>
      <c r="I26" s="935"/>
      <c r="J26" s="935" t="s">
        <v>574</v>
      </c>
      <c r="K26" s="1059">
        <f>PGL_Deliveries!C6/1000</f>
        <v>255</v>
      </c>
      <c r="L26" s="932" t="s">
        <v>685</v>
      </c>
      <c r="M26" s="954">
        <f>NSG_Deliveries!C6/1000</f>
        <v>48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656</v>
      </c>
      <c r="B28" s="954"/>
      <c r="C28" s="934"/>
      <c r="D28" s="935"/>
      <c r="F28" s="932"/>
      <c r="G28" s="944" t="s">
        <v>661</v>
      </c>
      <c r="H28" s="433"/>
      <c r="J28" s="935" t="s">
        <v>687</v>
      </c>
      <c r="K28" s="960">
        <f>SUM(A42)</f>
        <v>206.01400000000001</v>
      </c>
      <c r="L28" s="935" t="s">
        <v>739</v>
      </c>
      <c r="M28" s="960">
        <f>SUM(J2+K17+K19+H11+H9-M26)</f>
        <v>3.5360000000000014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37017</v>
      </c>
      <c r="G29" s="954">
        <f>PGL_Requirements!H7/1000</f>
        <v>24.83</v>
      </c>
      <c r="H29" s="933"/>
      <c r="J29" s="935" t="s">
        <v>689</v>
      </c>
      <c r="K29" s="954">
        <f>PGL_Supplies!AC8/1000+PGL_Supplies!L8/1000-PGL_Requirements!O8/1000</f>
        <v>60.064</v>
      </c>
    </row>
    <row r="30" spans="1:17" ht="10.5" customHeight="1">
      <c r="A30" s="937"/>
      <c r="B30" s="954"/>
      <c r="C30" s="935"/>
      <c r="D30" s="954"/>
      <c r="F30" s="1112">
        <f>PGL_Requirements!A8</f>
        <v>37018</v>
      </c>
      <c r="G30" s="954">
        <f>PGL_Requirements!H8/1000</f>
        <v>20</v>
      </c>
    </row>
    <row r="31" spans="1:17" ht="17.25" customHeight="1">
      <c r="A31" s="943" t="s">
        <v>658</v>
      </c>
      <c r="B31" s="1061"/>
      <c r="C31" s="938"/>
      <c r="D31" s="960"/>
      <c r="G31" s="944" t="s">
        <v>659</v>
      </c>
      <c r="H31" s="960"/>
      <c r="J31" s="935" t="s">
        <v>686</v>
      </c>
      <c r="K31" s="960">
        <f>SUM(K28+K29-K26)</f>
        <v>11.078000000000031</v>
      </c>
    </row>
    <row r="32" spans="1:17">
      <c r="A32" s="954">
        <f>PGL_Supplies!H8/1000</f>
        <v>1</v>
      </c>
      <c r="G32" s="954">
        <f>PGL_Requirements!P8/1000</f>
        <v>150</v>
      </c>
    </row>
    <row r="33" spans="1:11" ht="6.75" customHeight="1"/>
    <row r="34" spans="1:11">
      <c r="A34" s="932" t="s">
        <v>657</v>
      </c>
      <c r="G34" s="935" t="s">
        <v>660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663</v>
      </c>
      <c r="F37" s="932" t="s">
        <v>664</v>
      </c>
      <c r="G37" s="954"/>
    </row>
    <row r="38" spans="1:11">
      <c r="C38" s="1052">
        <v>493</v>
      </c>
      <c r="F38" s="1052">
        <v>753</v>
      </c>
    </row>
    <row r="39" spans="1:11">
      <c r="A39" s="952" t="s">
        <v>738</v>
      </c>
      <c r="E39" s="934" t="s">
        <v>662</v>
      </c>
      <c r="F39" s="934"/>
    </row>
    <row r="40" spans="1:11">
      <c r="A40" s="960">
        <f>SUM(A3:A35)</f>
        <v>376.01400000000001</v>
      </c>
      <c r="B40" s="948"/>
      <c r="C40" s="947"/>
      <c r="D40" s="948"/>
      <c r="E40" s="948"/>
      <c r="F40" s="1062"/>
      <c r="G40" s="1062">
        <f>SUM(G30:G35)</f>
        <v>170</v>
      </c>
      <c r="H40" s="950"/>
      <c r="I40" s="949"/>
    </row>
    <row r="41" spans="1:11">
      <c r="A41" s="951" t="s">
        <v>678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206.01400000000001</v>
      </c>
      <c r="B42" s="954"/>
      <c r="C42" s="948"/>
      <c r="D42" s="948"/>
      <c r="E42" s="948"/>
      <c r="F42" s="957"/>
      <c r="G42" s="959" t="s">
        <v>682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677</v>
      </c>
      <c r="G43" s="957" t="s">
        <v>676</v>
      </c>
      <c r="I43" s="954"/>
    </row>
    <row r="44" spans="1:11" ht="12.75" customHeight="1">
      <c r="A44" s="951" t="s">
        <v>665</v>
      </c>
      <c r="B44" s="954" t="s">
        <v>670</v>
      </c>
      <c r="C44" s="954" t="s">
        <v>671</v>
      </c>
      <c r="D44" s="954" t="s">
        <v>672</v>
      </c>
      <c r="E44" s="955"/>
      <c r="F44" s="955" t="s">
        <v>673</v>
      </c>
      <c r="G44" s="948" t="s">
        <v>675</v>
      </c>
      <c r="H44" s="934" t="s">
        <v>674</v>
      </c>
      <c r="I44" s="954"/>
      <c r="K44" s="934"/>
    </row>
    <row r="45" spans="1:11">
      <c r="A45" s="951" t="s">
        <v>669</v>
      </c>
      <c r="B45" s="1065">
        <v>250</v>
      </c>
      <c r="C45" s="1065">
        <v>410</v>
      </c>
      <c r="D45" s="1066">
        <f>SUM(F2+F15)/2</f>
        <v>385</v>
      </c>
      <c r="E45" s="1067"/>
      <c r="F45" s="1068">
        <v>6.7000000000000004E-2</v>
      </c>
      <c r="G45" s="1069">
        <f>(C45-D45)*F45</f>
        <v>1.675</v>
      </c>
      <c r="H45" s="1069">
        <f>(D45-B45)*F45</f>
        <v>9.0449999999999999</v>
      </c>
      <c r="I45" s="954"/>
      <c r="J45" s="1070"/>
    </row>
    <row r="46" spans="1:11">
      <c r="A46" s="934" t="s">
        <v>666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667</v>
      </c>
      <c r="B47" s="1071">
        <v>250</v>
      </c>
      <c r="C47" s="1065">
        <v>410</v>
      </c>
      <c r="D47" s="1066">
        <f>SUM(C2+C15)/2</f>
        <v>384</v>
      </c>
      <c r="E47" s="1067"/>
      <c r="F47" s="1068">
        <v>0.14099999999999999</v>
      </c>
      <c r="G47" s="1069">
        <f>(C47-D47)*F47</f>
        <v>3.6659999999999995</v>
      </c>
      <c r="H47" s="1069">
        <f>(D47-B47)*F47</f>
        <v>18.893999999999998</v>
      </c>
      <c r="I47" s="954"/>
    </row>
    <row r="48" spans="1:11">
      <c r="A48" s="934" t="s">
        <v>668</v>
      </c>
      <c r="B48" s="1071">
        <v>285</v>
      </c>
      <c r="C48" s="1065">
        <v>750</v>
      </c>
      <c r="D48" s="1066">
        <f>SUM(C18+C38)/2</f>
        <v>492.5</v>
      </c>
      <c r="E48" s="1067"/>
      <c r="F48" s="1068">
        <v>0.161</v>
      </c>
      <c r="G48" s="1069">
        <f>(C48-D48)*F48</f>
        <v>41.457500000000003</v>
      </c>
      <c r="H48" s="1069">
        <f>(D48-B48)*F48</f>
        <v>33.407499999999999</v>
      </c>
    </row>
    <row r="49" spans="1:8">
      <c r="B49" s="1051"/>
      <c r="C49" s="1051"/>
      <c r="D49" s="1051"/>
      <c r="E49" s="1051"/>
      <c r="F49" s="958" t="s">
        <v>359</v>
      </c>
      <c r="G49" s="1069">
        <f>SUM(G45:G48)</f>
        <v>46.798500000000004</v>
      </c>
      <c r="H49" s="1069">
        <f>SUM(H45:H48)</f>
        <v>61.346499999999999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37017</v>
      </c>
      <c r="B5" s="11">
        <v>75</v>
      </c>
      <c r="C5" s="49">
        <v>62</v>
      </c>
      <c r="D5" s="49">
        <v>14</v>
      </c>
      <c r="E5" s="11" t="s">
        <v>792</v>
      </c>
      <c r="F5" s="11">
        <v>17</v>
      </c>
      <c r="G5" s="11">
        <v>6424</v>
      </c>
      <c r="H5" s="11">
        <v>0</v>
      </c>
      <c r="I5" s="911" t="s">
        <v>787</v>
      </c>
      <c r="J5" s="911" t="s">
        <v>11</v>
      </c>
      <c r="K5" s="11">
        <v>5</v>
      </c>
      <c r="L5" s="11">
        <v>1</v>
      </c>
      <c r="N5" s="15" t="str">
        <f>I5&amp;" "&amp;I5</f>
        <v>PARTLY CLOUDY. A CHANCE OF RAIN AND T'STORMS DURING THE NIGHT. PARTLY CLOUDY. A CHANCE OF RAIN AND T'STORMS DURING THE NIGHT.</v>
      </c>
      <c r="AE5" s="15">
        <v>1</v>
      </c>
      <c r="AH5" s="15" t="s">
        <v>34</v>
      </c>
    </row>
    <row r="6" spans="1:34" ht="16.5" customHeight="1">
      <c r="A6" s="88">
        <f>A5+1</f>
        <v>37018</v>
      </c>
      <c r="B6" s="11">
        <v>72</v>
      </c>
      <c r="C6" s="49">
        <v>51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1" t="s">
        <v>788</v>
      </c>
      <c r="J6" s="911" t="s">
        <v>11</v>
      </c>
      <c r="K6" s="11">
        <v>5</v>
      </c>
      <c r="L6" s="11" t="s">
        <v>627</v>
      </c>
      <c r="N6" s="15" t="str">
        <f>I6&amp;" "&amp;J6</f>
        <v xml:space="preserve">A CHANCE OF SHOWERS AND T'STORMS.  </v>
      </c>
      <c r="AE6" s="15">
        <v>1</v>
      </c>
      <c r="AH6" s="15" t="s">
        <v>35</v>
      </c>
    </row>
    <row r="7" spans="1:34" ht="16.5" customHeight="1">
      <c r="A7" s="88">
        <f>A6+1</f>
        <v>37019</v>
      </c>
      <c r="B7" s="11">
        <v>65</v>
      </c>
      <c r="C7" s="49">
        <v>45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11" t="s">
        <v>788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A CHANCE OF SHOWERS AND T'STORMS.  </v>
      </c>
    </row>
    <row r="8" spans="1:34" ht="16.5" customHeight="1">
      <c r="A8" s="88">
        <f>A7+1</f>
        <v>37020</v>
      </c>
      <c r="B8" s="11">
        <v>62</v>
      </c>
      <c r="C8" s="49">
        <v>49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1" t="s">
        <v>788</v>
      </c>
      <c r="J8" s="911" t="s">
        <v>11</v>
      </c>
      <c r="K8" s="11">
        <v>3</v>
      </c>
      <c r="L8" s="11"/>
      <c r="N8" s="15" t="str">
        <f>I8&amp;" "&amp;J8</f>
        <v xml:space="preserve">A CHANCE OF SHOWERS AND T'STORMS.  </v>
      </c>
    </row>
    <row r="9" spans="1:34" ht="16.5" customHeight="1">
      <c r="A9" s="88">
        <f>A8+1</f>
        <v>37021</v>
      </c>
      <c r="B9" s="11">
        <v>69</v>
      </c>
      <c r="C9" s="49">
        <v>54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1" t="s">
        <v>788</v>
      </c>
      <c r="J9" s="911" t="s">
        <v>11</v>
      </c>
      <c r="K9" s="11">
        <v>5</v>
      </c>
      <c r="L9" s="11">
        <v>0</v>
      </c>
      <c r="M9" s="89"/>
      <c r="N9" s="15" t="str">
        <f>I10&amp;" "&amp;J9</f>
        <v xml:space="preserve">A CHANCE OF SHOWERS AND T'STORMS.  </v>
      </c>
    </row>
    <row r="10" spans="1:34" ht="16.5" customHeight="1">
      <c r="A10" s="88">
        <f>A9+1</f>
        <v>37022</v>
      </c>
      <c r="B10" s="11">
        <v>69</v>
      </c>
      <c r="C10" s="49">
        <v>54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1" t="s">
        <v>788</v>
      </c>
      <c r="J10" s="911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574</v>
      </c>
      <c r="B2" s="186">
        <f>PGL_Deliveries!U5/1000</f>
        <v>4.2389999999999999</v>
      </c>
      <c r="C2" s="60"/>
      <c r="D2" s="121" t="s">
        <v>324</v>
      </c>
      <c r="E2" s="426">
        <f>Weather_Input!A5</f>
        <v>37017</v>
      </c>
      <c r="F2" s="60"/>
      <c r="H2"/>
      <c r="I2"/>
      <c r="J2"/>
      <c r="K2"/>
      <c r="L2"/>
      <c r="M2"/>
    </row>
    <row r="3" spans="1:13" ht="15">
      <c r="A3" s="99" t="s">
        <v>575</v>
      </c>
      <c r="B3" s="632">
        <f>PGL_Supplies!J7/1000</f>
        <v>0</v>
      </c>
      <c r="C3" s="185"/>
      <c r="D3" s="1128" t="s">
        <v>771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578</v>
      </c>
      <c r="B5" s="154">
        <f>PGL_Deliveries!D5/1000</f>
        <v>0</v>
      </c>
      <c r="C5" s="64"/>
      <c r="D5" s="59" t="s">
        <v>576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577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580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747</v>
      </c>
      <c r="B8" s="154">
        <f>PGL_Deliveries!V5/1000</f>
        <v>174.87799999999999</v>
      </c>
      <c r="C8" s="631"/>
      <c r="D8" s="117" t="s">
        <v>579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4.2389999999999999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15.026</v>
      </c>
      <c r="C11" s="64"/>
      <c r="D11" s="117" t="s">
        <v>581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582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583</v>
      </c>
      <c r="B13" s="154">
        <f>PGL_Deliveries!Y5/1000+PGL_Deliveries!Z5/1000+PGL_Deliveries!AA5/1000-PGL_Deliveries!BE5/1000</f>
        <v>195.434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-181.26500000000001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584</v>
      </c>
      <c r="B16" s="60"/>
      <c r="C16" s="226">
        <f>PGL_Deliveries!AO5/1000</f>
        <v>12.911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585</v>
      </c>
      <c r="B18" s="905">
        <f>SUM(B8:B17)-C16</f>
        <v>191.16199999999995</v>
      </c>
      <c r="C18" s="169"/>
      <c r="D18" s="179" t="s">
        <v>586</v>
      </c>
      <c r="E18" s="178">
        <f>SUM(E5:E17)</f>
        <v>4.2389999999999999</v>
      </c>
      <c r="F18" s="167"/>
      <c r="H18"/>
      <c r="I18"/>
      <c r="J18"/>
      <c r="K18"/>
      <c r="L18"/>
      <c r="M18"/>
    </row>
    <row r="19" spans="1:13" ht="15">
      <c r="A19" s="444" t="s">
        <v>753</v>
      </c>
      <c r="B19" s="154">
        <f>PGL_Supplies!Y7/1000</f>
        <v>172.51499999999999</v>
      </c>
      <c r="C19" s="631"/>
      <c r="D19" s="117" t="s">
        <v>319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750</v>
      </c>
      <c r="B20" s="154">
        <f>PGL_Supplies!X7/1000</f>
        <v>0</v>
      </c>
      <c r="C20" s="64"/>
      <c r="D20" s="117" t="s">
        <v>189</v>
      </c>
      <c r="E20" s="154">
        <f>PGL_Deliveries!AW5/1000+B41</f>
        <v>2.7251999999999996</v>
      </c>
      <c r="F20" s="171"/>
      <c r="H20"/>
      <c r="I20"/>
      <c r="J20"/>
      <c r="K20"/>
      <c r="L20"/>
      <c r="M20"/>
    </row>
    <row r="21" spans="1:13" ht="16.5" thickBot="1">
      <c r="A21" s="172" t="s">
        <v>754</v>
      </c>
      <c r="C21" s="176">
        <f>PGL_Requirements!J7/1000</f>
        <v>3.1</v>
      </c>
      <c r="D21" s="630" t="s">
        <v>587</v>
      </c>
      <c r="E21" s="211">
        <f>SUM(E18:E20)</f>
        <v>6.9641999999999999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4">
        <f>+B19+B20-C21</f>
        <v>169.41499999999999</v>
      </c>
      <c r="C22" s="1127"/>
      <c r="D22" s="251" t="s">
        <v>588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40.200000000000003</v>
      </c>
      <c r="C23" s="64"/>
      <c r="D23" s="251" t="s">
        <v>589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764</v>
      </c>
      <c r="B24" s="633"/>
      <c r="C24" s="226">
        <f>PGL_Requirements!U7/1000</f>
        <v>40.200000000000003</v>
      </c>
      <c r="D24" s="60" t="s">
        <v>590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763</v>
      </c>
      <c r="B25" s="154">
        <f>PGL_Supplies!R7/1000</f>
        <v>0</v>
      </c>
      <c r="C25" s="64"/>
      <c r="D25" s="251" t="s">
        <v>592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594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591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593</v>
      </c>
      <c r="B28" s="154">
        <v>0</v>
      </c>
      <c r="C28" s="64"/>
      <c r="D28" s="251" t="s">
        <v>596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595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597</v>
      </c>
      <c r="B30" s="1081">
        <f>PGL_Supplies!AD7/1000</f>
        <v>0</v>
      </c>
      <c r="C30" s="64"/>
      <c r="D30" s="634" t="s">
        <v>599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598</v>
      </c>
      <c r="B31" s="154">
        <f>PGL_Supplies!AE7/1000</f>
        <v>0</v>
      </c>
      <c r="C31" s="64"/>
      <c r="D31" s="251" t="s">
        <v>600</v>
      </c>
      <c r="E31" s="60" t="s">
        <v>11</v>
      </c>
      <c r="F31" s="176">
        <f>PGL_Requirements!O7/1000</f>
        <v>6.24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601</v>
      </c>
      <c r="E32" s="154">
        <f>PGL_Deliveries!AR5/1000</f>
        <v>1.4419999999999999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735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602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60.064</v>
      </c>
      <c r="F34" s="171"/>
      <c r="H34"/>
      <c r="I34"/>
      <c r="J34"/>
      <c r="K34"/>
      <c r="L34"/>
      <c r="M34"/>
    </row>
    <row r="35" spans="1:13" ht="15">
      <c r="A35" s="172" t="s">
        <v>603</v>
      </c>
      <c r="B35" s="60"/>
      <c r="C35" s="64">
        <f>PGL_Deliveries!AC5/1000</f>
        <v>0</v>
      </c>
      <c r="D35" s="60" t="s">
        <v>604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605</v>
      </c>
      <c r="B36" s="68"/>
      <c r="C36" s="484">
        <f>PGL_Deliveries!AB5/1000</f>
        <v>0</v>
      </c>
      <c r="D36" s="174" t="s">
        <v>606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607</v>
      </c>
      <c r="B37" s="154" t="s">
        <v>11</v>
      </c>
      <c r="C37" s="226">
        <f>PGL_Requirements!P7/1000</f>
        <v>190</v>
      </c>
      <c r="D37" s="251" t="s">
        <v>608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609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610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55.265999999999998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611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612</v>
      </c>
      <c r="B42" s="154">
        <f>PGL_Deliveries!AF5/1000</f>
        <v>0</v>
      </c>
      <c r="C42" s="64"/>
      <c r="D42" s="251" t="s">
        <v>524</v>
      </c>
      <c r="E42" s="808">
        <f>PGL_Supplies!AB7/1000</f>
        <v>183.85499999999999</v>
      </c>
      <c r="F42" s="171"/>
      <c r="H42"/>
      <c r="I42"/>
      <c r="J42"/>
      <c r="K42"/>
      <c r="L42"/>
      <c r="M42"/>
    </row>
    <row r="43" spans="1:13" ht="15">
      <c r="A43" s="172" t="s">
        <v>613</v>
      </c>
      <c r="B43" s="154">
        <f>PGL_Deliveries!AW5/1000</f>
        <v>2.7251999999999996</v>
      </c>
      <c r="C43" s="64"/>
      <c r="D43" s="60" t="s">
        <v>393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744</v>
      </c>
      <c r="B44" s="210" t="s">
        <v>11</v>
      </c>
      <c r="C44" s="226">
        <f>PGL_Requirements!R7/1000</f>
        <v>0.63</v>
      </c>
      <c r="D44" s="60" t="s">
        <v>527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614</v>
      </c>
      <c r="B45" s="60">
        <f>Weather_Input!B5</f>
        <v>75</v>
      </c>
      <c r="C45" s="185"/>
      <c r="D45" s="60" t="s">
        <v>528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615</v>
      </c>
      <c r="B46" s="239">
        <f>Weather_Input!C5</f>
        <v>62</v>
      </c>
      <c r="C46" s="162"/>
      <c r="D46" s="60" t="s">
        <v>624</v>
      </c>
      <c r="E46" s="808">
        <f>PGL_Supplies!T7/1000</f>
        <v>20</v>
      </c>
      <c r="F46" s="171"/>
    </row>
    <row r="47" spans="1:13" ht="15">
      <c r="A47" s="173" t="s">
        <v>616</v>
      </c>
      <c r="B47" s="60" t="str">
        <f>Weather_Input!E5</f>
        <v>N/A</v>
      </c>
      <c r="C47" s="162"/>
      <c r="D47" s="779" t="s">
        <v>623</v>
      </c>
      <c r="E47" s="68"/>
      <c r="F47" s="809">
        <f>PGL_Deliveries!BE5/1000</f>
        <v>0</v>
      </c>
    </row>
    <row r="48" spans="1:13" ht="15">
      <c r="A48" s="172" t="s">
        <v>617</v>
      </c>
      <c r="B48" s="227">
        <f>Weather_Input!D5</f>
        <v>14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618</v>
      </c>
      <c r="B49" s="154">
        <f>PGL_Deliveries!AM5/1000</f>
        <v>1.026</v>
      </c>
      <c r="C49" s="162"/>
      <c r="D49" s="60" t="s">
        <v>785</v>
      </c>
      <c r="E49" s="154">
        <f>PGL_Deliveries!AJ5/1000</f>
        <v>15.026</v>
      </c>
      <c r="F49" s="161"/>
    </row>
    <row r="50" spans="1:6" ht="15.75" outlineLevel="2" thickBot="1">
      <c r="A50" s="102" t="s">
        <v>619</v>
      </c>
      <c r="B50" s="163"/>
      <c r="C50" s="160"/>
      <c r="D50" s="168" t="s">
        <v>620</v>
      </c>
      <c r="E50" s="210">
        <f>PGL_Deliveries!AK5/1000</f>
        <v>0</v>
      </c>
      <c r="F50" s="443"/>
    </row>
    <row r="51" spans="1:6" ht="15" outlineLevel="2">
      <c r="A51" s="421" t="s">
        <v>621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789</v>
      </c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0</v>
      </c>
      <c r="C3" s="120"/>
      <c r="D3" s="230" t="s">
        <v>324</v>
      </c>
      <c r="E3" s="429">
        <f>Weather_Input!A5</f>
        <v>37017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9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642</v>
      </c>
      <c r="E8" s="814">
        <f>NSG_Deliveries!F5/1000</f>
        <v>0</v>
      </c>
      <c r="F8" s="813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632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2" t="s">
        <v>633</v>
      </c>
      <c r="E10" s="446">
        <f>NSG_Deliveries!N5/1000</f>
        <v>0</v>
      </c>
      <c r="F10" s="816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643</v>
      </c>
      <c r="E11" s="817">
        <f>NSG_Supplies!Q7/1000</f>
        <v>20</v>
      </c>
      <c r="F11" s="818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31.536000000000001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22.489000000000001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54.025000000000006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37017</v>
      </c>
      <c r="C1" s="4"/>
    </row>
    <row r="2" spans="1:19">
      <c r="A2" s="111" t="s">
        <v>357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37016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172515</v>
      </c>
      <c r="O6" s="204">
        <v>0</v>
      </c>
      <c r="P6" s="204">
        <v>45964591</v>
      </c>
      <c r="Q6" s="204">
        <v>15045098</v>
      </c>
      <c r="R6" s="204">
        <v>30919493</v>
      </c>
      <c r="S6" s="204">
        <v>0</v>
      </c>
    </row>
    <row r="7" spans="1:19">
      <c r="A7" s="4">
        <f>B1</f>
        <v>37017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172515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46137106</v>
      </c>
      <c r="Q7">
        <f>IF(O7&gt;0,Q6+O7,Q6)</f>
        <v>15045098</v>
      </c>
      <c r="R7">
        <f>IF(P7&gt;Q7,P7-Q7,0)</f>
        <v>31092008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730</v>
      </c>
      <c r="BE1" t="s">
        <v>731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727</v>
      </c>
      <c r="BC2" t="s">
        <v>728</v>
      </c>
      <c r="BE2" s="1094">
        <v>1</v>
      </c>
      <c r="BF2" s="198" t="s">
        <v>728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709</v>
      </c>
      <c r="AP3" s="1074"/>
      <c r="AQ3" s="795" t="s">
        <v>710</v>
      </c>
      <c r="AR3" s="1074"/>
      <c r="AS3" s="795" t="s">
        <v>711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725</v>
      </c>
      <c r="BA3" s="122"/>
      <c r="BB3" s="162"/>
      <c r="BC3" s="122" t="s">
        <v>43</v>
      </c>
      <c r="BE3" s="1094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745</v>
      </c>
      <c r="W4" s="3" t="s">
        <v>68</v>
      </c>
      <c r="X4" s="3" t="s">
        <v>69</v>
      </c>
      <c r="Y4" s="3" t="s">
        <v>570</v>
      </c>
      <c r="Z4" s="3" t="s">
        <v>571</v>
      </c>
      <c r="AA4" s="3" t="s">
        <v>778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707</v>
      </c>
      <c r="AP4" s="3" t="s">
        <v>708</v>
      </c>
      <c r="AQ4" s="3" t="s">
        <v>707</v>
      </c>
      <c r="AR4" s="3" t="s">
        <v>708</v>
      </c>
      <c r="AS4" s="3" t="s">
        <v>707</v>
      </c>
      <c r="AT4" s="3" t="s">
        <v>708</v>
      </c>
      <c r="AU4" s="433" t="s">
        <v>203</v>
      </c>
      <c r="AV4" s="433" t="s">
        <v>743</v>
      </c>
      <c r="AW4" s="433" t="s">
        <v>212</v>
      </c>
      <c r="AX4" s="433" t="s">
        <v>706</v>
      </c>
      <c r="AY4" s="1"/>
      <c r="AZ4" s="1095" t="s">
        <v>42</v>
      </c>
      <c r="BA4" s="1096" t="s">
        <v>43</v>
      </c>
      <c r="BB4" s="1097" t="s">
        <v>724</v>
      </c>
      <c r="BC4" s="1097" t="s">
        <v>729</v>
      </c>
      <c r="BE4" s="198" t="s">
        <v>400</v>
      </c>
      <c r="BF4" s="198" t="s">
        <v>726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37017</v>
      </c>
      <c r="B5" s="1">
        <f>(Weather_Input!B5+Weather_Input!C5)/2</f>
        <v>68.5</v>
      </c>
      <c r="C5" s="912">
        <v>230000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4239</v>
      </c>
      <c r="T5" s="1161">
        <v>0</v>
      </c>
      <c r="U5" s="912">
        <f>SUM(D5:S5)-T5</f>
        <v>4239</v>
      </c>
      <c r="V5" s="912">
        <v>174878</v>
      </c>
      <c r="W5" s="11">
        <v>0</v>
      </c>
      <c r="X5" s="11">
        <v>0</v>
      </c>
      <c r="Y5" s="11">
        <v>0</v>
      </c>
      <c r="Z5" s="11">
        <v>183106</v>
      </c>
      <c r="AA5" s="11">
        <v>12328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15026</v>
      </c>
      <c r="AK5" s="11">
        <v>0</v>
      </c>
      <c r="AL5" s="11">
        <v>0</v>
      </c>
      <c r="AM5" s="1">
        <v>1026</v>
      </c>
      <c r="AN5" s="1"/>
      <c r="AO5" s="1">
        <v>12911</v>
      </c>
      <c r="AP5" s="1">
        <v>0</v>
      </c>
      <c r="AQ5" s="1">
        <v>0</v>
      </c>
      <c r="AR5" s="1">
        <v>1442</v>
      </c>
      <c r="AS5" s="1">
        <v>0</v>
      </c>
      <c r="AT5" s="1">
        <v>1045</v>
      </c>
      <c r="AU5" s="1">
        <v>181680</v>
      </c>
      <c r="AV5" s="1">
        <v>630</v>
      </c>
      <c r="AW5" s="627">
        <f>AU5*0.015</f>
        <v>2725.2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37018</v>
      </c>
      <c r="B6" s="931">
        <f>(Weather_Input!B6+Weather_Input!C6)/2</f>
        <v>61.5</v>
      </c>
      <c r="C6" s="912">
        <v>255000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705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37019</v>
      </c>
      <c r="B7" s="931">
        <f>(Weather_Input!B7+Weather_Input!C7)/2</f>
        <v>55</v>
      </c>
      <c r="C7" s="912">
        <v>290000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537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37020</v>
      </c>
      <c r="B8" s="931">
        <f>(Weather_Input!B8+Weather_Input!C8)/2</f>
        <v>55.5</v>
      </c>
      <c r="C8" s="912">
        <v>285000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538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37021</v>
      </c>
      <c r="B9" s="931">
        <f>(Weather_Input!B9+Weather_Input!C9)/2</f>
        <v>61.5</v>
      </c>
      <c r="C9" s="912">
        <v>255000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539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37022</v>
      </c>
      <c r="B10" s="931">
        <f>(Weather_Input!B10+Weather_Input!C10)/2</f>
        <v>61.5</v>
      </c>
      <c r="C10" s="912">
        <v>235000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542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703</v>
      </c>
      <c r="L2" t="s">
        <v>703</v>
      </c>
      <c r="M2" t="s">
        <v>703</v>
      </c>
      <c r="N2" t="s">
        <v>703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637</v>
      </c>
      <c r="G3" s="156" t="s">
        <v>82</v>
      </c>
      <c r="H3" s="3" t="s">
        <v>15</v>
      </c>
      <c r="I3" s="156" t="s">
        <v>83</v>
      </c>
      <c r="K3" t="s">
        <v>704</v>
      </c>
      <c r="L3" t="s">
        <v>704</v>
      </c>
      <c r="M3" t="s">
        <v>704</v>
      </c>
      <c r="N3" t="s">
        <v>704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701</v>
      </c>
      <c r="L4" s="1" t="s">
        <v>702</v>
      </c>
      <c r="M4" s="1" t="s">
        <v>701</v>
      </c>
      <c r="N4" s="1" t="s">
        <v>702</v>
      </c>
    </row>
    <row r="5" spans="1:14">
      <c r="A5" s="12">
        <f>Weather_Input!A5</f>
        <v>37017</v>
      </c>
      <c r="B5" s="1">
        <f>(Weather_Input!B5+Weather_Input!C5)/2</f>
        <v>68.5</v>
      </c>
      <c r="C5" s="912">
        <v>44000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1009</v>
      </c>
      <c r="J5" s="1" t="s">
        <v>11</v>
      </c>
      <c r="K5" s="1">
        <v>0</v>
      </c>
      <c r="L5" s="1">
        <v>22489</v>
      </c>
      <c r="M5" s="1">
        <v>20000</v>
      </c>
      <c r="N5" s="1">
        <v>0</v>
      </c>
    </row>
    <row r="6" spans="1:14">
      <c r="A6" s="12">
        <f>A5+1</f>
        <v>37018</v>
      </c>
      <c r="B6" s="931">
        <f>(Weather_Input!B6+Weather_Input!C6)/2</f>
        <v>61.5</v>
      </c>
      <c r="C6" s="912">
        <v>48000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37019</v>
      </c>
      <c r="B7" s="931">
        <f>(Weather_Input!B7+Weather_Input!C7)/2</f>
        <v>55</v>
      </c>
      <c r="C7" s="912">
        <v>55000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37020</v>
      </c>
      <c r="B8" s="931">
        <f>(Weather_Input!B8+Weather_Input!C8)/2</f>
        <v>55.5</v>
      </c>
      <c r="C8" s="912">
        <v>54000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37021</v>
      </c>
      <c r="B9" s="931">
        <f>(Weather_Input!B9+Weather_Input!C9)/2</f>
        <v>61.5</v>
      </c>
      <c r="C9" s="912">
        <v>48000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37022</v>
      </c>
      <c r="B10" s="931">
        <f>(Weather_Input!B10+Weather_Input!C10)/2</f>
        <v>61.5</v>
      </c>
      <c r="C10" s="912">
        <v>45000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636</v>
      </c>
      <c r="I4" s="3" t="s">
        <v>1</v>
      </c>
      <c r="J4" s="3" t="s">
        <v>756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400</v>
      </c>
      <c r="I5" s="109" t="s">
        <v>722</v>
      </c>
      <c r="J5" s="54" t="s">
        <v>745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769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5" t="s">
        <v>723</v>
      </c>
      <c r="J6" s="54" t="s">
        <v>755</v>
      </c>
      <c r="K6" s="54" t="s">
        <v>416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740</v>
      </c>
      <c r="S6" s="54" t="s">
        <v>103</v>
      </c>
      <c r="T6" s="1076" t="s">
        <v>719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3">
        <f>Weather_Input!A5</f>
        <v>37017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24830</v>
      </c>
      <c r="I7" s="624">
        <v>0</v>
      </c>
      <c r="J7" s="624">
        <v>3100</v>
      </c>
      <c r="K7" s="625">
        <v>0</v>
      </c>
      <c r="L7" s="624">
        <v>0</v>
      </c>
      <c r="M7" s="625">
        <v>0</v>
      </c>
      <c r="N7" s="625">
        <v>0</v>
      </c>
      <c r="O7" s="626">
        <v>6240</v>
      </c>
      <c r="P7" s="625">
        <v>190000</v>
      </c>
      <c r="Q7" s="627">
        <f t="shared" ref="Q7:Q12" si="0">P7*0.015</f>
        <v>2850</v>
      </c>
      <c r="R7" s="625">
        <v>630</v>
      </c>
      <c r="S7" s="625">
        <v>0</v>
      </c>
      <c r="T7" s="625">
        <v>0</v>
      </c>
      <c r="U7" s="624">
        <v>40200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37017</v>
      </c>
    </row>
    <row r="8" spans="1:89" s="1" customFormat="1" ht="12.75">
      <c r="A8" s="833">
        <f>A7+1</f>
        <v>37018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20000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150000</v>
      </c>
      <c r="Q8" s="627">
        <f t="shared" si="0"/>
        <v>2250</v>
      </c>
      <c r="R8" s="625">
        <v>630</v>
      </c>
      <c r="S8" s="625">
        <v>0</v>
      </c>
      <c r="T8" s="625">
        <v>0</v>
      </c>
      <c r="U8" s="624">
        <v>40200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37018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37019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150000</v>
      </c>
      <c r="Q9" s="627">
        <f t="shared" si="0"/>
        <v>2250</v>
      </c>
      <c r="R9" s="625">
        <v>630</v>
      </c>
      <c r="S9" s="625">
        <v>0</v>
      </c>
      <c r="T9" s="625">
        <v>0</v>
      </c>
      <c r="U9" s="624">
        <v>40200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37019</v>
      </c>
      <c r="AN9" s="624"/>
    </row>
    <row r="10" spans="1:89" s="1" customFormat="1" ht="12.75">
      <c r="A10" s="833">
        <f>A9+1</f>
        <v>37020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150000</v>
      </c>
      <c r="Q10" s="627">
        <f t="shared" si="0"/>
        <v>2250</v>
      </c>
      <c r="R10" s="625">
        <v>630</v>
      </c>
      <c r="S10" s="625">
        <v>0</v>
      </c>
      <c r="T10" s="625">
        <v>0</v>
      </c>
      <c r="U10" s="624">
        <v>40200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37020</v>
      </c>
    </row>
    <row r="11" spans="1:89" s="1" customFormat="1" ht="12.75">
      <c r="A11" s="833">
        <f>A10+1</f>
        <v>37021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150000</v>
      </c>
      <c r="Q11" s="627">
        <f t="shared" si="0"/>
        <v>2250</v>
      </c>
      <c r="R11" s="625">
        <v>630</v>
      </c>
      <c r="S11" s="625">
        <v>0</v>
      </c>
      <c r="T11" s="625">
        <v>0</v>
      </c>
      <c r="U11" s="624">
        <v>40200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37021</v>
      </c>
    </row>
    <row r="12" spans="1:89" s="1" customFormat="1" ht="12.75">
      <c r="A12" s="833">
        <f>A11+1</f>
        <v>37022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150000</v>
      </c>
      <c r="Q12" s="627">
        <f t="shared" si="0"/>
        <v>2250</v>
      </c>
      <c r="R12" s="625">
        <v>630</v>
      </c>
      <c r="S12" s="625">
        <v>0</v>
      </c>
      <c r="T12" s="625">
        <v>0</v>
      </c>
      <c r="U12" s="624">
        <v>40200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37022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635</v>
      </c>
      <c r="V4" s="3" t="s">
        <v>767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722</v>
      </c>
      <c r="V5" s="3" t="s">
        <v>765</v>
      </c>
      <c r="W5" s="3"/>
      <c r="X5" s="59" t="s">
        <v>745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696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416</v>
      </c>
      <c r="U6" s="1076" t="s">
        <v>723</v>
      </c>
      <c r="V6" s="54" t="s">
        <v>766</v>
      </c>
      <c r="W6" s="54" t="s">
        <v>11</v>
      </c>
      <c r="X6" s="1126" t="s">
        <v>752</v>
      </c>
      <c r="Y6" s="69" t="s">
        <v>745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3">
        <f>Weather_Input!A5</f>
        <v>37017</v>
      </c>
      <c r="B7" s="627">
        <v>0</v>
      </c>
      <c r="C7" s="628">
        <v>0</v>
      </c>
      <c r="D7" s="627">
        <v>0</v>
      </c>
      <c r="E7" s="627">
        <v>2800</v>
      </c>
      <c r="F7" s="627">
        <v>0</v>
      </c>
      <c r="G7" s="921">
        <v>0</v>
      </c>
      <c r="H7" s="625">
        <v>1000</v>
      </c>
      <c r="I7" s="625">
        <v>15000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20000</v>
      </c>
      <c r="U7" s="625">
        <v>0</v>
      </c>
      <c r="V7" s="626">
        <v>177744</v>
      </c>
      <c r="W7" s="626">
        <v>0</v>
      </c>
      <c r="X7" s="624">
        <v>0</v>
      </c>
      <c r="Y7" s="924">
        <v>172515</v>
      </c>
      <c r="Z7" s="626">
        <v>40200</v>
      </c>
      <c r="AA7" s="1">
        <v>0</v>
      </c>
      <c r="AB7" s="624">
        <v>183855</v>
      </c>
      <c r="AC7" s="624">
        <v>60064</v>
      </c>
      <c r="AD7" s="624">
        <v>0</v>
      </c>
      <c r="AE7" s="924">
        <v>0</v>
      </c>
      <c r="AF7" s="51">
        <f>Weather_Input!A5</f>
        <v>37017</v>
      </c>
      <c r="AI7" s="624"/>
      <c r="AJ7" s="624"/>
      <c r="AK7" s="624"/>
    </row>
    <row r="8" spans="1:37">
      <c r="A8" s="833">
        <f>A7+1</f>
        <v>37018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15000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23644</v>
      </c>
      <c r="U8" s="625">
        <v>0</v>
      </c>
      <c r="V8" s="626">
        <v>177744</v>
      </c>
      <c r="W8" s="626">
        <v>0</v>
      </c>
      <c r="X8" s="624">
        <v>0</v>
      </c>
      <c r="Y8" s="924">
        <v>172515</v>
      </c>
      <c r="Z8" s="626">
        <v>40200</v>
      </c>
      <c r="AA8" s="1">
        <v>0</v>
      </c>
      <c r="AB8" s="624">
        <v>183855</v>
      </c>
      <c r="AC8" s="624">
        <v>60064</v>
      </c>
      <c r="AD8" s="624">
        <v>0</v>
      </c>
      <c r="AE8" s="924">
        <v>0</v>
      </c>
      <c r="AF8" s="833">
        <f>AF7+1</f>
        <v>37018</v>
      </c>
      <c r="AI8" s="624"/>
      <c r="AJ8" s="624"/>
      <c r="AK8" s="624"/>
    </row>
    <row r="9" spans="1:37" s="624" customFormat="1">
      <c r="A9" s="833">
        <f>A8+1</f>
        <v>37019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15000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177744</v>
      </c>
      <c r="W9" s="626">
        <v>0</v>
      </c>
      <c r="X9" s="624">
        <v>0</v>
      </c>
      <c r="Y9" s="924">
        <v>172515</v>
      </c>
      <c r="Z9" s="626">
        <v>40200</v>
      </c>
      <c r="AA9" s="1">
        <v>0</v>
      </c>
      <c r="AB9" s="624">
        <v>183855</v>
      </c>
      <c r="AC9" s="624">
        <v>116064</v>
      </c>
      <c r="AD9" s="624">
        <v>0</v>
      </c>
      <c r="AE9" s="924">
        <v>0</v>
      </c>
      <c r="AF9" s="833">
        <f>AF8+1</f>
        <v>37019</v>
      </c>
    </row>
    <row r="10" spans="1:37">
      <c r="A10" s="833">
        <f>A9+1</f>
        <v>37020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15000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177744</v>
      </c>
      <c r="W10" s="626">
        <v>0</v>
      </c>
      <c r="X10" s="624">
        <v>0</v>
      </c>
      <c r="Y10" s="924">
        <v>172515</v>
      </c>
      <c r="Z10" s="626">
        <v>40200</v>
      </c>
      <c r="AA10" s="1">
        <v>0</v>
      </c>
      <c r="AB10" s="624">
        <v>183855</v>
      </c>
      <c r="AC10" s="624">
        <v>116064</v>
      </c>
      <c r="AD10" s="624">
        <v>0</v>
      </c>
      <c r="AE10" s="924">
        <v>0</v>
      </c>
      <c r="AF10" s="833">
        <f>AF9+1</f>
        <v>37020</v>
      </c>
      <c r="AI10" s="624"/>
      <c r="AJ10" s="624"/>
      <c r="AK10" s="624"/>
    </row>
    <row r="11" spans="1:37">
      <c r="A11" s="833">
        <f>A10+1</f>
        <v>37021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15000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177744</v>
      </c>
      <c r="W11" s="626">
        <v>0</v>
      </c>
      <c r="X11" s="624">
        <v>0</v>
      </c>
      <c r="Y11" s="924">
        <v>172515</v>
      </c>
      <c r="Z11" s="626">
        <v>40200</v>
      </c>
      <c r="AA11" s="1">
        <v>0</v>
      </c>
      <c r="AB11" s="624">
        <v>183855</v>
      </c>
      <c r="AC11" s="624">
        <v>116064</v>
      </c>
      <c r="AD11" s="624">
        <v>0</v>
      </c>
      <c r="AE11" s="924">
        <v>0</v>
      </c>
      <c r="AF11" s="833">
        <f>AF10+1</f>
        <v>37021</v>
      </c>
    </row>
    <row r="12" spans="1:37">
      <c r="A12" s="833">
        <f>A11+1</f>
        <v>37022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15000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177744</v>
      </c>
      <c r="W12" s="626">
        <v>0</v>
      </c>
      <c r="X12" s="624">
        <v>0</v>
      </c>
      <c r="Y12" s="924">
        <v>172515</v>
      </c>
      <c r="Z12" s="626">
        <v>40200</v>
      </c>
      <c r="AA12" s="1">
        <v>0</v>
      </c>
      <c r="AB12" s="624">
        <v>183855</v>
      </c>
      <c r="AC12" s="624">
        <v>116064</v>
      </c>
      <c r="AD12" s="624">
        <v>0</v>
      </c>
      <c r="AE12" s="924">
        <v>0</v>
      </c>
      <c r="AF12" s="833">
        <f>AF11+1</f>
        <v>37022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696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4">
        <f>Weather_Input!A5</f>
        <v>37017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37017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37018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37018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37019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37019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37020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37020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37021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37021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37022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37022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634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696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638</v>
      </c>
      <c r="R6" s="54" t="s">
        <v>131</v>
      </c>
      <c r="S6" s="1076" t="s">
        <v>38</v>
      </c>
      <c r="T6" s="54" t="s">
        <v>416</v>
      </c>
      <c r="U6" s="69" t="s">
        <v>61</v>
      </c>
    </row>
    <row r="7" spans="1:24">
      <c r="A7" s="833">
        <f>Weather_Input!A5</f>
        <v>37017</v>
      </c>
      <c r="B7" s="627">
        <v>0</v>
      </c>
      <c r="C7" s="628">
        <v>0</v>
      </c>
      <c r="D7" s="627">
        <v>0</v>
      </c>
      <c r="E7" s="627">
        <v>0</v>
      </c>
      <c r="F7" s="627">
        <v>12460</v>
      </c>
      <c r="G7" s="627">
        <f>(R7+S7+C7+PGL_Requirements!Y7+PGL_Requirements!Z7-NSG_Requirements!C7)*0.05</f>
        <v>2606.3500000000004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31536</v>
      </c>
      <c r="S7" s="627">
        <v>20591</v>
      </c>
      <c r="T7" s="627">
        <v>0</v>
      </c>
      <c r="U7" s="627">
        <v>0</v>
      </c>
      <c r="V7" s="833">
        <f>Weather_Input!A5</f>
        <v>37017</v>
      </c>
      <c r="W7" s="624"/>
      <c r="X7" s="624"/>
    </row>
    <row r="8" spans="1:24">
      <c r="A8" s="833">
        <f>A7+1</f>
        <v>37018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2606.3500000000004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31536</v>
      </c>
      <c r="S8" s="627">
        <v>20591</v>
      </c>
      <c r="T8" s="627">
        <v>0</v>
      </c>
      <c r="U8" s="627">
        <v>0</v>
      </c>
      <c r="V8" s="833">
        <f>V7+1</f>
        <v>37018</v>
      </c>
      <c r="W8" s="624"/>
      <c r="X8" s="624"/>
    </row>
    <row r="9" spans="1:24">
      <c r="A9" s="833">
        <f>A8+1</f>
        <v>37019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2606.3500000000004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31536</v>
      </c>
      <c r="S9" s="627">
        <v>20591</v>
      </c>
      <c r="T9" s="627">
        <v>0</v>
      </c>
      <c r="U9" s="627">
        <v>0</v>
      </c>
      <c r="V9" s="833">
        <f>V8+1</f>
        <v>37019</v>
      </c>
      <c r="W9" s="624"/>
      <c r="X9" s="624"/>
    </row>
    <row r="10" spans="1:24">
      <c r="A10" s="833">
        <f>A9+1</f>
        <v>37020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2606.3500000000004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31536</v>
      </c>
      <c r="S10" s="627">
        <v>20591</v>
      </c>
      <c r="T10" s="627">
        <v>0</v>
      </c>
      <c r="U10" s="627">
        <v>0</v>
      </c>
      <c r="V10" s="833">
        <f>V9+1</f>
        <v>37020</v>
      </c>
      <c r="W10" s="624"/>
      <c r="X10" s="624"/>
    </row>
    <row r="11" spans="1:24">
      <c r="A11" s="833">
        <f>A10+1</f>
        <v>37021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2606.3500000000004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31536</v>
      </c>
      <c r="S11" s="627">
        <v>20591</v>
      </c>
      <c r="T11" s="627">
        <v>0</v>
      </c>
      <c r="U11" s="627">
        <v>0</v>
      </c>
      <c r="V11" s="833">
        <f>V10+1</f>
        <v>37021</v>
      </c>
      <c r="W11" s="624"/>
      <c r="X11" s="624"/>
    </row>
    <row r="12" spans="1:24">
      <c r="A12" s="833">
        <f>A11+1</f>
        <v>37022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2606.3500000000004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31536</v>
      </c>
      <c r="S12" s="627">
        <v>20591</v>
      </c>
      <c r="T12" s="627">
        <v>0</v>
      </c>
      <c r="U12" s="627">
        <v>0</v>
      </c>
      <c r="V12" s="833">
        <f>V11+1</f>
        <v>37022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SUN</v>
      </c>
      <c r="I1" s="838">
        <f>D4</f>
        <v>37017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SUN</v>
      </c>
      <c r="E3" s="843" t="str">
        <f t="shared" si="0"/>
        <v>MON</v>
      </c>
      <c r="F3" s="843" t="str">
        <f t="shared" si="0"/>
        <v>TUE</v>
      </c>
      <c r="G3" s="843" t="str">
        <f t="shared" si="0"/>
        <v>WED</v>
      </c>
      <c r="H3" s="843" t="str">
        <f t="shared" si="0"/>
        <v>THU</v>
      </c>
      <c r="I3" s="844" t="str">
        <f t="shared" si="0"/>
        <v>FRI</v>
      </c>
    </row>
    <row r="4" spans="1:256" ht="15.75" thickBot="1">
      <c r="A4" s="845"/>
      <c r="B4" s="846"/>
      <c r="C4" s="846"/>
      <c r="D4" s="466">
        <f>Weather_Input!A5</f>
        <v>37017</v>
      </c>
      <c r="E4" s="466">
        <f>Weather_Input!A6</f>
        <v>37018</v>
      </c>
      <c r="F4" s="466">
        <f>Weather_Input!A7</f>
        <v>37019</v>
      </c>
      <c r="G4" s="466">
        <f>Weather_Input!A8</f>
        <v>37020</v>
      </c>
      <c r="H4" s="466">
        <f>Weather_Input!A9</f>
        <v>37021</v>
      </c>
      <c r="I4" s="467">
        <f>Weather_Input!A10</f>
        <v>37022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75/62/69</v>
      </c>
      <c r="E5" s="468" t="str">
        <f>TEXT(Weather_Input!B6,"0")&amp;"/"&amp;TEXT(Weather_Input!C6,"0") &amp; "/" &amp; TEXT((Weather_Input!B6+Weather_Input!C6)/2,"0")</f>
        <v>72/51/62</v>
      </c>
      <c r="F5" s="468" t="str">
        <f>TEXT(Weather_Input!B7,"0")&amp;"/"&amp;TEXT(Weather_Input!C7,"0") &amp; "/" &amp; TEXT((Weather_Input!B7+Weather_Input!C7)/2,"0")</f>
        <v>65/45/55</v>
      </c>
      <c r="G5" s="468" t="str">
        <f>TEXT(Weather_Input!B8,"0")&amp;"/"&amp;TEXT(Weather_Input!C8,"0") &amp; "/" &amp; TEXT((Weather_Input!B8+Weather_Input!C8)/2,"0")</f>
        <v>62/49/56</v>
      </c>
      <c r="H5" s="468" t="str">
        <f>TEXT(Weather_Input!B9,"0")&amp;"/"&amp;TEXT(Weather_Input!C9,"0") &amp; "/" &amp; TEXT((Weather_Input!B9+Weather_Input!C9)/2,"0")</f>
        <v>69/54/62</v>
      </c>
      <c r="I5" s="469" t="str">
        <f>TEXT(Weather_Input!B10,"0")&amp;"/"&amp;TEXT(Weather_Input!C10,"0") &amp; "/" &amp; TEXT((Weather_Input!B10+Weather_Input!C10)/2,"0")</f>
        <v>69/54/62</v>
      </c>
    </row>
    <row r="6" spans="1:256" ht="15.75">
      <c r="A6" s="852" t="s">
        <v>139</v>
      </c>
      <c r="B6" s="840"/>
      <c r="C6" s="840"/>
      <c r="D6" s="468">
        <f>PGL_Deliveries!C5/1000</f>
        <v>230</v>
      </c>
      <c r="E6" s="468">
        <f>PGL_Deliveries!C6/1000</f>
        <v>255</v>
      </c>
      <c r="F6" s="468">
        <f>PGL_Deliveries!C7/1000</f>
        <v>290</v>
      </c>
      <c r="G6" s="468">
        <f>PGL_Deliveries!C8/1000</f>
        <v>285</v>
      </c>
      <c r="H6" s="468">
        <f>PGL_Deliveries!C9/1000</f>
        <v>255</v>
      </c>
      <c r="I6" s="469">
        <f>PGL_Deliveries!C10/1000</f>
        <v>235</v>
      </c>
    </row>
    <row r="7" spans="1:256" ht="15.75">
      <c r="A7" s="852" t="s">
        <v>568</v>
      </c>
      <c r="B7" s="840" t="s">
        <v>416</v>
      </c>
      <c r="C7" s="840"/>
      <c r="D7" s="468">
        <f>PGL_Requirements!H7/1000*0.5</f>
        <v>12.414999999999999</v>
      </c>
      <c r="E7" s="468">
        <f>PGL_Requirements!H8/1000*0.5</f>
        <v>10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721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416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190</v>
      </c>
      <c r="E13" s="468">
        <f>PGL_Requirements!P8/1000</f>
        <v>150</v>
      </c>
      <c r="F13" s="468">
        <f>PGL_Requirements!P9/1000</f>
        <v>150</v>
      </c>
      <c r="G13" s="468">
        <f>PGL_Requirements!P10/1000</f>
        <v>150</v>
      </c>
      <c r="H13" s="468">
        <f>PGL_Requirements!P11/1000</f>
        <v>150</v>
      </c>
      <c r="I13" s="469">
        <f>PGL_Requirements!P12/1000</f>
        <v>150</v>
      </c>
    </row>
    <row r="14" spans="1:256" ht="15.75">
      <c r="A14" s="849"/>
      <c r="B14" s="840"/>
      <c r="C14" s="840" t="s">
        <v>101</v>
      </c>
      <c r="D14" s="468">
        <f>PGL_Requirements!Q7/1000</f>
        <v>2.85</v>
      </c>
      <c r="E14" s="468">
        <f>PGL_Requirements!Q8/1000</f>
        <v>2.25</v>
      </c>
      <c r="F14" s="468">
        <f>PGL_Requirements!Q9/1000</f>
        <v>2.25</v>
      </c>
      <c r="G14" s="468">
        <f>PGL_Requirements!Q10/1000</f>
        <v>2.25</v>
      </c>
      <c r="H14" s="468">
        <f>PGL_Requirements!Q11/1000</f>
        <v>2.25</v>
      </c>
      <c r="I14" s="469">
        <f>PGL_Requirements!Q12/1000</f>
        <v>2.25</v>
      </c>
    </row>
    <row r="15" spans="1:256" ht="15.75">
      <c r="A15" s="849"/>
      <c r="C15" s="840" t="s">
        <v>740</v>
      </c>
      <c r="D15" s="468">
        <f>PGL_Requirements!R7/1000</f>
        <v>0.63</v>
      </c>
      <c r="E15" s="468">
        <f>PGL_Requirements!R8/1000</f>
        <v>0.63</v>
      </c>
      <c r="F15" s="468">
        <f>PGL_Requirements!R9/1000</f>
        <v>0.63</v>
      </c>
      <c r="G15" s="468">
        <f>PGL_Requirements!R10/1000</f>
        <v>0.63</v>
      </c>
      <c r="H15" s="468">
        <f>PGL_Requirements!R11/1000</f>
        <v>0.63</v>
      </c>
      <c r="I15" s="469">
        <f>PGL_Requirements!R12/1000</f>
        <v>0.63</v>
      </c>
    </row>
    <row r="16" spans="1:256" ht="15.75">
      <c r="A16" s="849"/>
      <c r="C16" s="840" t="s">
        <v>773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719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40.200000000000003</v>
      </c>
      <c r="E18" s="468">
        <f>PGL_Requirements!U8/1000</f>
        <v>40.200000000000003</v>
      </c>
      <c r="F18" s="468">
        <f>PGL_Requirements!U9/1000</f>
        <v>40.200000000000003</v>
      </c>
      <c r="G18" s="468">
        <f>PGL_Requirements!U10/1000</f>
        <v>40.200000000000003</v>
      </c>
      <c r="H18" s="468">
        <f>PGL_Requirements!U11/1000</f>
        <v>40.200000000000003</v>
      </c>
      <c r="I18" s="469">
        <f>PGL_Requirements!U12/1000</f>
        <v>40.200000000000003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6.24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416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758</v>
      </c>
      <c r="C25" s="840"/>
      <c r="D25" s="468">
        <f>PGL_Requirements!J7/1000</f>
        <v>3.1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416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485.435</v>
      </c>
      <c r="E30" s="472">
        <f t="shared" si="1"/>
        <v>458.08</v>
      </c>
      <c r="F30" s="472">
        <f t="shared" si="1"/>
        <v>483.08</v>
      </c>
      <c r="G30" s="472">
        <f t="shared" si="1"/>
        <v>478.08</v>
      </c>
      <c r="H30" s="472">
        <f t="shared" si="1"/>
        <v>448.08</v>
      </c>
      <c r="I30" s="1175">
        <f t="shared" si="1"/>
        <v>428.08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416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721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622</v>
      </c>
      <c r="B43" s="840" t="s">
        <v>416</v>
      </c>
      <c r="C43" s="840"/>
      <c r="D43" s="468">
        <f>PGL_Supplies!T7/1000*0.5</f>
        <v>10</v>
      </c>
      <c r="E43" s="468">
        <f>PGL_Supplies!T8/1000*0.5</f>
        <v>11.821999999999999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416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768</v>
      </c>
      <c r="B47" s="840" t="s">
        <v>746</v>
      </c>
      <c r="C47" s="840"/>
      <c r="D47" s="468">
        <f>PGL_Supplies!Y7/1000</f>
        <v>172.51499999999999</v>
      </c>
      <c r="E47" s="468">
        <f>PGL_Supplies!Y8/1000</f>
        <v>172.51499999999999</v>
      </c>
      <c r="F47" s="468">
        <f>PGL_Supplies!Y9/1000</f>
        <v>172.51499999999999</v>
      </c>
      <c r="G47" s="468">
        <f>PGL_Supplies!Y10/1000</f>
        <v>172.51499999999999</v>
      </c>
      <c r="H47" s="468">
        <f>PGL_Supplies!Y11/1000</f>
        <v>172.51499999999999</v>
      </c>
      <c r="I47" s="469">
        <f>PGL_Supplies!Y12/1000</f>
        <v>172.51499999999999</v>
      </c>
    </row>
    <row r="48" spans="1:9" ht="15.75">
      <c r="A48" s="852"/>
      <c r="B48" s="840" t="s">
        <v>143</v>
      </c>
      <c r="C48" s="853"/>
      <c r="D48" s="468">
        <f>PGL_Supplies!Z7/1000</f>
        <v>40.200000000000003</v>
      </c>
      <c r="E48" s="468">
        <f>PGL_Supplies!Z8/1000</f>
        <v>40.200000000000003</v>
      </c>
      <c r="F48" s="468">
        <f>PGL_Supplies!Z9/1000</f>
        <v>40.200000000000003</v>
      </c>
      <c r="G48" s="468">
        <f>PGL_Supplies!Z10/1000</f>
        <v>40.200000000000003</v>
      </c>
      <c r="H48" s="468">
        <f>PGL_Supplies!Z11/1000</f>
        <v>40.200000000000003</v>
      </c>
      <c r="I48" s="469">
        <f>PGL_Supplies!Z12/1000</f>
        <v>40.200000000000003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416</v>
      </c>
      <c r="C50" s="853"/>
      <c r="D50" s="468">
        <f>PGL_Supplies!AB7/1000</f>
        <v>183.85499999999999</v>
      </c>
      <c r="E50" s="468">
        <f>PGL_Supplies!AB8/1000</f>
        <v>183.85499999999999</v>
      </c>
      <c r="F50" s="468">
        <f>PGL_Supplies!AB9/1000</f>
        <v>183.85499999999999</v>
      </c>
      <c r="G50" s="468">
        <f>PGL_Supplies!AB10/1000</f>
        <v>183.85499999999999</v>
      </c>
      <c r="H50" s="468">
        <f>PGL_Supplies!AB11/1000</f>
        <v>183.85499999999999</v>
      </c>
      <c r="I50" s="469">
        <f>PGL_Supplies!AB12/1000</f>
        <v>183.85499999999999</v>
      </c>
    </row>
    <row r="51" spans="1:10" ht="15.75">
      <c r="A51" s="852"/>
      <c r="B51" s="840" t="s">
        <v>141</v>
      </c>
      <c r="C51" s="840"/>
      <c r="D51" s="468">
        <f>PGL_Supplies!AC7/1000</f>
        <v>60.064</v>
      </c>
      <c r="E51" s="468">
        <f>PGL_Supplies!AC8/1000</f>
        <v>60.064</v>
      </c>
      <c r="F51" s="468">
        <f>PGL_Supplies!AC9/1000</f>
        <v>116.06399999999999</v>
      </c>
      <c r="G51" s="468">
        <f>PGL_Supplies!AC10/1000</f>
        <v>116.06399999999999</v>
      </c>
      <c r="H51" s="468">
        <f>PGL_Supplies!AC11/1000</f>
        <v>116.06399999999999</v>
      </c>
      <c r="I51" s="469">
        <f>PGL_Supplies!AC12/1000</f>
        <v>116.06399999999999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15</v>
      </c>
      <c r="E53" s="468">
        <f>PGL_Supplies!I8/1000</f>
        <v>15</v>
      </c>
      <c r="F53" s="468">
        <f>PGL_Supplies!I9/1000</f>
        <v>15</v>
      </c>
      <c r="G53" s="468">
        <f>PGL_Supplies!I10/1000</f>
        <v>15</v>
      </c>
      <c r="H53" s="468">
        <f>PGL_Supplies!I11/1000</f>
        <v>15</v>
      </c>
      <c r="I53" s="469">
        <f>PGL_Supplies!I12/1000</f>
        <v>15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786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757</v>
      </c>
      <c r="B56" s="840" t="s">
        <v>746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416</v>
      </c>
      <c r="C59" s="840"/>
      <c r="D59" s="468">
        <f>PGL_Supplies!E7/1000</f>
        <v>2.8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485.43399999999997</v>
      </c>
      <c r="E61" s="478">
        <f t="shared" si="2"/>
        <v>484.45599999999996</v>
      </c>
      <c r="F61" s="478">
        <f t="shared" si="2"/>
        <v>528.6339999999999</v>
      </c>
      <c r="G61" s="478">
        <f t="shared" si="2"/>
        <v>528.6339999999999</v>
      </c>
      <c r="H61" s="478">
        <f t="shared" si="2"/>
        <v>528.6339999999999</v>
      </c>
      <c r="I61" s="1177">
        <f t="shared" si="2"/>
        <v>528.6339999999999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26.375999999999976</v>
      </c>
      <c r="F62" s="479">
        <f t="shared" si="3"/>
        <v>45.553999999999917</v>
      </c>
      <c r="G62" s="479">
        <f t="shared" si="3"/>
        <v>50.553999999999917</v>
      </c>
      <c r="H62" s="479">
        <f t="shared" si="3"/>
        <v>80.553999999999917</v>
      </c>
      <c r="I62" s="1178">
        <f t="shared" si="3"/>
        <v>100.55399999999992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1.0000000000331966E-3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772</v>
      </c>
      <c r="B64" s="1167"/>
      <c r="C64" s="1167"/>
      <c r="D64" s="1168">
        <f>PGL_Supplies!V7/1000</f>
        <v>177.744</v>
      </c>
      <c r="E64" s="1168">
        <f>PGL_Supplies!V8/1000</f>
        <v>177.744</v>
      </c>
      <c r="F64" s="1168">
        <f>PGL_Supplies!V9/1000</f>
        <v>177.744</v>
      </c>
      <c r="G64" s="1168">
        <f>PGL_Supplies!V10/1000</f>
        <v>177.744</v>
      </c>
      <c r="H64" s="1168">
        <f>PGL_Supplies!V11/1000</f>
        <v>177.744</v>
      </c>
      <c r="I64" s="1169">
        <f>PGL_Supplies!V12/1000</f>
        <v>177.744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2001-05-07T08:40:22Z</cp:lastPrinted>
  <dcterms:created xsi:type="dcterms:W3CDTF">1997-07-16T16:14:22Z</dcterms:created>
  <dcterms:modified xsi:type="dcterms:W3CDTF">2023-09-10T17:21:02Z</dcterms:modified>
</cp:coreProperties>
</file>