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4DE81A-D3A7-47D1-A98D-A4F52926D540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B58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<sst xmlns="http://schemas.openxmlformats.org/spreadsheetml/2006/main" count="2128" uniqueCount="805">
  <si>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</si>
  <si>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</si>
  <si>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</si>
  <si>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</si>
  <si>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</si>
  <si>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</si>
  <si>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</si>
  <si>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</si>
  <si>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</si>
  <si>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</si>
  <si>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</si>
  <si>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</si>
  <si>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</si>
  <si>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</si>
  <si>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</si>
  <si>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</si>
  <si>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</si>
  <si>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</si>
  <si>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</si>
  <si>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</si>
  <si>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</si>
  <si>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</si>
  <si>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</si>
  <si>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</si>
  <si>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</si>
  <si>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</si>
  <si>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</si>
  <si>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</si>
  <si>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</si>
  <si>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</si>
  <si>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</si>
  <si>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</si>
  <si>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</si>
  <si>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</si>
  <si>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</si>
  <si>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</si>
  <si>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</si>
  <si>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</si>
  <si>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</si>
  <si>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</si>
  <si>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</si>
  <si>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</si>
  <si>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</si>
  <si>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</si>
  <si>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</si>
  <si>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</si>
  <si>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</si>
  <si>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</si>
  <si>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</si>
  <si>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</si>
  <si>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</si>
  <si>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</si>
  <si>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</si>
  <si>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</si>
  <si>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</si>
  <si>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</si>
  <si>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</si>
  <si>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</si>
  <si>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</si>
  <si>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</si>
  <si>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</si>
  <si>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</si>
  <si>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</si>
  <si>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</si>
  <si>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</si>
  <si>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</si>
  <si>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</si>
  <si>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</si>
  <si>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</si>
  <si>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</si>
  <si>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</si>
  <si>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</si>
  <si>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</si>
  <si>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</si>
  <si>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</si>
  <si>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</si>
  <si>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</si>
  <si>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</si>
  <si>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</si>
  <si>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</si>
  <si>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</si>
  <si>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</si>
  <si>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</si>
  <si>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</si>
  <si>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</si>
  <si>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</si>
  <si>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</si>
  <si>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</si>
  <si>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</si>
  <si>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</si>
  <si>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</si>
  <si>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</si>
  <si>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</si>
  <si>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</si>
  <si>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</si>
  <si>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</si>
  <si>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</si>
  <si>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</si>
  <si>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</si>
  <si>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</si>
  <si>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</si>
  <si>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</si>
  <si>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</si>
  <si>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</si>
  <si>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</si>
  <si>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</si>
  <si>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</si>
  <si>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</si>
  <si>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</si>
  <si>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</si>
  <si>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</si>
  <si>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</si>
  <si>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</si>
  <si>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</si>
  <si>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</si>
  <si>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</si>
  <si>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</si>
  <si>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</si>
  <si>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</si>
  <si>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</si>
  <si>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</si>
  <si>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</si>
  <si>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</si>
  <si>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</si>
  <si>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</si>
  <si>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</si>
  <si>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</si>
  <si>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</si>
  <si>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</si>
  <si>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</si>
  <si>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</si>
  <si>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</si>
  <si>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</si>
  <si>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</si>
  <si>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</si>
  <si>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</si>
  <si>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</si>
  <si>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</si>
  <si>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</si>
  <si>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</si>
  <si>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</si>
  <si>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</si>
  <si>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</si>
  <si>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</si>
  <si>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</si>
  <si>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</si>
  <si>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</si>
  <si>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</si>
  <si>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</si>
  <si>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</si>
  <si>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</si>
  <si>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</si>
  <si>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</si>
  <si>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</si>
  <si>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</si>
  <si>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</si>
  <si>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</si>
  <si>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</si>
  <si>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</si>
  <si>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</si>
  <si>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</si>
  <si>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</si>
  <si>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</si>
  <si>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</si>
  <si>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</si>
  <si>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</si>
  <si>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</si>
  <si>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</si>
  <si>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</si>
  <si>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</si>
  <si>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</si>
  <si>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</si>
  <si>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</si>
  <si>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</si>
  <si>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</si>
  <si>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</si>
  <si>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</si>
  <si>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</si>
  <si>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</si>
  <si>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</si>
  <si>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</si>
  <si>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</si>
  <si>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</si>
  <si>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</si>
  <si>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</si>
  <si>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</si>
  <si>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</si>
  <si>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</si>
  <si>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</si>
  <si>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</si>
  <si>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</si>
  <si>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</si>
  <si>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</si>
  <si>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</si>
  <si>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</si>
  <si>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</si>
  <si>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</si>
  <si>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</si>
  <si>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</si>
  <si>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</si>
  <si>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</si>
  <si>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</si>
  <si>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</si>
  <si>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</si>
  <si>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</si>
  <si>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</si>
  <si>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</si>
  <si>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</si>
  <si>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</si>
  <si>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</si>
  <si>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</si>
  <si>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</si>
  <si>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</si>
  <si>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</si>
  <si>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</si>
  <si>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</si>
  <si>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</si>
  <si>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</si>
  <si>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</si>
  <si>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</si>
  <si>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</si>
  <si>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</si>
  <si>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</si>
  <si>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</si>
  <si>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</si>
  <si>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</si>
  <si>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</si>
  <si>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</si>
  <si>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</si>
  <si>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</si>
  <si>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</si>
  <si>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</si>
  <si>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</si>
  <si>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</si>
  <si>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</si>
  <si>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</si>
  <si>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</si>
  <si>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</si>
  <si>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</si>
  <si>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</si>
  <si>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</si>
  <si>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</si>
  <si>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</si>
  <si>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</si>
  <si>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</si>
  <si>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</si>
  <si>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</si>
  <si>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</si>
  <si>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</si>
  <si>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</si>
  <si>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</si>
  <si>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</si>
  <si>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</si>
  <si>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</si>
  <si>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</si>
  <si>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</si>
  <si>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</si>
  <si>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</si>
  <si>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</si>
  <si>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</si>
  <si>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</si>
  <si>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</si>
  <si>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</si>
  <si>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</si>
  <si>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</si>
  <si>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</si>
  <si>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</si>
  <si>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</si>
  <si>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</si>
  <si>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</si>
  <si>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</si>
  <si>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</si>
  <si>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</si>
  <si>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</si>
  <si>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</si>
  <si>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</si>
  <si>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</si>
  <si>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</si>
  <si>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</si>
  <si>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</si>
  <si>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</si>
  <si>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</si>
  <si>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</si>
  <si>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</si>
  <si>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</si>
  <si>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</si>
  <si>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</si>
  <si>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</si>
  <si>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</si>
  <si>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</si>
  <si>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</si>
  <si>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</si>
  <si>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</si>
  <si>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</si>
  <si>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</si>
  <si>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</si>
  <si>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</si>
  <si>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</si>
  <si>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</si>
  <si>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</si>
  <si>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</si>
  <si>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</si>
  <si>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</si>
  <si>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</si>
  <si>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</si>
  <si>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</si>
  <si>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</si>
  <si>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</si>
  <si>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</si>
  <si>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</si>
  <si>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</si>
  <si>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</si>
  <si>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</si>
  <si>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</si>
  <si>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</si>
  <si>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</si>
  <si>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</si>
  <si>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</si>
  <si>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</si>
  <si>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</si>
  <si>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</si>
  <si>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</si>
  <si>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</si>
  <si>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</si>
  <si>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</si>
  <si>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</si>
  <si>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</si>
  <si>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</si>
  <si>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</si>
  <si>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</si>
  <si>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</si>
  <si>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</si>
  <si>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</si>
  <si>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</si>
  <si>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</si>
  <si>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</si>
  <si>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</si>
  <si>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</si>
  <si>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</si>
  <si>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</si>
  <si>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</si>
  <si>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</si>
  <si>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</si>
  <si>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</si>
  <si>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</si>
  <si>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</si>
  <si>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</si>
  <si>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</si>
  <si>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</si>
  <si>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</si>
  <si>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</si>
  <si>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</si>
  <si>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</si>
  <si>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</si>
  <si>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</si>
  <si>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</si>
  <si>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</si>
  <si>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</si>
  <si>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</si>
  <si>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</si>
  <si>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</si>
  <si>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</si>
  <si>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</si>
  <si>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</si>
  <si>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</si>
  <si>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</si>
  <si>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</si>
  <si>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</si>
  <si>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</si>
  <si>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</si>
  <si>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</si>
  <si>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</si>
  <si>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</si>
  <si>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</si>
  <si>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</si>
  <si>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</si>
  <si>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</si>
  <si>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</si>
  <si>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</si>
  <si>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</si>
  <si>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</si>
  <si>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</si>
  <si>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</si>
  <si>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</si>
  <si>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</si>
  <si>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</si>
  <si>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</si>
  <si>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</si>
  <si>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</si>
  <si>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</si>
  <si>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</si>
  <si>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</si>
  <si>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</si>
  <si>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</si>
  <si>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</si>
  <si>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</si>
  <si>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</si>
  <si>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</si>
  <si>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</si>
  <si>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</si>
  <si>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</si>
  <si>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</si>
  <si>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</si>
  <si>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</si>
  <si>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</si>
  <si>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</si>
  <si>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</si>
  <si>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</si>
  <si>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</si>
  <si>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</si>
  <si>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</si>
  <si>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</si>
  <si>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</si>
  <si>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</si>
  <si>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</si>
  <si>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</si>
  <si>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</si>
  <si>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</si>
  <si>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</si>
  <si>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</si>
  <si>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</si>
  <si>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</si>
  <si>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</si>
  <si>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</si>
  <si>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</si>
  <si>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</si>
  <si>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</si>
  <si>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</si>
  <si>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</si>
  <si>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</si>
  <si>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</si>
  <si>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</si>
  <si>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</si>
  <si>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</si>
  <si>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</si>
  <si>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</si>
  <si>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</si>
  <si>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</si>
  <si>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</si>
  <si>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</si>
  <si>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</si>
  <si>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</si>
  <si>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</si>
  <si>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</si>
  <si>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</si>
  <si>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</si>
  <si>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</si>
  <si>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</si>
  <si>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</si>
  <si>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</si>
  <si>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</si>
  <si>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</si>
  <si>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</si>
  <si>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</si>
  <si>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</si>
  <si>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</si>
  <si>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</si>
  <si>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</si>
  <si>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</si>
  <si>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</si>
  <si>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</si>
  <si>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</si>
  <si>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</si>
  <si>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</si>
  <si>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</si>
  <si>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</si>
  <si>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</si>
  <si>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</si>
  <si>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</si>
  <si>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</si>
  <si>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</si>
  <si>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</si>
  <si>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</si>
  <si>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</si>
  <si>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</si>
  <si>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</si>
  <si>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</si>
  <si>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</si>
  <si>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</si>
  <si>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</si>
  <si>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</si>
  <si>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</si>
  <si>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</si>
  <si>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</si>
  <si>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</si>
  <si>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</si>
  <si>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</si>
  <si>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</si>
  <si>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</si>
  <si>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</si>
  <si>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</si>
  <si>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</si>
  <si>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</si>
  <si>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</si>
  <si>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</si>
  <si>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</si>
  <si>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</si>
  <si>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</si>
  <si>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</si>
  <si>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</si>
  <si>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</si>
  <si>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</si>
  <si>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</si>
  <si>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</si>
  <si>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</si>
  <si>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</si>
  <si>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</si>
  <si>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</si>
  <si>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</si>
  <si>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</si>
  <si>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</si>
  <si>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</si>
  <si>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</si>
  <si>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</si>
  <si>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</si>
  <si>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</si>
  <si>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</si>
  <si>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</si>
  <si>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</si>
  <si>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</si>
  <si>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</si>
  <si>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</si>
  <si>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</si>
  <si>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</si>
  <si>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</si>
  <si>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</si>
  <si>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</si>
  <si>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</si>
  <si>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</si>
  <si>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</si>
  <si>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</si>
  <si>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</si>
  <si>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</si>
  <si>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</si>
  <si>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</si>
  <si>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</si>
  <si>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</si>
  <si>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</si>
  <si>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</si>
  <si>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</si>
  <si>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</si>
  <si>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</si>
  <si>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</si>
  <si>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</si>
  <si>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</si>
  <si>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</si>
  <si>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</si>
  <si>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</si>
  <si>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</si>
  <si>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</si>
  <si>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</si>
  <si>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</si>
  <si>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</si>
  <si>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</si>
  <si>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</si>
  <si>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</si>
  <si>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</si>
  <si>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</si>
  <si>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</si>
  <si>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</si>
  <si>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</si>
  <si>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</si>
  <si>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</si>
  <si>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</si>
  <si>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</si>
  <si>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</si>
  <si>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</si>
  <si>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</si>
  <si>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</si>
  <si>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</si>
  <si>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</si>
  <si>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</si>
  <si>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</si>
  <si>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</si>
  <si>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</si>
  <si>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</si>
  <si>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</si>
  <si>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</si>
  <si>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</si>
  <si>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</si>
  <si>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</si>
  <si>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</si>
  <si>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</si>
  <si>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</si>
  <si>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</si>
  <si>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</si>
  <si>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</si>
  <si>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</si>
  <si>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</si>
  <si>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</si>
  <si>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</si>
  <si>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</si>
  <si>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</si>
  <si>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</si>
  <si>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</si>
  <si>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</si>
  <si>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</si>
  <si>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</si>
  <si>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</si>
  <si>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</si>
  <si>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</si>
  <si>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</si>
  <si>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</si>
  <si>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</si>
  <si>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</si>
  <si>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</si>
  <si>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</si>
  <si>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</si>
  <si>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</si>
  <si>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</si>
  <si>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</si>
  <si>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</si>
  <si>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</si>
  <si>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</si>
  <si>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</si>
  <si>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</si>
  <si>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</si>
  <si>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</si>
  <si>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</si>
  <si>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</si>
  <si>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</si>
  <si>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</si>
  <si>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</si>
  <si>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</si>
  <si>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</si>
  <si>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</si>
  <si>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</si>
  <si>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</si>
  <si>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</si>
  <si>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</si>
  <si>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</si>
  <si>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</si>
  <si>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</si>
  <si>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</si>
  <si>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</si>
  <si>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</si>
  <si>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</si>
  <si>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</si>
  <si>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</si>
  <si>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</si>
  <si>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</si>
  <si>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</si>
  <si>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</si>
  <si>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</si>
  <si>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</si>
  <si>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</si>
  <si>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</si>
  <si>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</si>
  <si>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</si>
  <si>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</si>
  <si>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</si>
  <si>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</si>
  <si>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</si>
  <si>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</si>
  <si>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</si>
  <si>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</si>
  <si>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</si>
  <si>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</si>
  <si>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</si>
  <si>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</si>
  <si>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</si>
  <si>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</si>
  <si>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</si>
  <si>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</si>
  <si>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</si>
  <si>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</si>
  <si>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</si>
  <si>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</si>
  <si>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</si>
  <si>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</si>
  <si>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</si>
  <si>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</si>
  <si>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</si>
  <si>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</si>
  <si>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</si>
  <si>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</si>
  <si>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</si>
  <si>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</si>
  <si>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</si>
  <si>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</si>
  <si>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</si>
  <si>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</si>
  <si>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</si>
  <si>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</si>
  <si>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</si>
  <si>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</si>
  <si>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</si>
  <si>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</si>
  <si>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</si>
  <si>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</si>
  <si>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</si>
  <si>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</si>
  <si>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</si>
  <si>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</si>
  <si>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</si>
  <si>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</si>
  <si>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</si>
  <si>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</si>
  <si>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</si>
  <si>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</si>
  <si>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</si>
  <si>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</si>
  <si>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</si>
  <si>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</si>
  <si>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</si>
  <si>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</si>
  <si>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</si>
  <si>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</si>
  <si>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</si>
  <si>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</si>
  <si>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</si>
  <si>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</si>
  <si>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</si>
  <si>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</si>
  <si>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</si>
  <si>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</si>
  <si>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</si>
  <si>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</si>
  <si>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</si>
  <si>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</si>
  <si>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</si>
  <si>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</si>
  <si>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</si>
  <si>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</si>
  <si>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</si>
  <si>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</si>
  <si>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</si>
  <si>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</si>
  <si>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</si>
  <si>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</si>
  <si>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</si>
  <si>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</si>
  <si>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</si>
  <si>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</si>
  <si>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</si>
  <si>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</si>
  <si>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</si>
  <si>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</si>
  <si>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</si>
  <si>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</si>
  <si>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</si>
  <si>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</si>
  <si>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</si>
  <si>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</si>
  <si>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</si>
  <si>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</si>
  <si>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</si>
  <si>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</si>
  <si>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</si>
  <si>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</si>
  <si>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</si>
  <si>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</si>
  <si>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</si>
  <si>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</si>
  <si>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</si>
  <si>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</si>
  <si>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</si>
  <si>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</si>
  <si>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</si>
  <si>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</si>
  <si>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</si>
  <si>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</si>
  <si>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</si>
  <si>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</si>
  <si>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</si>
  <si>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</si>
  <si>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</si>
  <si>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</si>
  <si>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</si>
  <si>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</si>
  <si>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</si>
  <si>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</si>
  <si>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</si>
  <si>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</si>
  <si>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</si>
  <si>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</si>
  <si>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</si>
  <si>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</si>
  <si>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</si>
  <si>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</si>
  <si>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</si>
  <si>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</si>
  <si>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</si>
  <si>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</si>
  <si>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</si>
  <si>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</si>
  <si>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</si>
  <si>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</si>
  <si>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</si>
  <si>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</si>
  <si>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</si>
  <si>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</si>
  <si>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</si>
  <si>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</si>
  <si>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</si>
  <si>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</si>
  <si>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</si>
  <si>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</si>
  <si>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SCATTERED SHOWERS AND POSSIBLE T'STORMS THIS A.M. THEN MOSTLY CLOUD</t>
  </si>
  <si>
    <t>Y AND WINDY. S.E. WINDS 10 TO 15 MPH. OVERNIGHT…MOSTLY CLOUDY. WINDS 10/20 .</t>
  </si>
  <si>
    <t>CLOUDY AND COOL WITH A 30% CHANCE OF SHOWERS. OVERNIGHT…CLOUDY WITH</t>
  </si>
  <si>
    <t>A 50% CHANCE OF SHOWERS.</t>
  </si>
  <si>
    <t>SCATTERED SHOWERS.</t>
  </si>
  <si>
    <t>SHOWERS LIKELY.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</si>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</sst>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8B3D613-4F01-8C10-0CD7-5111B55311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F08319B-B4B0-78B2-F7E9-EFF7B91CC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44FC791-A495-5F01-B046-63C4AA9BC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DE6CD86-A6FA-3F5E-9ABA-05799E080E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EFC25A8-8FF2-10A7-3ABC-643350E27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43A59CC-D0AB-26AF-7583-201109C32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7A71600B-93C3-C42E-1899-E8267C2CF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030FE3C-A0FA-5363-E39C-F355E55DD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B13CFD19-9544-0850-1F5F-DEDDAFF19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206EE1CE-4FE2-77B4-B7C1-738E710499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311ABF9-C781-9131-A9B4-D810ECD64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7A11823B-56D1-50A7-771F-2D5F26875E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B053AA90-7FCD-38E8-D8F2-434BDC38D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C40606C-6989-3960-CB0F-E53C9762F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3DB486CB-0D25-6909-649B-6721E705AD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C27C6246-5C3D-351A-8E52-57851A2DE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14AAFFC9-0651-D266-95DC-ED426D0D95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B74D18F0-61E0-6FE5-1F09-FE650AFC20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C368ABF2-198E-258A-C6E4-C9402CA5FF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B7674B14-672D-83DA-4C24-B95674D910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11666565-8760-6F26-B06D-70B74F184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A4C1A5C7-CD5B-580F-C391-F78434F57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82FB3389-C181-F89B-2894-AD8807FD6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BAE17263-E16F-7F1C-DA02-6F9A7934E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F1C0CFBB-99E8-014B-37A9-04241C124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357ADF40-BE57-1801-D1A4-2E6C0C6F4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BE279816-BDBD-4B0C-599D-EB1879A0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204F50E0-4B9C-28A4-FD81-65D4CC857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8C4228A2-875C-D417-C970-9CDBC70EB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876090BD-45DE-E67D-D420-2A0AA93B0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CA4AC12E-5792-7B0B-5D08-0565A9EC6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0F845896-8E9E-4B93-8572-D8F3BCCDD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5E073B2B-066A-5152-9E57-C4585F022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22BD90B2-F707-3069-1708-C705A7093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34F01875-F0B9-04B4-7870-5B7BEA673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E500270F-4C53-D137-186B-EFBC4FC24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26980058-2514-702A-8F95-2782791C3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A3D5A9D6-DD4D-1B31-005E-F195BC8C5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09B94484-9223-DA18-1B7A-2C7A6FA94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79CDACB1-763B-A286-3A37-6DE4D5315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91ED0FAF-87BE-C537-1CC9-3BF94DD0F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A5F332EF-CB23-1303-A915-DF29913B5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6A145119-BBA9-BB91-CA49-A761E4B6F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59B20BDD-C5BA-3711-5F81-C0675C5A2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067" name="Day_1">
          <a:extLst>
            <a:ext uri="{FF2B5EF4-FFF2-40B4-BE49-F238E27FC236}">
              <a16:creationId xmlns:a16="http://schemas.microsoft.com/office/drawing/2014/main" id="{B4539DB5-AF59-6BD1-F590-E05C2B12C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068" name="Day_2">
          <a:extLst>
            <a:ext uri="{FF2B5EF4-FFF2-40B4-BE49-F238E27FC236}">
              <a16:creationId xmlns:a16="http://schemas.microsoft.com/office/drawing/2014/main" id="{820580AE-E806-B9FF-3136-E3CC9DF8D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069" name="Day_3">
          <a:extLst>
            <a:ext uri="{FF2B5EF4-FFF2-40B4-BE49-F238E27FC236}">
              <a16:creationId xmlns:a16="http://schemas.microsoft.com/office/drawing/2014/main" id="{981B59F4-39A1-E240-F1B2-B1A7075B3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070" name="Day_4">
          <a:extLst>
            <a:ext uri="{FF2B5EF4-FFF2-40B4-BE49-F238E27FC236}">
              <a16:creationId xmlns:a16="http://schemas.microsoft.com/office/drawing/2014/main" id="{A9DE8747-4E83-94C0-725A-045F39173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071" name="Day_5">
          <a:extLst>
            <a:ext uri="{FF2B5EF4-FFF2-40B4-BE49-F238E27FC236}">
              <a16:creationId xmlns:a16="http://schemas.microsoft.com/office/drawing/2014/main" id="{C52088B3-EA6F-B8C2-4E2B-E47F61AEE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072" name="Day_6">
          <a:extLst>
            <a:ext uri="{FF2B5EF4-FFF2-40B4-BE49-F238E27FC236}">
              <a16:creationId xmlns:a16="http://schemas.microsoft.com/office/drawing/2014/main" id="{9F73D711-1D88-7467-AA19-01EC19D26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0CF11FE2-CD47-C6D9-9AAF-88AD5A4E18A7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CA7669AB-88FC-CD80-3825-B987FBBD4450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28FE93E9-2B06-B8D9-29EB-E2B44E21FFFB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59381567-01BB-3140-BDC8-36806FD6DA88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F9D082F5-065C-7AED-E53A-65D8FD101671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733102F3-34D8-9DB4-11E6-93DA71B4E1DA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18037986-C061-DA21-7638-F22ED3F610BA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2AB5363B-E86F-189D-EC9E-E26A8B34B3A1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118AE851-5D4E-C72C-CB2D-2A9025A01391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8B26D799-4A3C-DD6C-6F33-0D7BA0F1B8A4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9FD887D9-3388-9BFA-1D55-66C84750602B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879659BB-631E-FF96-B4EF-6FDAD3295977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676575D8-B191-DC50-CDF1-3508DEA661A8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0F004757-200A-B51D-993C-0DF5BFCF9524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83CF6E53-5FEB-B1D1-1EFF-9BBB370BDDA9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97520AEC-233B-C971-47C4-71ABA33B4A50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7F0729FF-77C2-8D4F-474E-708E209B1F46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9A602912-1533-BC16-77BD-49C64B9FF597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0256EEB4-746D-C1D7-3302-73D2DE4D2FE2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A106FB70-29F1-6C27-1B67-A52B5130B94A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E333616E-E70F-00D1-9B20-81A18E54117D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001DDFDA-03D4-A7CE-507A-BF0289AA05B4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12F1807F-9E68-9802-09FA-628E12B8E9C2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84DC02AC-BC91-E792-1857-3D630B1AEB35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9E9732C3-533C-DCBF-D866-85E548D7386A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46C82196-10C2-A91B-EB35-5FBBCCBC02ED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A760D51E-1D0A-3B58-AEC6-87429BFDD334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BFE25348-EFF0-B271-303D-F359DD77D97F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594668DA-4A35-6A44-3FCA-B24AD230C0D5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B672E14F-E012-E778-5DE8-6E27EFC314B6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982C6A27-75B1-1083-59D6-5E74CB565AB9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19633F7F-BD73-B037-F701-819F4D298C90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30FD9D57-374F-56B3-D127-487709FF976E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5D154C12-93BF-32AF-36E5-45D997D0230B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BB2A19AF-DBCB-4347-EF65-AA9B50B12B03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68F53996-1437-D62C-8D16-E7196A9305A7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CAC15C61-B76E-8D84-1C53-4171CAE30005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8B2ED26E-942C-D991-2B7D-03E8F902725D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6E4A855F-78C5-3EB1-8B13-8E8ACDD23AAD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3B8F52E2-30B5-19EE-1935-D3B79C2DA6BD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0528AFA7-274F-B518-1A4E-616A23339DCD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A83A0C7B-921F-E089-3245-42FC36185936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49839A58-573A-2A49-E421-7E8CFC5758E5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C9FA6187-41B1-4AEA-6537-FD7D748D1D43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8BDA2DE3-91C1-E9F0-7DCF-BEF3963D0EA7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6CEDBBCA-B81E-553B-41C1-D406F79BDF36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B552473A-3E22-2FC0-BBF9-04CD3F4C6FE8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C7B55DCE-B48A-3231-50F9-C5E7658EAA73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D28F4C42-AB58-28FB-2D7D-DC9EA6B62CCD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19350795-8BFC-F7DC-4D22-22DB6E0E9D4C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0ABC3F9E-7775-629E-8A37-2EB32EE17E77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0691B49B-E578-690A-A48E-1F5B4B5778D6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9D251286-E23E-AFC7-56D5-6BDF0A9E1E88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A434D870-5798-1CEE-4F38-59585C72244A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BCB968EC-507B-1AA9-CED7-8F7A68062195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A876C9EE-ED71-BA98-53CC-36E458536E79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36713D84-01D6-35D3-AFCA-E7F40F8E3469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9BB8FD17-686D-FEA0-3864-622DD17874BC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A8F0A624-6A5A-6CB6-AC76-E89259219D24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1F948E85-8CE6-B6FC-11A0-B2D208DF2A5A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F25F7B09-4F29-61D1-9286-AB860FD79976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5B46246B-95C9-A0D6-254A-AF689BD8C484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A83BC3A9-22EC-A5F5-DDAF-C7AC32C7F117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F8F0EECF-7C03-6AF5-DF20-B82477E08B27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6D9AEA2F-8E01-BE65-F665-37648078E4F8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51C80FD6-60D7-62F5-663D-4F6459BFAD9F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573F8771-02B3-D719-BC19-52F3049D88E7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299C8A9E-DFB0-3126-102C-7EC217CB0065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8F1DB5C9-4366-D930-1B15-C86E7C171CF6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0976014E-EDE9-9CD1-36A9-35C5B815EAFF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24E90085-7D5C-620E-63E1-5EB5A469DA14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566B5C8F-7735-120D-C7D1-7E19C34AEE74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849DD832-75DA-4C5B-8054-EB554E951C45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5EEE61F0-699D-496A-1C1C-16AEA5BD03B3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756B6CCB-B49A-2294-6CFB-8EA2C7F78008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322ED39A-E632-75E1-88B8-86F60F2FDD9B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37F5D666-ACA3-55FB-1DDD-FE201835091B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846C7D37-4575-4E98-9B47-EDA4CA701463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9208F7B8-1793-4CA9-2212-912327BA43B3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AA61AA5F-A878-8EA6-E32C-CBA0BA970290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117D0AEB-9489-7D22-24EF-90D7A47876BE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A371C79C-AA65-8051-5F6B-ABB57D53A5A0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5172BE8A-E047-7667-62F3-B9232C7DF4A7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04A307D0-4FAB-ABF8-65D6-DD64164CA300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AF1ADB31-28B8-573F-23B6-50F3D8063414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12DF8137-6D65-4B80-2961-1514359D8AD5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08AAC53A-1D20-AEA8-A42A-A59804FCA0D2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01F466B3-1C0F-B101-A5A5-4AB88D26D621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372F0A15-8905-5B8F-E95D-FAB36B9A0C9E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BC743006-CE14-46B5-C101-CA97CD1C43CB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17827B5B-9EF1-1BDE-24E0-69107F544B8E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237E354B-EBCC-0B95-4813-54B2A50EE2F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EF7CADFE-1031-6861-A6B6-21DAEDDECA5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D1C01828-B2B6-E66A-A237-42F83E17678C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591EBEFC-140C-C740-A323-D3C7310D7A85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E330A0CA-8B50-2C13-3A9A-D4FC3AA6DA20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A7C41E2B-BCD7-0CDB-801B-5274F23FFE16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C44B2007-3435-00AA-DD9D-3EAAA2B471CE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3002BA93-F4DD-3E23-A78B-A09C68B03089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F5460B4F-D23B-A483-27E0-24B223305ADF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44D32CC0-589D-B245-88FE-A81403345D8B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35725E2B-EAC3-6059-4157-4FEE859467A3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F641F781-D00D-5663-B8BB-82FA7B4F580E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3C8167EA-8AC2-1A2D-2B0F-5D14A6F741D9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8D86F987-E375-F518-48D0-5B292D158FB5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9D68B666-9E3D-01B8-73C1-B4A441F2CD2F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A61804A4-CE80-CAAB-AFEB-793B7103679C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2FAD5E6E-7916-3336-B93A-773A2FC1167C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E4B24831-0F2A-32E1-F914-3798ACAB6046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8F76BFCB-0A7A-3151-D1A3-DC8E5DFEFCDF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B0147897-ED87-7125-5275-A82E47E06C53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9CC02D15-BDA1-918C-1183-990F6A33B717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85CC2F65-5309-C628-6E8B-1777B18F9CC2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20F5E0F7-0CB8-5FF5-D0CE-5AE58478F6A5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CF632902-BAF5-9D1B-C3F8-AB6D15BAA8E4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6E1BEB79-6546-52F7-CA9A-EBCB91D58C9D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846A649D-A939-D3E9-C4B1-557DD88E103F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82549B94-B36D-A726-E2D7-32D0C4434278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BF1F6C1F-B031-78EC-1D26-6DE4724125D3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21F43824-4F14-A2FD-CD15-D6A98A55073D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B8E150E9-E29F-B9A1-0B01-E80EA5323B44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AB9B2BA2-54F9-6F98-6DA1-80A3EA13F0C8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89C8CC63-BBE8-A9F5-4D7F-7EA4C8DD87F8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B094FFF4-F7AF-05B1-4E2E-2D96423E5780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076ED817-2C53-BC74-9FDA-1782C6C852FD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5AE5D4F4-3DF2-B29A-F8CC-4278D0DD063D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1FC868D9-C798-518F-C591-1F3066A3A54C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4688A5EC-36E7-DF02-9C4E-0CDB7B0111BA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027F0825-B051-BF04-EE4D-1CF624FA928B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074EA8E6-9EC2-A2D6-DD66-9466DAF5BCC6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6" t="s">
        <v>630</v>
      </c>
      <c r="B1" s="810"/>
    </row>
    <row r="2" spans="1:88">
      <c r="A2" s="1106" t="s">
        <v>11</v>
      </c>
      <c r="B2" t="s">
        <v>11</v>
      </c>
    </row>
    <row r="3" spans="1:88" ht="15.75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A36" sqref="A36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MON</v>
      </c>
      <c r="I1" s="878">
        <f>D4</f>
        <v>37032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MON</v>
      </c>
      <c r="E3" s="841" t="str">
        <f t="shared" si="0"/>
        <v>TUE</v>
      </c>
      <c r="F3" s="841" t="str">
        <f t="shared" si="0"/>
        <v>WED</v>
      </c>
      <c r="G3" s="841" t="str">
        <f t="shared" si="0"/>
        <v>THU</v>
      </c>
      <c r="H3" s="841" t="str">
        <f t="shared" si="0"/>
        <v>FRI</v>
      </c>
      <c r="I3" s="842" t="str">
        <f t="shared" si="0"/>
        <v>SAT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37032</v>
      </c>
      <c r="E4" s="845">
        <f>Weather_Input!A6</f>
        <v>37033</v>
      </c>
      <c r="F4" s="845">
        <f>Weather_Input!A7</f>
        <v>37034</v>
      </c>
      <c r="G4" s="845">
        <f>Weather_Input!A8</f>
        <v>37035</v>
      </c>
      <c r="H4" s="845">
        <f>Weather_Input!A9</f>
        <v>37036</v>
      </c>
      <c r="I4" s="846">
        <f>Weather_Input!A10</f>
        <v>37037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69/47/58</v>
      </c>
      <c r="E5" s="879" t="str">
        <f>TEXT(Weather_Input!B6,"0")&amp;"/"&amp;TEXT(Weather_Input!C6,"0") &amp; "/" &amp; TEXT((Weather_Input!B6+Weather_Input!C6)/2,"0")</f>
        <v>59/40/50</v>
      </c>
      <c r="F5" s="879" t="str">
        <f>TEXT(Weather_Input!B7,"0")&amp;"/"&amp;TEXT(Weather_Input!C7,"0") &amp; "/" &amp; TEXT((Weather_Input!B7+Weather_Input!C7)/2,"0")</f>
        <v>55/41/48</v>
      </c>
      <c r="G5" s="879" t="str">
        <f>TEXT(Weather_Input!B8,"0")&amp;"/"&amp;TEXT(Weather_Input!C8,"0") &amp; "/" &amp; TEXT((Weather_Input!B8+Weather_Input!C8)/2,"0")</f>
        <v>54/40/47</v>
      </c>
      <c r="H5" s="879" t="str">
        <f>TEXT(Weather_Input!B9,"0")&amp;"/"&amp;TEXT(Weather_Input!C9,"0") &amp; "/" &amp; TEXT((Weather_Input!B9+Weather_Input!C9)/2,"0")</f>
        <v>58/44/51</v>
      </c>
      <c r="I5" s="880" t="str">
        <f>TEXT(Weather_Input!B10,"0")&amp;"/"&amp;TEXT(Weather_Input!C10,"0") &amp; "/" &amp; TEXT((Weather_Input!B10+Weather_Input!C10)/2,"0")</f>
        <v>58/44/51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45.3</v>
      </c>
      <c r="E6" s="848">
        <f ca="1">VLOOKUP(E4,NSG_Sendouts,CELL("Col",NSG_Deliveries!C6),FALSE)/1000</f>
        <v>63</v>
      </c>
      <c r="F6" s="848">
        <f ca="1">VLOOKUP(F4,NSG_Sendouts,CELL("Col",NSG_Deliveries!C7),FALSE)/1000</f>
        <v>71</v>
      </c>
      <c r="G6" s="848">
        <f ca="1">VLOOKUP(G4,NSG_Sendouts,CELL("Col",NSG_Deliveries!C8),FALSE)/1000</f>
        <v>73</v>
      </c>
      <c r="H6" s="848">
        <f ca="1">VLOOKUP(H4,NSG_Sendouts,CELL("Col",NSG_Deliveries!C9),FALSE)/1000</f>
        <v>62</v>
      </c>
      <c r="I6" s="853">
        <f ca="1">VLOOKUP(I4,NSG_Sendouts,CELL("Col",NSG_Deliveries!C10),FALSE)/1000</f>
        <v>59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3.9</v>
      </c>
      <c r="E12" s="848">
        <f>NSG_Requirements!J8/1000</f>
        <v>0</v>
      </c>
      <c r="F12" s="848">
        <f>NSG_Requirements!J9/1000</f>
        <v>0</v>
      </c>
      <c r="G12" s="848">
        <f>NSG_Requirements!J10/1000</f>
        <v>0</v>
      </c>
      <c r="H12" s="848">
        <f>NSG_Requirements!J11/1000</f>
        <v>0</v>
      </c>
      <c r="I12" s="849">
        <f>NSG_Requirements!J12/1000</f>
        <v>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1.05</v>
      </c>
      <c r="E13" s="848">
        <f>NSG_Requirements!H8/1000</f>
        <v>1.25</v>
      </c>
      <c r="F13" s="848">
        <f>NSG_Requirements!H9/1000</f>
        <v>1.25</v>
      </c>
      <c r="G13" s="848">
        <f>NSG_Requirements!H10/1000</f>
        <v>1.25</v>
      </c>
      <c r="H13" s="848">
        <f>NSG_Requirements!H11/1000</f>
        <v>1.25</v>
      </c>
      <c r="I13" s="849">
        <f>NSG_Requirements!H12/1000</f>
        <v>1.25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50.249999999999993</v>
      </c>
      <c r="E19" s="857">
        <f t="shared" ca="1" si="1"/>
        <v>64.25</v>
      </c>
      <c r="F19" s="857">
        <f t="shared" ca="1" si="1"/>
        <v>72.25</v>
      </c>
      <c r="G19" s="857">
        <f t="shared" ca="1" si="1"/>
        <v>74.25</v>
      </c>
      <c r="H19" s="857">
        <f t="shared" ca="1" si="1"/>
        <v>63.25</v>
      </c>
      <c r="I19" s="858">
        <f t="shared" ca="1" si="1"/>
        <v>60.25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0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4" t="s">
        <v>771</v>
      </c>
      <c r="D32" s="848">
        <f>NSG_Supplies!R7/1000</f>
        <v>30.253</v>
      </c>
      <c r="E32" s="848">
        <f>NSG_Supplies!R8/1000</f>
        <v>30.402999999999999</v>
      </c>
      <c r="F32" s="848">
        <f>NSG_Supplies!R9/1000</f>
        <v>30.402999999999999</v>
      </c>
      <c r="G32" s="848">
        <f>NSG_Supplies!R10/1000</f>
        <v>30.402999999999999</v>
      </c>
      <c r="H32" s="848">
        <f>NSG_Supplies!R11/1000</f>
        <v>30.402999999999999</v>
      </c>
      <c r="I32" s="849">
        <f>NSG_Supplies!R12/1000</f>
        <v>30.402999999999999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50.253</v>
      </c>
      <c r="E37" s="888">
        <f t="shared" si="2"/>
        <v>50.402999999999999</v>
      </c>
      <c r="F37" s="888">
        <f t="shared" si="2"/>
        <v>50.402999999999999</v>
      </c>
      <c r="G37" s="888">
        <f t="shared" si="2"/>
        <v>50.402999999999999</v>
      </c>
      <c r="H37" s="888">
        <f t="shared" si="2"/>
        <v>50.402999999999999</v>
      </c>
      <c r="I37" s="889">
        <f t="shared" si="2"/>
        <v>50.402999999999999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3.0000000000072191E-3</v>
      </c>
      <c r="E38" s="892">
        <f t="shared" ca="1" si="3"/>
        <v>0</v>
      </c>
      <c r="F38" s="892">
        <f t="shared" ca="1" si="3"/>
        <v>0</v>
      </c>
      <c r="G38" s="892">
        <f t="shared" ca="1" si="3"/>
        <v>0</v>
      </c>
      <c r="H38" s="892">
        <f t="shared" ca="1" si="3"/>
        <v>0</v>
      </c>
      <c r="I38" s="893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0</v>
      </c>
      <c r="E39" s="874">
        <f t="shared" ca="1" si="4"/>
        <v>13.847000000000001</v>
      </c>
      <c r="F39" s="874">
        <f t="shared" ca="1" si="4"/>
        <v>21.847000000000001</v>
      </c>
      <c r="G39" s="874">
        <f t="shared" ca="1" si="4"/>
        <v>23.847000000000001</v>
      </c>
      <c r="H39" s="874">
        <f t="shared" ca="1" si="4"/>
        <v>12.847000000000001</v>
      </c>
      <c r="I39" s="875">
        <f t="shared" ca="1" si="4"/>
        <v>9.8470000000000013</v>
      </c>
      <c r="J39" s="112"/>
      <c r="K39" s="113"/>
      <c r="L39" s="113"/>
      <c r="M39" s="113"/>
    </row>
    <row r="40" spans="1:13" ht="20.100000000000001" customHeight="1" thickTop="1" thickBot="1">
      <c r="A40" s="1165" t="s">
        <v>772</v>
      </c>
      <c r="B40" s="1166"/>
      <c r="C40" s="1166"/>
      <c r="D40" s="1167">
        <f>NSG_Supplies!S7/1000</f>
        <v>19.308</v>
      </c>
      <c r="E40" s="1167">
        <f>NSG_Supplies!S8/1000</f>
        <v>19.308</v>
      </c>
      <c r="F40" s="1167">
        <f>NSG_Supplies!S9/1000</f>
        <v>19.308</v>
      </c>
      <c r="G40" s="1167">
        <f>NSG_Supplies!S10/1000</f>
        <v>19.308</v>
      </c>
      <c r="H40" s="1167">
        <f>NSG_Supplies!S11/1000</f>
        <v>19.308</v>
      </c>
      <c r="I40" s="1168">
        <f>NSG_Supplies!S12/1000</f>
        <v>19.308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12</v>
      </c>
      <c r="E42" s="899">
        <f>Weather_Input!D6</f>
        <v>15</v>
      </c>
      <c r="F42" s="899">
        <f>Weather_Input!D7</f>
        <v>12</v>
      </c>
      <c r="G42" s="900"/>
      <c r="H42" s="895"/>
      <c r="I42" s="895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>
      <selection activeCell="C3" sqref="C3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37032</v>
      </c>
      <c r="G1" s="769" t="str">
        <f>CHOOSE(WEEKDAY(F1),"SUN","MON","TUE","WED","THU","FRI","SAT")</f>
        <v>MON</v>
      </c>
      <c r="H1" s="591" t="s">
        <v>258</v>
      </c>
      <c r="I1" s="592"/>
    </row>
    <row r="2" spans="1:9" ht="15.75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75">
      <c r="A4" s="257" t="s">
        <v>11</v>
      </c>
      <c r="B4" s="961">
        <f>Weather_Input!B5</f>
        <v>69</v>
      </c>
      <c r="C4" s="962">
        <f>Weather_Input!C5</f>
        <v>47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75">
      <c r="A5" s="257" t="s">
        <v>628</v>
      </c>
      <c r="B5" s="963"/>
      <c r="C5" s="964">
        <f>PGL_Requirements!H7/1000</f>
        <v>11.388</v>
      </c>
      <c r="D5" s="619"/>
      <c r="E5" s="301"/>
      <c r="F5" s="619"/>
      <c r="G5" s="606"/>
      <c r="H5" s="301"/>
      <c r="I5" s="295"/>
    </row>
    <row r="6" spans="1:9" ht="15.75">
      <c r="A6" s="261" t="s">
        <v>419</v>
      </c>
      <c r="B6" s="1157" t="s">
        <v>11</v>
      </c>
      <c r="C6" s="965">
        <f>PGL_Deliveries!C5/1000</f>
        <v>243</v>
      </c>
      <c r="D6" s="1157" t="s">
        <v>11</v>
      </c>
      <c r="E6" s="268"/>
      <c r="F6" s="601"/>
      <c r="G6" s="268"/>
      <c r="H6" s="601"/>
      <c r="I6" s="266"/>
    </row>
    <row r="7" spans="1:9" ht="15.75" thickBot="1">
      <c r="A7" s="248" t="s">
        <v>766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</row>
    <row r="8" spans="1:9" ht="16.5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0"/>
      <c r="C10" s="1126">
        <f>+B34</f>
        <v>152.40199999999999</v>
      </c>
      <c r="D10" s="1110"/>
      <c r="E10" s="433"/>
      <c r="F10" s="1110"/>
      <c r="G10" s="1113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-124.63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172.86499999999998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15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</row>
    <row r="18" spans="1:12" ht="15.75" thickBot="1">
      <c r="A18" s="291" t="s">
        <v>566</v>
      </c>
      <c r="B18" s="614" t="s">
        <v>11</v>
      </c>
      <c r="C18" s="1130">
        <f>PGL_Requirements!G7/1000</f>
        <v>5.6</v>
      </c>
      <c r="D18" s="600"/>
      <c r="E18" s="268"/>
      <c r="F18" s="601"/>
      <c r="G18" s="268"/>
      <c r="H18" s="601"/>
      <c r="I18" s="266"/>
    </row>
    <row r="19" spans="1:12" ht="16.5" thickBot="1">
      <c r="A19" s="615" t="s">
        <v>696</v>
      </c>
      <c r="B19" s="616" t="s">
        <v>11</v>
      </c>
      <c r="C19" s="510">
        <f>SUM(C9:C17)-C18</f>
        <v>210.03699999999998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5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32.963000000000022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5" thickBot="1">
      <c r="A24" s="492" t="s">
        <v>427</v>
      </c>
      <c r="B24" s="971" t="s">
        <v>11</v>
      </c>
      <c r="C24" s="972">
        <f>SUM(B54+B56+B57)</f>
        <v>1.875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7.25" thickTop="1" thickBot="1">
      <c r="A25" s="636" t="s">
        <v>428</v>
      </c>
      <c r="B25" s="976" t="s">
        <v>11</v>
      </c>
      <c r="C25" s="977">
        <f>SUM(C22:C24)</f>
        <v>34.838000000000022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75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 thickBot="1">
      <c r="A27" s="492" t="s">
        <v>436</v>
      </c>
      <c r="B27" s="986"/>
      <c r="C27" s="1130">
        <f>PGL_Requirements!O7/1000</f>
        <v>14.89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0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-49.127000000000002</v>
      </c>
      <c r="D29" s="984" t="s">
        <v>11</v>
      </c>
      <c r="E29" s="983">
        <f>-PGL_Supplies!AC7/1000</f>
        <v>-49.127000000000002</v>
      </c>
      <c r="F29" s="306"/>
      <c r="G29" s="983">
        <f>-PGL_Supplies!AC7/1000</f>
        <v>-49.127000000000002</v>
      </c>
      <c r="H29" s="513"/>
      <c r="I29" s="985">
        <f>-PGL_Supplies!AC7/1000</f>
        <v>-49.127000000000002</v>
      </c>
      <c r="L29" s="1098"/>
    </row>
    <row r="30" spans="1:12" ht="16.5" thickBot="1">
      <c r="A30" s="325" t="s">
        <v>11</v>
      </c>
      <c r="B30" s="486" t="s">
        <v>11</v>
      </c>
      <c r="C30" s="1180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0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75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75" thickBot="1">
      <c r="A33" s="1127" t="s">
        <v>4</v>
      </c>
      <c r="B33" s="323">
        <f>PGL_Supplies!Y7/1000</f>
        <v>152.40199999999999</v>
      </c>
      <c r="C33" s="1114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5" thickBot="1">
      <c r="A34" s="558" t="s">
        <v>443</v>
      </c>
      <c r="B34" s="1118">
        <f>+B33-B32-B31</f>
        <v>152.40199999999999</v>
      </c>
      <c r="C34" s="1119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5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40.200000000000003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0"/>
      <c r="D38" s="1111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0"/>
      <c r="D39" s="1111"/>
      <c r="E39" s="811"/>
      <c r="F39" s="994" t="s">
        <v>468</v>
      </c>
      <c r="G39" s="121"/>
      <c r="H39" s="548"/>
      <c r="I39" s="335"/>
      <c r="L39" s="1098"/>
    </row>
    <row r="40" spans="1:12" ht="15.75" thickBot="1">
      <c r="A40" s="637" t="s">
        <v>694</v>
      </c>
      <c r="B40" s="323">
        <f>PGL_Supplies!Z7/1000</f>
        <v>40.200000000000003</v>
      </c>
      <c r="C40" s="121"/>
      <c r="D40" s="1109"/>
      <c r="E40" s="121"/>
      <c r="F40" s="546" t="s">
        <v>469</v>
      </c>
      <c r="G40" s="543"/>
      <c r="H40" s="349"/>
      <c r="I40" s="335"/>
      <c r="L40" s="593"/>
    </row>
    <row r="41" spans="1:12" ht="16.5" thickBot="1">
      <c r="A41" s="558" t="s">
        <v>443</v>
      </c>
      <c r="B41" s="565">
        <f>B40+B37-B36-B38+B39</f>
        <v>0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5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75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5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5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5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125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75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75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5" thickBot="1">
      <c r="A52" s="424" t="s">
        <v>450</v>
      </c>
      <c r="B52" s="323">
        <f>PGL_Supplies!H7/1000</f>
        <v>1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0.63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5" thickBot="1">
      <c r="A54" s="424" t="s">
        <v>738</v>
      </c>
      <c r="B54" s="323">
        <f>PGL_Requirements!Q7/1000</f>
        <v>1.875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5" thickBot="1">
      <c r="A55" s="517" t="s">
        <v>452</v>
      </c>
      <c r="B55" s="518">
        <f>-B49+B50+B52-B53-B51+B56+B57</f>
        <v>-124.63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4.5999999999999996</v>
      </c>
      <c r="I56" s="1004" t="s">
        <v>11</v>
      </c>
    </row>
    <row r="57" spans="1:9">
      <c r="A57" s="424" t="s">
        <v>216</v>
      </c>
      <c r="B57" s="1188">
        <v>0</v>
      </c>
      <c r="C57" s="539"/>
      <c r="D57" s="539"/>
      <c r="E57" s="1189"/>
      <c r="F57" s="424" t="s">
        <v>109</v>
      </c>
      <c r="G57" s="572"/>
      <c r="H57" s="1003">
        <f>PGL_Supplies!AB7/1000+NSG_Supplies!N7/1000</f>
        <v>172.15299999999999</v>
      </c>
      <c r="I57" s="1004" t="s">
        <v>11</v>
      </c>
    </row>
    <row r="58" spans="1:9" ht="15.75" thickBot="1">
      <c r="A58" s="424" t="s">
        <v>793</v>
      </c>
      <c r="B58" s="1190">
        <f>SUM(B31)</f>
        <v>0</v>
      </c>
      <c r="C58" s="593"/>
      <c r="D58" s="1191"/>
      <c r="E58" s="393"/>
      <c r="F58" s="121" t="s">
        <v>623</v>
      </c>
      <c r="G58" s="121"/>
      <c r="H58" s="1003">
        <f>PGL_Supplies!T7/1000</f>
        <v>7.5</v>
      </c>
      <c r="I58" s="1008"/>
    </row>
    <row r="59" spans="1:9" ht="16.5" thickBot="1">
      <c r="A59" s="638" t="s">
        <v>11</v>
      </c>
      <c r="B59" s="1005"/>
      <c r="C59" s="1006" t="s">
        <v>37</v>
      </c>
      <c r="D59" s="1007"/>
      <c r="E59" s="1112"/>
      <c r="F59" s="121" t="s">
        <v>622</v>
      </c>
      <c r="G59" s="121"/>
      <c r="H59" s="1009"/>
      <c r="I59" s="1010">
        <f>PGL_Requirements!H7/1000</f>
        <v>11.388</v>
      </c>
    </row>
    <row r="60" spans="1:9" ht="16.5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184.25299999999999</v>
      </c>
    </row>
    <row r="61" spans="1:9">
      <c r="A61" s="424" t="s">
        <v>455</v>
      </c>
      <c r="B61" s="387">
        <f>PGL_Requirements!F7/1000</f>
        <v>1.5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172.86499999999998</v>
      </c>
    </row>
    <row r="63" spans="1:9" ht="15.75" thickBot="1">
      <c r="A63" s="424" t="s">
        <v>109</v>
      </c>
      <c r="B63" s="1014">
        <f>PGL_Supplies!AD7/1000</f>
        <v>1.5</v>
      </c>
      <c r="C63" s="526"/>
      <c r="D63" s="348"/>
      <c r="E63" s="524"/>
      <c r="F63" s="1015" t="s">
        <v>784</v>
      </c>
      <c r="G63" s="224"/>
      <c r="H63" s="1110"/>
      <c r="I63" s="1176">
        <f>I59</f>
        <v>11.388</v>
      </c>
    </row>
    <row r="64" spans="1:9" ht="16.5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79" t="s">
        <v>785</v>
      </c>
      <c r="G64" s="433"/>
      <c r="H64" s="1111"/>
      <c r="I64" s="1176">
        <f>PGL_Requirements!H7/1000</f>
        <v>11.388</v>
      </c>
    </row>
    <row r="65" spans="1:9" ht="15.75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172.86499999999998</v>
      </c>
    </row>
    <row r="66" spans="1:9" ht="15.75">
      <c r="A66" s="369" t="s">
        <v>729</v>
      </c>
      <c r="B66" s="1025"/>
      <c r="C66" s="1031" t="s">
        <v>11</v>
      </c>
      <c r="D66" s="1031" t="s">
        <v>11</v>
      </c>
      <c r="E66" s="1177" t="s">
        <v>11</v>
      </c>
      <c r="F66" s="1187" t="s">
        <v>791</v>
      </c>
      <c r="G66" s="1113"/>
      <c r="H66" s="239"/>
      <c r="I66" s="1176">
        <f>PGL_Requirements!K7/1000</f>
        <v>0</v>
      </c>
    </row>
    <row r="67" spans="1:9" ht="16.5" thickBot="1">
      <c r="A67" s="1182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5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5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5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</row>
    <row r="71" spans="1:9" ht="16.5" thickBot="1">
      <c r="A71" s="1181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MON</v>
      </c>
      <c r="G1" s="1078">
        <f>Weather_Input!A5</f>
        <v>37032</v>
      </c>
      <c r="H1" s="588" t="s">
        <v>258</v>
      </c>
      <c r="I1" s="592"/>
    </row>
    <row r="2" spans="1:9" ht="20.25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0.25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69</v>
      </c>
      <c r="C4" s="757">
        <f>Weather_Input!C5</f>
        <v>47</v>
      </c>
      <c r="D4" s="651"/>
      <c r="E4" s="652"/>
      <c r="F4" s="651"/>
      <c r="G4" s="652"/>
      <c r="H4" s="653"/>
      <c r="I4" s="654"/>
    </row>
    <row r="5" spans="1:9" ht="24" thickBot="1">
      <c r="A5" s="655" t="s">
        <v>139</v>
      </c>
      <c r="B5" s="656"/>
      <c r="C5" s="657">
        <f>NSG_Deliveries!C5/1000</f>
        <v>45.3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4" thickBot="1">
      <c r="A7" s="665" t="s">
        <v>86</v>
      </c>
      <c r="B7" s="656"/>
      <c r="C7" s="762">
        <f>C5-C9-C11-C12</f>
        <v>29.199999999999996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8">
        <f>B46</f>
        <v>16.100000000000001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3.25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3.25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4" thickBot="1">
      <c r="A19" s="702" t="s">
        <v>428</v>
      </c>
      <c r="B19" s="703"/>
      <c r="C19" s="704">
        <f>C7+C12</f>
        <v>29.199999999999996</v>
      </c>
      <c r="D19" s="705"/>
      <c r="E19" s="706"/>
      <c r="F19" s="705"/>
      <c r="G19" s="705" t="s">
        <v>11</v>
      </c>
      <c r="H19" s="703"/>
      <c r="I19" s="707"/>
    </row>
    <row r="20" spans="1:9" ht="20.25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25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25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25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8" t="s">
        <v>436</v>
      </c>
      <c r="B24" s="716"/>
      <c r="C24" s="710">
        <f>NSG_Requirements!H7/1000</f>
        <v>1.05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25">
      <c r="A25" s="708" t="s">
        <v>437</v>
      </c>
      <c r="B25" s="713"/>
      <c r="C25" s="710">
        <f>-NSG_Supplies!F7/1000</f>
        <v>0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25">
      <c r="A26" s="708" t="s">
        <v>197</v>
      </c>
      <c r="B26" s="716"/>
      <c r="C26" s="710">
        <f>-NSG_Supplies!R7/1000</f>
        <v>-30.253</v>
      </c>
      <c r="D26" s="717"/>
      <c r="E26" s="710">
        <f>-NSG_Supplies!R7/1000</f>
        <v>-30.253</v>
      </c>
      <c r="F26" s="717"/>
      <c r="G26" s="710">
        <f>-NSG_Supplies!R7/1000</f>
        <v>-30.253</v>
      </c>
      <c r="H26" s="716"/>
      <c r="I26" s="775">
        <f>-NSG_Supplies!R7/1000</f>
        <v>-30.253</v>
      </c>
    </row>
    <row r="27" spans="1:9" ht="20.25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0.25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25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25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25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25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25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25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25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25">
      <c r="A41" s="708" t="s">
        <v>507</v>
      </c>
      <c r="B41" s="820">
        <f>NSG_Requirements!J7/1000</f>
        <v>3.9</v>
      </c>
      <c r="C41" s="717"/>
      <c r="D41" s="735"/>
      <c r="E41" s="718"/>
      <c r="F41" s="642"/>
      <c r="G41" s="714"/>
      <c r="H41" s="714"/>
      <c r="I41" s="733"/>
    </row>
    <row r="42" spans="1:9" ht="20.25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25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25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" thickBot="1">
      <c r="A46" s="740" t="s">
        <v>505</v>
      </c>
      <c r="B46" s="822">
        <f>B45+B42-B41</f>
        <v>16.100000000000001</v>
      </c>
      <c r="C46" s="748"/>
      <c r="D46" s="747"/>
      <c r="E46" s="749"/>
      <c r="F46" s="642"/>
      <c r="G46" s="714"/>
      <c r="H46" s="714"/>
      <c r="I46" s="733"/>
    </row>
    <row r="47" spans="1:9" ht="2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25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25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25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25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37032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69</v>
      </c>
      <c r="C5" s="265">
        <f>Weather_Input!C5</f>
        <v>47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243</v>
      </c>
      <c r="C8" s="273">
        <f>NSG_Deliveries!C5/1000</f>
        <v>45.3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168.36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15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27.401999999999987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1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5.6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-206.16200000000001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36.837999999999994</v>
      </c>
      <c r="C20" s="294">
        <f>C8+C18+C19</f>
        <v>45.3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1.875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38.712999999999994</v>
      </c>
      <c r="C23" s="300">
        <f>C20</f>
        <v>45.3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0.63</v>
      </c>
      <c r="C27" s="309">
        <f>NSG_Requirements!P7/1000</f>
        <v>0</v>
      </c>
      <c r="D27" s="309">
        <f>PGL_Requirements!R7/1000</f>
        <v>0.63</v>
      </c>
      <c r="E27" s="309">
        <f>NSG_Requirements!P7/1000</f>
        <v>0</v>
      </c>
      <c r="F27" s="309">
        <f>PGL_Requirements!R7/1000</f>
        <v>0.63</v>
      </c>
      <c r="G27" s="309">
        <f>NSG_Requirements!P7/1000</f>
        <v>0</v>
      </c>
      <c r="H27" s="310">
        <f>+B27</f>
        <v>0.63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-49.127000000000002</v>
      </c>
      <c r="C32" s="314">
        <f>-NSG_Supplies!R7/1000</f>
        <v>-30.253</v>
      </c>
      <c r="D32" s="314">
        <f>B32</f>
        <v>-49.127000000000002</v>
      </c>
      <c r="E32" s="314">
        <f>C32</f>
        <v>-30.253</v>
      </c>
      <c r="F32" s="314">
        <f>B32</f>
        <v>-49.127000000000002</v>
      </c>
      <c r="G32" s="314">
        <f>C32</f>
        <v>-30.253</v>
      </c>
      <c r="H32" s="319">
        <f>B32</f>
        <v>-49.127000000000002</v>
      </c>
      <c r="I32" s="320">
        <f>C32</f>
        <v>-30.253</v>
      </c>
    </row>
    <row r="33" spans="1:9" ht="17.100000000000001" customHeight="1">
      <c r="A33" s="318" t="s">
        <v>393</v>
      </c>
      <c r="B33" s="314">
        <f>-PGL_Supplies!X7/1000</f>
        <v>-0.6</v>
      </c>
      <c r="C33" s="314">
        <f>-NSG_Supplies!S7/1000</f>
        <v>-19.308</v>
      </c>
      <c r="D33" s="314">
        <f>B33</f>
        <v>-0.6</v>
      </c>
      <c r="E33" s="314">
        <f>C33</f>
        <v>-19.308</v>
      </c>
      <c r="F33" s="314">
        <f>B33</f>
        <v>-0.6</v>
      </c>
      <c r="G33" s="314">
        <f>C33</f>
        <v>-19.308</v>
      </c>
      <c r="H33" s="319">
        <f>B33</f>
        <v>-0.6</v>
      </c>
      <c r="I33" s="320">
        <f>C33</f>
        <v>-19.308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14.89</v>
      </c>
      <c r="C35" s="309">
        <f>NSG_Requirements!H7/1000</f>
        <v>1.05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0</v>
      </c>
      <c r="C36" s="314">
        <f>-NSG_Supplies!F7/1000</f>
        <v>0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125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1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1.875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1.875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1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168.36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168.36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40.200000000000003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0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152.40199999999999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125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1.5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27.401999999999987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MON</v>
      </c>
      <c r="H73" s="405">
        <f>Weather_Input!A5</f>
        <v>37032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75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75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5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5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14.89</v>
      </c>
      <c r="D97" s="601"/>
      <c r="E97" s="613">
        <f>+C97</f>
        <v>14.89</v>
      </c>
      <c r="F97" s="601"/>
      <c r="G97" s="613">
        <f>+C97</f>
        <v>14.89</v>
      </c>
      <c r="H97" s="601"/>
      <c r="I97" s="284">
        <f>+C97</f>
        <v>14.89</v>
      </c>
    </row>
    <row r="98" spans="1:9" ht="15">
      <c r="A98" s="492" t="s">
        <v>60</v>
      </c>
      <c r="B98" s="281" t="s">
        <v>11</v>
      </c>
      <c r="C98" s="622">
        <f>B149</f>
        <v>1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168.36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152.40199999999999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5.6</v>
      </c>
      <c r="D103" s="619"/>
      <c r="E103" s="268"/>
      <c r="F103" s="601"/>
      <c r="G103" s="268"/>
      <c r="H103" s="601"/>
      <c r="I103" s="266"/>
    </row>
    <row r="104" spans="1:9" ht="15.75" thickBot="1">
      <c r="A104" s="291" t="s">
        <v>110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5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5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75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5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75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75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75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75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75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-0.6</v>
      </c>
      <c r="C123" s="314">
        <f>-NSG_Supplies!S7/1000</f>
        <v>-19.308</v>
      </c>
      <c r="D123" s="312"/>
      <c r="E123" s="312"/>
      <c r="F123" s="312"/>
      <c r="G123" s="312"/>
      <c r="H123" s="316"/>
      <c r="I123" s="317"/>
    </row>
    <row r="124" spans="1:9" ht="16.5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14.89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75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5" thickBot="1">
      <c r="A133" s="558" t="s">
        <v>443</v>
      </c>
      <c r="B133" s="565">
        <f>B126+B127+B130+B131+B132-B125-B128-B129</f>
        <v>14.89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5.75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75" thickBot="1">
      <c r="A140" s="424" t="s">
        <v>393</v>
      </c>
      <c r="B140" s="323">
        <f>PGL_Supplies!V7/1000</f>
        <v>168.36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5" thickBot="1">
      <c r="A141" s="558" t="s">
        <v>443</v>
      </c>
      <c r="B141" s="560">
        <f>-B135+B136+B137-B138+B139+B140</f>
        <v>168.36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5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125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75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75" thickBot="1">
      <c r="A146" s="424" t="s">
        <v>450</v>
      </c>
      <c r="B146" s="323">
        <f>PGL_Supplies!H7/1000</f>
        <v>1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5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75" thickBot="1">
      <c r="A148" s="424" t="s">
        <v>451</v>
      </c>
      <c r="B148" s="323">
        <f>PGL_Requirements!Q7/1000</f>
        <v>1.875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5" thickBot="1">
      <c r="A149" s="517" t="s">
        <v>452</v>
      </c>
      <c r="B149" s="518">
        <f>B144+B146</f>
        <v>1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75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5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5.75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1.5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75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75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75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5" thickBot="1">
      <c r="A159" s="424" t="s">
        <v>109</v>
      </c>
      <c r="B159" s="323">
        <f>PGL_Supplies!AD7/1000</f>
        <v>1.5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75" thickBot="1">
      <c r="A160" s="424" t="s">
        <v>393</v>
      </c>
      <c r="B160" s="610">
        <f>PGL_Supplies!Y7/1000</f>
        <v>152.40199999999999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5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5" thickBot="1">
      <c r="A162" s="398" t="s">
        <v>452</v>
      </c>
      <c r="B162" s="611">
        <f>B154+B156+B158+B159+B160-B153-B155-B157-B161</f>
        <v>152.40199999999999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.75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75">
      <c r="D11" s="196" t="s">
        <v>264</v>
      </c>
    </row>
    <row r="12" spans="1:10" ht="15.75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37033.172968749997</v>
      </c>
      <c r="F22" s="163" t="s">
        <v>271</v>
      </c>
      <c r="G22" s="190">
        <f ca="1">NOW()</f>
        <v>37033.172968749997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75" thickBot="1"/>
    <row r="26" spans="2:9" ht="15.75" thickBot="1">
      <c r="B26" s="208" t="s">
        <v>11</v>
      </c>
      <c r="C26" s="163" t="s">
        <v>275</v>
      </c>
    </row>
    <row r="27" spans="2:9" ht="15.75" thickBot="1">
      <c r="B27" s="208" t="s">
        <v>11</v>
      </c>
      <c r="C27" s="163" t="s">
        <v>276</v>
      </c>
    </row>
    <row r="28" spans="2:9" ht="15.75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75">
      <c r="B34" s="163" t="s">
        <v>278</v>
      </c>
      <c r="E34" s="189">
        <v>0</v>
      </c>
      <c r="F34" t="s">
        <v>279</v>
      </c>
    </row>
    <row r="36" spans="2:8" ht="15.75">
      <c r="B36" s="163" t="s">
        <v>280</v>
      </c>
      <c r="E36" s="189">
        <v>0</v>
      </c>
      <c r="F36" t="s">
        <v>279</v>
      </c>
    </row>
    <row r="38" spans="2:8" ht="15.75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75">
      <c r="E39" s="165">
        <f>+E38+1</f>
        <v>35917</v>
      </c>
      <c r="F39" s="189">
        <v>0</v>
      </c>
      <c r="G39" t="s">
        <v>279</v>
      </c>
    </row>
    <row r="40" spans="2:8" ht="15.75">
      <c r="E40" s="165">
        <f>+E39+1</f>
        <v>35918</v>
      </c>
      <c r="F40" s="189">
        <v>0</v>
      </c>
      <c r="G40" t="s">
        <v>279</v>
      </c>
    </row>
    <row r="41" spans="2:8" ht="15.75">
      <c r="E41" s="165">
        <f>+E40+1</f>
        <v>35919</v>
      </c>
      <c r="F41" s="189">
        <v>0</v>
      </c>
      <c r="G41" t="s">
        <v>279</v>
      </c>
    </row>
    <row r="42" spans="2:8" ht="15.75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37032</v>
      </c>
      <c r="C5" s="15"/>
      <c r="D5" s="22" t="s">
        <v>289</v>
      </c>
      <c r="E5" s="23">
        <f>Weather_Input!B5</f>
        <v>69</v>
      </c>
      <c r="F5" s="24" t="s">
        <v>290</v>
      </c>
      <c r="G5" s="25" t="str">
        <f>Weather_Input!H5</f>
        <v xml:space="preserve"> </v>
      </c>
      <c r="H5" s="26" t="s">
        <v>291</v>
      </c>
      <c r="I5" s="27">
        <f ca="1">G5-(VLOOKUP(B5,DD_Normal_Data,CELL("Col",B6),FALSE))</f>
        <v>-6</v>
      </c>
    </row>
    <row r="6" spans="1:109" ht="15">
      <c r="A6" s="18"/>
      <c r="B6" s="21"/>
      <c r="C6" s="15"/>
      <c r="D6" s="22" t="s">
        <v>176</v>
      </c>
      <c r="E6" s="23">
        <f>Weather_Input!C5</f>
        <v>47</v>
      </c>
      <c r="F6" s="24" t="s">
        <v>292</v>
      </c>
      <c r="G6" s="25" t="str">
        <f>Weather_Input!F5</f>
        <v xml:space="preserve"> </v>
      </c>
      <c r="H6" s="26" t="s">
        <v>293</v>
      </c>
      <c r="I6" s="27">
        <f ca="1">G6-(VLOOKUP(B5,DD_Normal_Data,CELL("Col",C7),FALSE))</f>
        <v>-177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58</v>
      </c>
      <c r="F7" s="24" t="s">
        <v>295</v>
      </c>
      <c r="G7" s="25">
        <f>Weather_Input!G5</f>
        <v>0</v>
      </c>
      <c r="H7" s="26" t="s">
        <v>295</v>
      </c>
      <c r="I7" s="122">
        <f ca="1">G7-(VLOOKUP(B5,DD_Normal_Data,CELL("Col",D4),FALSE))</f>
        <v>-6328</v>
      </c>
      <c r="J7" s="122"/>
    </row>
    <row r="8" spans="1:109" ht="15">
      <c r="A8" s="18"/>
      <c r="B8" s="20"/>
      <c r="C8" s="15"/>
      <c r="D8" s="32" t="str">
        <f>IF(Weather_Input!I5=""," ",Weather_Input!I5)</f>
        <v>SCATTERED SHOWERS AND POSSIBLE T'STORMS THIS A.M. THEN MOSTLY CLOUD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Y AND WINDY. S.E. WINDS 10 TO 15 MPH. OVERNIGHT…MOSTLY CLOUDY. WINDS 10/20 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37033</v>
      </c>
      <c r="C10" s="15"/>
      <c r="D10" s="152" t="s">
        <v>289</v>
      </c>
      <c r="E10" s="23">
        <f>Weather_Input!B6</f>
        <v>59</v>
      </c>
      <c r="F10" s="24" t="s">
        <v>290</v>
      </c>
      <c r="G10" s="25">
        <f>IF(E12&lt;65,65-(Weather_Input!B6+Weather_Input!C6)/2,0)</f>
        <v>15.5</v>
      </c>
      <c r="H10" s="26" t="s">
        <v>291</v>
      </c>
      <c r="I10" s="27">
        <f ca="1">G10-(VLOOKUP(B10,DD_Normal_Data,CELL("Col",B11),FALSE))</f>
        <v>9.5</v>
      </c>
    </row>
    <row r="11" spans="1:109" ht="15">
      <c r="A11" s="18"/>
      <c r="B11" s="21"/>
      <c r="C11" s="15"/>
      <c r="D11" s="22" t="s">
        <v>176</v>
      </c>
      <c r="E11" s="23">
        <f>Weather_Input!C6</f>
        <v>40</v>
      </c>
      <c r="F11" s="24" t="s">
        <v>292</v>
      </c>
      <c r="G11" s="25">
        <f>IF(DAY(B10)=1,G10,G6+G10)</f>
        <v>15.5</v>
      </c>
      <c r="H11" s="30" t="s">
        <v>293</v>
      </c>
      <c r="I11" s="27">
        <f ca="1">G11-(VLOOKUP(B10,DD_Normal_Data,CELL("Col",C12),FALSE))</f>
        <v>-167.5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49.5</v>
      </c>
      <c r="F12" s="24" t="s">
        <v>295</v>
      </c>
      <c r="G12" s="25">
        <f>IF(AND(DAY(B10)=1,MONTH(B10)=8),G10,G7+G10)</f>
        <v>15.5</v>
      </c>
      <c r="H12" s="26" t="s">
        <v>295</v>
      </c>
      <c r="I12" s="27">
        <f ca="1">G12-(VLOOKUP(B10,DD_Normal_Data,CELL("Col",D9),FALSE))</f>
        <v>-6318.5</v>
      </c>
    </row>
    <row r="13" spans="1:109" ht="15">
      <c r="A13" s="18"/>
      <c r="B13" s="21"/>
      <c r="C13" s="15"/>
      <c r="D13" s="32" t="str">
        <f>IF(Weather_Input!I6=""," ",Weather_Input!I6)</f>
        <v>CLOUDY AND COOL WITH A 30% CHANCE OF SHOWERS. OVERNIGHT…CLOUDY WITH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A 50% CHANCE OF SHOWERS.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37034</v>
      </c>
      <c r="C15" s="15"/>
      <c r="D15" s="22" t="s">
        <v>289</v>
      </c>
      <c r="E15" s="23">
        <f>Weather_Input!B7</f>
        <v>55</v>
      </c>
      <c r="F15" s="24" t="s">
        <v>290</v>
      </c>
      <c r="G15" s="25">
        <f>IF(E17&lt;65,65-(Weather_Input!B7+Weather_Input!C7)/2,0)</f>
        <v>17</v>
      </c>
      <c r="H15" s="26" t="s">
        <v>291</v>
      </c>
      <c r="I15" s="27">
        <f ca="1">G15-(VLOOKUP(B15,DD_Normal_Data,CELL("Col",B16),FALSE))</f>
        <v>11</v>
      </c>
    </row>
    <row r="16" spans="1:109" ht="15">
      <c r="A16" s="18"/>
      <c r="B16" s="20"/>
      <c r="C16" s="15"/>
      <c r="D16" s="22" t="s">
        <v>176</v>
      </c>
      <c r="E16" s="23">
        <f>Weather_Input!C7</f>
        <v>41</v>
      </c>
      <c r="F16" s="24" t="s">
        <v>292</v>
      </c>
      <c r="G16" s="25">
        <f>IF(DAY(B15)=1,G15,G11+G15)</f>
        <v>32.5</v>
      </c>
      <c r="H16" s="30" t="s">
        <v>293</v>
      </c>
      <c r="I16" s="27">
        <f ca="1">G16-(VLOOKUP(B15,DD_Normal_Data,CELL("Col",C17),FALSE))</f>
        <v>-156.5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48</v>
      </c>
      <c r="F17" s="24" t="s">
        <v>295</v>
      </c>
      <c r="G17" s="25">
        <f>IF(AND(DAY(B15)=1,MONTH(B15)=8),G15,G12+G15)</f>
        <v>32.5</v>
      </c>
      <c r="H17" s="26" t="s">
        <v>295</v>
      </c>
      <c r="I17" s="27">
        <f ca="1">G17-(VLOOKUP(B15,DD_Normal_Data,CELL("Col",D14),FALSE))</f>
        <v>-6307.5</v>
      </c>
    </row>
    <row r="18" spans="1:109" ht="15">
      <c r="A18" s="18"/>
      <c r="B18" s="20"/>
      <c r="C18" s="15"/>
      <c r="D18" s="32" t="str">
        <f>IF(Weather_Input!I7=""," ",Weather_Input!I7)</f>
        <v>SCATTERED SHOWERS.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37035</v>
      </c>
      <c r="C20" s="15"/>
      <c r="D20" s="22" t="s">
        <v>289</v>
      </c>
      <c r="E20" s="23">
        <f>Weather_Input!B8</f>
        <v>54</v>
      </c>
      <c r="F20" s="24" t="s">
        <v>290</v>
      </c>
      <c r="G20" s="25">
        <f>IF(E22&lt;65,65-(Weather_Input!B8+Weather_Input!C8)/2,0)</f>
        <v>18</v>
      </c>
      <c r="H20" s="26" t="s">
        <v>291</v>
      </c>
      <c r="I20" s="27">
        <f ca="1">G20-(VLOOKUP(B20,DD_Normal_Data,CELL("Col",B21),FALSE))</f>
        <v>13</v>
      </c>
    </row>
    <row r="21" spans="1:109" ht="15">
      <c r="A21" s="18"/>
      <c r="B21" s="21"/>
      <c r="C21" s="15"/>
      <c r="D21" s="22" t="s">
        <v>176</v>
      </c>
      <c r="E21" s="23">
        <f>Weather_Input!C8</f>
        <v>40</v>
      </c>
      <c r="F21" s="24" t="s">
        <v>292</v>
      </c>
      <c r="G21" s="25">
        <f>IF(DAY(B20)=1,G20,G16+G20)</f>
        <v>50.5</v>
      </c>
      <c r="H21" s="30" t="s">
        <v>293</v>
      </c>
      <c r="I21" s="27">
        <f ca="1">G21-(VLOOKUP(B20,DD_Normal_Data,CELL("Col",C22),FALSE))</f>
        <v>-143.5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47</v>
      </c>
      <c r="F22" s="24" t="s">
        <v>295</v>
      </c>
      <c r="G22" s="25">
        <f>IF(AND(DAY(B20)=1,MONTH(B20)=8),G20,G17+G20)</f>
        <v>50.5</v>
      </c>
      <c r="H22" s="26" t="s">
        <v>295</v>
      </c>
      <c r="I22" s="27">
        <f ca="1">G22-(VLOOKUP(B20,DD_Normal_Data,CELL("Col",D19),FALSE))</f>
        <v>-6294.5</v>
      </c>
    </row>
    <row r="23" spans="1:109" ht="15">
      <c r="A23" s="18"/>
      <c r="B23" s="21"/>
      <c r="C23" s="15"/>
      <c r="D23" s="32" t="str">
        <f>IF(Weather_Input!I8=""," ",Weather_Input!I8)</f>
        <v>SCATTERED SHOWERS.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37036</v>
      </c>
      <c r="C25" s="15"/>
      <c r="D25" s="22" t="s">
        <v>289</v>
      </c>
      <c r="E25" s="23">
        <f>Weather_Input!B9</f>
        <v>58</v>
      </c>
      <c r="F25" s="24" t="s">
        <v>290</v>
      </c>
      <c r="G25" s="25">
        <f>IF(E27&lt;65,65-(Weather_Input!B9+Weather_Input!C9)/2,0)</f>
        <v>14</v>
      </c>
      <c r="H25" s="26" t="s">
        <v>291</v>
      </c>
      <c r="I25" s="27">
        <f ca="1">G25-(VLOOKUP(B25,DD_Normal_Data,CELL("Col",B26),FALSE))</f>
        <v>9</v>
      </c>
    </row>
    <row r="26" spans="1:109" ht="15">
      <c r="A26" s="18"/>
      <c r="B26" s="21"/>
      <c r="C26" s="15"/>
      <c r="D26" s="22" t="s">
        <v>176</v>
      </c>
      <c r="E26" s="23">
        <f>Weather_Input!C9</f>
        <v>44</v>
      </c>
      <c r="F26" s="24" t="s">
        <v>292</v>
      </c>
      <c r="G26" s="25">
        <f>IF(DAY(B25)=1,G25,G21+G25)</f>
        <v>64.5</v>
      </c>
      <c r="H26" s="30" t="s">
        <v>293</v>
      </c>
      <c r="I26" s="27">
        <f ca="1">G26-(VLOOKUP(B25,DD_Normal_Data,CELL("Col",C27),FALSE))</f>
        <v>-134.5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51</v>
      </c>
      <c r="F27" s="24" t="s">
        <v>295</v>
      </c>
      <c r="G27" s="25">
        <f>IF(AND(DAY(B25)=1,MONTH(B25)=8),G25,G22+G25)</f>
        <v>64.5</v>
      </c>
      <c r="H27" s="26" t="s">
        <v>295</v>
      </c>
      <c r="I27" s="27">
        <f ca="1">G27-(VLOOKUP(B25,DD_Normal_Data,CELL("Col",D24),FALSE))</f>
        <v>-6285.5</v>
      </c>
    </row>
    <row r="28" spans="1:109" ht="15">
      <c r="A28" s="18"/>
      <c r="B28" s="20"/>
      <c r="C28" s="15"/>
      <c r="D28" s="32" t="str">
        <f>IF(Weather_Input!I9=""," ",Weather_Input!I9)</f>
        <v>SHOWERS LIKELY.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37037</v>
      </c>
      <c r="C30" s="15"/>
      <c r="D30" s="22" t="s">
        <v>289</v>
      </c>
      <c r="E30" s="23">
        <f>Weather_Input!B10</f>
        <v>58</v>
      </c>
      <c r="F30" s="24" t="s">
        <v>290</v>
      </c>
      <c r="G30" s="25">
        <f>IF(E32&lt;65,65-(Weather_Input!B10+Weather_Input!C10)/2,0)</f>
        <v>14</v>
      </c>
      <c r="H30" s="26" t="s">
        <v>291</v>
      </c>
      <c r="I30" s="27">
        <f ca="1">G30-(VLOOKUP(B30,DD_Normal_Data,CELL("Col",B31),FALSE))</f>
        <v>9</v>
      </c>
    </row>
    <row r="31" spans="1:109" ht="15">
      <c r="A31" s="15"/>
      <c r="B31" s="15"/>
      <c r="C31" s="15"/>
      <c r="D31" s="22" t="s">
        <v>176</v>
      </c>
      <c r="E31" s="23">
        <f>Weather_Input!C10</f>
        <v>44</v>
      </c>
      <c r="F31" s="24" t="s">
        <v>292</v>
      </c>
      <c r="G31" s="25">
        <f>IF(DAY(B30)=1,G30,G26+G30)</f>
        <v>78.5</v>
      </c>
      <c r="H31" s="30" t="s">
        <v>293</v>
      </c>
      <c r="I31" s="27">
        <f ca="1">G31-(VLOOKUP(B30,DD_Normal_Data,CELL("Col",C32),FALSE))</f>
        <v>-125.5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51</v>
      </c>
      <c r="F32" s="24" t="s">
        <v>295</v>
      </c>
      <c r="G32" s="25">
        <f>IF(AND(DAY(B30)=1,MONTH(B30)=8),G30,G27+G30)</f>
        <v>78.5</v>
      </c>
      <c r="H32" s="26" t="s">
        <v>295</v>
      </c>
      <c r="I32" s="27">
        <f ca="1">G32-(VLOOKUP(B30,DD_Normal_Data,CELL("Col",D29),FALSE))</f>
        <v>-6276.5</v>
      </c>
    </row>
    <row r="33" spans="1:9" ht="15">
      <c r="A33" s="15"/>
      <c r="B33" s="34"/>
      <c r="C33" s="15"/>
      <c r="D33" s="32" t="str">
        <f>IF(Weather_Input!I10=""," ",Weather_Input!I10)</f>
        <v>SHOWERS LIKELY.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37032</v>
      </c>
      <c r="C36" s="91">
        <f>B10</f>
        <v>37033</v>
      </c>
      <c r="D36" s="91">
        <f>B15</f>
        <v>37034</v>
      </c>
      <c r="E36" s="91">
        <f xml:space="preserve">       B20</f>
        <v>37035</v>
      </c>
      <c r="F36" s="91">
        <f>B25</f>
        <v>37036</v>
      </c>
      <c r="G36" s="91">
        <f>B30</f>
        <v>37037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243</v>
      </c>
      <c r="C37" s="41">
        <f ca="1">(VLOOKUP(C36,PGL_Sendouts,(CELL("COL",PGL_Deliveries!C7))))/1000</f>
        <v>315</v>
      </c>
      <c r="D37" s="41">
        <f ca="1">(VLOOKUP(D36,PGL_Sendouts,(CELL("COL",PGL_Deliveries!C8))))/1000</f>
        <v>355</v>
      </c>
      <c r="E37" s="41">
        <f ca="1">(VLOOKUP(E36,PGL_Sendouts,(CELL("COL",PGL_Deliveries!C9))))/1000</f>
        <v>365</v>
      </c>
      <c r="F37" s="41">
        <f ca="1">(VLOOKUP(F36,PGL_Sendouts,(CELL("COL",PGL_Deliveries!C10))))/1000</f>
        <v>325</v>
      </c>
      <c r="G37" s="41">
        <f ca="1">(VLOOKUP(G36,PGL_Sendouts,(CELL("COL",PGL_Deliveries!C10))))/1000</f>
        <v>305</v>
      </c>
      <c r="H37" s="14"/>
      <c r="I37" s="15"/>
    </row>
    <row r="38" spans="1:9" ht="15">
      <c r="A38" s="15" t="s">
        <v>300</v>
      </c>
      <c r="B38" s="41">
        <f>PGL_6_Day_Report!D30</f>
        <v>444.08300000000003</v>
      </c>
      <c r="C38" s="41">
        <f>PGL_6_Day_Report!E30</f>
        <v>532.75400000000002</v>
      </c>
      <c r="D38" s="41">
        <f>PGL_6_Day_Report!F30</f>
        <v>548.08000000000004</v>
      </c>
      <c r="E38" s="41">
        <f>PGL_6_Day_Report!G30</f>
        <v>558.08000000000004</v>
      </c>
      <c r="F38" s="41">
        <f>PGL_6_Day_Report!H30</f>
        <v>518.08000000000004</v>
      </c>
      <c r="G38" s="41">
        <f>PGL_6_Day_Report!I30</f>
        <v>498.08</v>
      </c>
      <c r="H38" s="14"/>
      <c r="I38" s="15"/>
    </row>
    <row r="39" spans="1:9" ht="15">
      <c r="A39" s="42" t="s">
        <v>109</v>
      </c>
      <c r="B39" s="41">
        <f>SUM(PGL_Supplies!Z7:AE7)/1000</f>
        <v>262.98</v>
      </c>
      <c r="C39" s="41">
        <f>SUM(PGL_Supplies!Z8:AE8)/1000</f>
        <v>242.20699999999999</v>
      </c>
      <c r="D39" s="41">
        <f>SUM(PGL_Supplies!Z9:AE9)/1000</f>
        <v>242.20699999999999</v>
      </c>
      <c r="E39" s="41">
        <f>SUM(PGL_Supplies!Z10:AE10)/1000</f>
        <v>242.20699999999999</v>
      </c>
      <c r="F39" s="41">
        <f>SUM(PGL_Supplies!Z11:AE11)/1000</f>
        <v>242.20699999999999</v>
      </c>
      <c r="G39" s="41">
        <f>SUM(PGL_Supplies!Z12:AE12)/1000</f>
        <v>242.20699999999999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40.83</v>
      </c>
      <c r="C41" s="41">
        <f>SUM(PGL_Requirements!R7:U7)/1000</f>
        <v>40.83</v>
      </c>
      <c r="D41" s="41">
        <f>SUM(PGL_Requirements!R7:U7)/1000</f>
        <v>40.83</v>
      </c>
      <c r="E41" s="41">
        <f>SUM(PGL_Requirements!R7:U7)/1000</f>
        <v>40.83</v>
      </c>
      <c r="F41" s="41">
        <f>SUM(PGL_Requirements!R7:U7)/1000</f>
        <v>40.83</v>
      </c>
      <c r="G41" s="41">
        <f>SUM(PGL_Requirements!R7:U7)/1000</f>
        <v>40.83</v>
      </c>
      <c r="H41" s="14"/>
      <c r="I41" s="15"/>
    </row>
    <row r="42" spans="1:9" ht="15">
      <c r="A42" s="15" t="s">
        <v>132</v>
      </c>
      <c r="B42" s="41">
        <f>PGL_Supplies!V7/1000</f>
        <v>168.36</v>
      </c>
      <c r="C42" s="41">
        <f>PGL_Supplies!V8/1000</f>
        <v>168.36</v>
      </c>
      <c r="D42" s="41">
        <f>PGL_Supplies!V9/1000</f>
        <v>168.36</v>
      </c>
      <c r="E42" s="41">
        <f>PGL_Supplies!V10/1000</f>
        <v>168.36</v>
      </c>
      <c r="F42" s="41">
        <f>PGL_Supplies!V11/1000</f>
        <v>168.36</v>
      </c>
      <c r="G42" s="41">
        <f>PGL_Supplies!V12/1000</f>
        <v>168.36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37032</v>
      </c>
      <c r="C44" s="91">
        <f t="shared" si="0"/>
        <v>37033</v>
      </c>
      <c r="D44" s="91">
        <f t="shared" si="0"/>
        <v>37034</v>
      </c>
      <c r="E44" s="91">
        <f t="shared" si="0"/>
        <v>37035</v>
      </c>
      <c r="F44" s="91">
        <f t="shared" si="0"/>
        <v>37036</v>
      </c>
      <c r="G44" s="91">
        <f t="shared" si="0"/>
        <v>37037</v>
      </c>
      <c r="H44" s="14"/>
      <c r="I44" s="15"/>
    </row>
    <row r="45" spans="1:9" ht="15">
      <c r="A45" s="15" t="s">
        <v>56</v>
      </c>
      <c r="B45" s="41">
        <f ca="1">NSG_6_Day_Report!D6</f>
        <v>45.3</v>
      </c>
      <c r="C45" s="41">
        <f ca="1">NSG_6_Day_Report!E6</f>
        <v>63</v>
      </c>
      <c r="D45" s="41">
        <f ca="1">NSG_6_Day_Report!F6</f>
        <v>71</v>
      </c>
      <c r="E45" s="41">
        <f ca="1">NSG_6_Day_Report!G6</f>
        <v>73</v>
      </c>
      <c r="F45" s="41">
        <f ca="1">NSG_6_Day_Report!H6</f>
        <v>62</v>
      </c>
      <c r="G45" s="41">
        <f ca="1">NSG_6_Day_Report!I6</f>
        <v>59</v>
      </c>
      <c r="H45" s="14"/>
      <c r="I45" s="15"/>
    </row>
    <row r="46" spans="1:9" ht="15">
      <c r="A46" s="42" t="s">
        <v>300</v>
      </c>
      <c r="B46" s="41">
        <f ca="1">NSG_6_Day_Report!D19</f>
        <v>50.249999999999993</v>
      </c>
      <c r="C46" s="41">
        <f ca="1">NSG_6_Day_Report!E19</f>
        <v>64.25</v>
      </c>
      <c r="D46" s="41">
        <f ca="1">NSG_6_Day_Report!F19</f>
        <v>72.25</v>
      </c>
      <c r="E46" s="41">
        <f ca="1">NSG_6_Day_Report!G19</f>
        <v>74.25</v>
      </c>
      <c r="F46" s="41">
        <f ca="1">NSG_6_Day_Report!H19</f>
        <v>63.25</v>
      </c>
      <c r="G46" s="41">
        <f ca="1">NSG_6_Day_Report!I19</f>
        <v>60.25</v>
      </c>
      <c r="H46" s="14"/>
      <c r="I46" s="15"/>
    </row>
    <row r="47" spans="1:9" ht="15">
      <c r="A47" s="42" t="s">
        <v>109</v>
      </c>
      <c r="B47" s="41">
        <f>SUM(NSG_Supplies!P7:R7)/1000</f>
        <v>50.253</v>
      </c>
      <c r="C47" s="41">
        <f>SUM(NSG_Supplies!P8:R8)/1000</f>
        <v>50.402999999999999</v>
      </c>
      <c r="D47" s="41">
        <f>SUM(NSG_Supplies!P9:R9)/1000</f>
        <v>50.402999999999999</v>
      </c>
      <c r="E47" s="41">
        <f>SUM(NSG_Supplies!P10:R10)/1000</f>
        <v>50.402999999999999</v>
      </c>
      <c r="F47" s="41">
        <f>SUM(NSG_Supplies!P11:R11)/1000</f>
        <v>50.402999999999999</v>
      </c>
      <c r="G47" s="41">
        <f>SUM(NSG_Supplies!P12:R12)/1000</f>
        <v>50.402999999999999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19.308</v>
      </c>
      <c r="C50" s="41">
        <f>NSG_Supplies!S8/1000</f>
        <v>19.308</v>
      </c>
      <c r="D50" s="41">
        <f>NSG_Supplies!S9/1000</f>
        <v>19.308</v>
      </c>
      <c r="E50" s="41">
        <f>NSG_Supplies!S10/1000</f>
        <v>19.308</v>
      </c>
      <c r="F50" s="41">
        <f>NSG_Supplies!S11/1000</f>
        <v>19.308</v>
      </c>
      <c r="G50" s="41">
        <f>NSG_Supplies!S12/1000</f>
        <v>19.308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37032</v>
      </c>
      <c r="C52" s="91">
        <f t="shared" si="1"/>
        <v>37033</v>
      </c>
      <c r="D52" s="91">
        <f t="shared" si="1"/>
        <v>37034</v>
      </c>
      <c r="E52" s="91">
        <f t="shared" si="1"/>
        <v>37035</v>
      </c>
      <c r="F52" s="91">
        <f t="shared" si="1"/>
        <v>37036</v>
      </c>
      <c r="G52" s="91">
        <f t="shared" si="1"/>
        <v>37037</v>
      </c>
      <c r="H52" s="14"/>
      <c r="I52" s="15"/>
    </row>
    <row r="53" spans="1:9" ht="15">
      <c r="A53" s="94" t="s">
        <v>304</v>
      </c>
      <c r="B53" s="41">
        <f>PGL_Requirements!P7/1000</f>
        <v>125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9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4"/>
    </row>
    <row r="3" spans="1:8" ht="15.75" thickBot="1">
      <c r="A3" s="98" t="s">
        <v>310</v>
      </c>
    </row>
    <row r="4" spans="1:8">
      <c r="A4" s="99"/>
      <c r="B4" s="1135" t="str">
        <f>Six_Day_Summary!A10</f>
        <v>Tuesday</v>
      </c>
      <c r="C4" s="1136" t="str">
        <f>Six_Day_Summary!A15</f>
        <v>Wednesday</v>
      </c>
      <c r="D4" s="1136" t="str">
        <f>Six_Day_Summary!A20</f>
        <v>Thursday</v>
      </c>
      <c r="E4" s="1136" t="str">
        <f>Six_Day_Summary!A25</f>
        <v>Friday</v>
      </c>
      <c r="F4" s="1137" t="str">
        <f>Six_Day_Summary!A30</f>
        <v>Saturday</v>
      </c>
      <c r="G4" s="100"/>
    </row>
    <row r="5" spans="1:8">
      <c r="A5" s="103" t="s">
        <v>311</v>
      </c>
      <c r="B5" s="1138">
        <f>Weather_Input!A6</f>
        <v>37033</v>
      </c>
      <c r="C5" s="1139">
        <f>Weather_Input!A7</f>
        <v>37034</v>
      </c>
      <c r="D5" s="1139">
        <f>Weather_Input!A8</f>
        <v>37035</v>
      </c>
      <c r="E5" s="1139">
        <f>Weather_Input!A9</f>
        <v>37036</v>
      </c>
      <c r="F5" s="1140">
        <f>Weather_Input!A10</f>
        <v>37037</v>
      </c>
      <c r="G5" s="100"/>
    </row>
    <row r="6" spans="1:8">
      <c r="A6" s="100" t="s">
        <v>312</v>
      </c>
      <c r="B6" s="1141">
        <f>PGL_Supplies!AC8/1000+PGL_Supplies!L8/1000-PGL_Requirements!O8/1000-PGL_Requirements!T8/1000+B8</f>
        <v>48.332999999999998</v>
      </c>
      <c r="C6" s="1141">
        <f>PGL_Supplies!AC9/1000+PGL_Supplies!L9/1000-PGL_Requirements!O9/1000+C15-PGL_Requirements!T9/1000</f>
        <v>48.332999999999998</v>
      </c>
      <c r="D6" s="1141">
        <f>PGL_Supplies!AC10/1000+PGL_Supplies!L10/1000-PGL_Requirements!O10/1000+D15-PGL_Requirements!T10/1000</f>
        <v>48.332999999999998</v>
      </c>
      <c r="E6" s="1141">
        <f>PGL_Supplies!AC11/1000+PGL_Supplies!L11/1000-PGL_Requirements!O11/1000+E15-PGL_Requirements!T11/1000</f>
        <v>48.332999999999998</v>
      </c>
      <c r="F6" s="1142">
        <f>PGL_Supplies!AC12/1000+PGL_Supplies!L12/1000-PGL_Requirements!O12/1000+F15-PGL_Requirements!T12/1000</f>
        <v>48.332999999999998</v>
      </c>
      <c r="G6" s="100"/>
      <c r="H6" t="s">
        <v>11</v>
      </c>
    </row>
    <row r="7" spans="1:8">
      <c r="A7" s="100" t="s">
        <v>313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314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315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316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317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318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189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716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319</v>
      </c>
      <c r="B16" s="1146">
        <v>0</v>
      </c>
      <c r="C16" s="1147"/>
      <c r="D16" s="1147"/>
      <c r="E16" s="1147"/>
      <c r="F16" s="1143"/>
      <c r="G16" s="100"/>
    </row>
    <row r="17" spans="1:7" ht="15.75" thickBot="1">
      <c r="A17" s="102" t="s">
        <v>781</v>
      </c>
      <c r="B17" s="1148">
        <v>0</v>
      </c>
      <c r="C17" s="1149"/>
      <c r="D17" s="1149"/>
      <c r="E17" s="1149"/>
      <c r="F17" s="1150"/>
      <c r="G17" s="100"/>
    </row>
    <row r="20" spans="1:7" ht="15.75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Tuesday</v>
      </c>
      <c r="C21" s="1151" t="str">
        <f t="shared" si="0"/>
        <v>Wednesday</v>
      </c>
      <c r="D21" s="1151" t="str">
        <f t="shared" si="0"/>
        <v>Thursday</v>
      </c>
      <c r="E21" s="1151" t="str">
        <f t="shared" si="0"/>
        <v>Friday</v>
      </c>
      <c r="F21" s="1152" t="str">
        <f t="shared" si="0"/>
        <v>Saturday</v>
      </c>
      <c r="G21" s="100"/>
    </row>
    <row r="22" spans="1:7">
      <c r="A22" s="107" t="s">
        <v>311</v>
      </c>
      <c r="B22" s="1153">
        <f t="shared" si="0"/>
        <v>37033</v>
      </c>
      <c r="C22" s="1153">
        <f t="shared" si="0"/>
        <v>37034</v>
      </c>
      <c r="D22" s="1153">
        <f t="shared" si="0"/>
        <v>37035</v>
      </c>
      <c r="E22" s="1153">
        <f t="shared" si="0"/>
        <v>37036</v>
      </c>
      <c r="F22" s="1154">
        <f t="shared" si="0"/>
        <v>37037</v>
      </c>
      <c r="G22" s="100"/>
    </row>
    <row r="23" spans="1:7">
      <c r="A23" s="100" t="s">
        <v>312</v>
      </c>
      <c r="B23" s="1147">
        <f>NSG_Supplies!R8/1000+NSG_Supplies!F8/1000-NSG_Requirements!H8/1000</f>
        <v>29.152999999999999</v>
      </c>
      <c r="C23" s="1147">
        <f>NSG_Supplies!R9/1000+NSG_Supplies!F9/1000-NSG_Requirements!H9/1000</f>
        <v>29.152999999999999</v>
      </c>
      <c r="D23" s="1147">
        <f>NSG_Supplies!R10/1000+NSG_Supplies!F10/1000-NSG_Requirements!H10/1000</f>
        <v>29.152999999999999</v>
      </c>
      <c r="E23" s="1147">
        <f>NSG_Supplies!R12/1000+NSG_Supplies!F11/1000-NSG_Requirements!H11/1000</f>
        <v>29.152999999999999</v>
      </c>
      <c r="F23" s="1142">
        <f>NSG_Supplies!R12/1000+NSG_Supplies!F12/1000-NSG_Requirements!H12/1000</f>
        <v>29.152999999999999</v>
      </c>
      <c r="G23" s="100"/>
    </row>
    <row r="24" spans="1:7">
      <c r="A24" s="100" t="s">
        <v>321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313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314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315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322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316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317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318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75" thickBot="1">
      <c r="A33" s="102" t="s">
        <v>323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4"/>
      <c r="B1" s="808" t="s">
        <v>381</v>
      </c>
      <c r="C1" s="907">
        <f>Weather_Input!A6</f>
        <v>37033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1">
        <f>NSG_Supplies!E8/1000</f>
        <v>0</v>
      </c>
      <c r="D4" s="134">
        <f>NSG_Requirements!J8/1000</f>
        <v>0</v>
      </c>
      <c r="E4" s="801"/>
      <c r="F4" s="171" t="s">
        <v>546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20</v>
      </c>
      <c r="D5" s="437"/>
      <c r="E5" s="439">
        <f>AVERAGE(C5/24)</f>
        <v>0.83333333333333337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6.25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3.75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152.17400000000001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748</v>
      </c>
      <c r="C11" s="153">
        <f>PGL_Supplies!Y8/1000</f>
        <v>162.40199999999999</v>
      </c>
      <c r="D11" s="788"/>
      <c r="E11" s="1124"/>
      <c r="F11" s="434" t="s">
        <v>378</v>
      </c>
      <c r="G11" s="446">
        <f>G8+G10</f>
        <v>155.92400000000001</v>
      </c>
      <c r="H11" s="433"/>
      <c r="I11" s="435"/>
    </row>
    <row r="12" spans="1:11" ht="15.75" customHeight="1">
      <c r="B12" s="248" t="s">
        <v>780</v>
      </c>
      <c r="C12" s="153">
        <v>25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756</v>
      </c>
      <c r="C14" s="447">
        <f>C11-C12</f>
        <v>137.40199999999999</v>
      </c>
      <c r="D14" s="437"/>
      <c r="E14" s="439">
        <f>AVERAGE(C14/24)</f>
        <v>5.7250833333333331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131.25</v>
      </c>
      <c r="H15" s="437" t="s">
        <v>11</v>
      </c>
      <c r="I15" s="439">
        <f>AVERAGE(G15/24)</f>
        <v>5.46875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24.673999999999999</v>
      </c>
      <c r="H16" s="447" t="s">
        <v>11</v>
      </c>
      <c r="I16" s="439">
        <f>AVERAGE(G16/24)</f>
        <v>1.0280833333333332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1.5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1.5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15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16.5</v>
      </c>
      <c r="H25" s="429"/>
      <c r="I25" s="904">
        <f>AVERAGE(G25/24)</f>
        <v>0.6875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17" workbookViewId="0">
      <selection activeCell="C39" sqref="C39"/>
    </sheetView>
  </sheetViews>
  <sheetFormatPr defaultRowHeight="11.25"/>
  <cols>
    <col min="1" max="1" width="8.6640625" style="1041" customWidth="1"/>
    <col min="2" max="2" width="8.109375" style="1041" customWidth="1"/>
    <col min="3" max="3" width="7.88671875" style="1041" customWidth="1"/>
    <col min="4" max="4" width="5.88671875" style="1041" customWidth="1"/>
    <col min="5" max="5" width="4.44140625" style="1041" customWidth="1"/>
    <col min="6" max="6" width="5.21875" style="1041" customWidth="1"/>
    <col min="7" max="7" width="9" style="1041" customWidth="1"/>
    <col min="8" max="11" width="8.88671875" style="1041"/>
    <col min="12" max="12" width="14.88671875" style="1041" customWidth="1"/>
    <col min="13" max="13" width="5.6640625" style="1041" customWidth="1"/>
    <col min="14" max="16384" width="8.88671875" style="1041"/>
  </cols>
  <sheetData>
    <row r="1" spans="1:22" ht="22.5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37033</v>
      </c>
      <c r="I1" s="930"/>
      <c r="J1" s="932"/>
      <c r="K1" s="932"/>
    </row>
    <row r="2" spans="1:22" ht="16.5" customHeight="1">
      <c r="A2" s="950" t="s">
        <v>680</v>
      </c>
      <c r="C2" s="1042">
        <v>387</v>
      </c>
      <c r="F2" s="1043">
        <v>387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20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5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5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63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5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-13.847000000000001</v>
      </c>
      <c r="N11" s="933"/>
      <c r="O11" s="958"/>
      <c r="U11" s="932"/>
      <c r="V11" s="946"/>
    </row>
    <row r="12" spans="1:22" ht="14.45" customHeight="1">
      <c r="A12" s="930" t="s">
        <v>743</v>
      </c>
      <c r="H12" s="952"/>
      <c r="U12" s="932"/>
      <c r="V12" s="952"/>
    </row>
    <row r="13" spans="1:22" ht="14.45" customHeight="1">
      <c r="A13" s="1045">
        <f>PGL_Supplies!Y8/1000</f>
        <v>162.40199999999999</v>
      </c>
      <c r="H13" s="952"/>
      <c r="U13" s="932"/>
      <c r="V13" s="952"/>
    </row>
    <row r="14" spans="1:22" ht="14.45" customHeight="1">
      <c r="H14" s="952"/>
      <c r="U14" s="932"/>
      <c r="V14" s="952"/>
    </row>
    <row r="15" spans="1:22" ht="15.6" customHeight="1">
      <c r="B15" s="1041" t="s">
        <v>11</v>
      </c>
      <c r="C15" s="1048">
        <v>389</v>
      </c>
      <c r="F15" s="1048">
        <v>375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549</v>
      </c>
      <c r="D18" s="1050"/>
      <c r="E18" s="1050"/>
      <c r="F18" s="1043">
        <v>784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29.152999999999999</v>
      </c>
      <c r="N19" s="1053"/>
    </row>
    <row r="20" spans="1:17" ht="17.25" customHeight="1">
      <c r="A20" s="952">
        <f>Billy_Sheet!G15</f>
        <v>131.25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0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16.5</v>
      </c>
      <c r="B26" s="932"/>
      <c r="C26" s="933"/>
      <c r="D26" s="933"/>
      <c r="F26" s="933"/>
      <c r="G26" s="1052">
        <v>0</v>
      </c>
      <c r="H26" s="933"/>
      <c r="I26" s="933"/>
      <c r="J26" s="933" t="s">
        <v>573</v>
      </c>
      <c r="K26" s="1055">
        <f>PGL_Deliveries!C6/1000</f>
        <v>315</v>
      </c>
      <c r="L26" s="930" t="s">
        <v>684</v>
      </c>
      <c r="M26" s="952">
        <f>NSG_Deliveries!C6/1000</f>
        <v>63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151.47799999999998</v>
      </c>
      <c r="L28" s="933" t="s">
        <v>735</v>
      </c>
      <c r="M28" s="958">
        <f>SUM(J2+K17+K19+H11+H9-M26)</f>
        <v>-13.847000000000001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37032</v>
      </c>
      <c r="G29" s="952">
        <f>PGL_Requirements!H7/1000</f>
        <v>11.388</v>
      </c>
      <c r="H29" s="931"/>
      <c r="J29" s="933" t="s">
        <v>688</v>
      </c>
      <c r="K29" s="952">
        <f>PGL_Supplies!AC8/1000+PGL_Supplies!L8/1000-PGL_Requirements!O8/1000</f>
        <v>48.332999999999998</v>
      </c>
    </row>
    <row r="30" spans="1:17" ht="10.5" customHeight="1">
      <c r="A30" s="935"/>
      <c r="B30" s="952"/>
      <c r="C30" s="933"/>
      <c r="D30" s="952"/>
      <c r="F30" s="1107">
        <f>PGL_Requirements!A8</f>
        <v>37033</v>
      </c>
      <c r="G30" s="952">
        <f>PGL_Requirements!H8/1000</f>
        <v>24.673999999999999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-115.18900000000002</v>
      </c>
    </row>
    <row r="32" spans="1:17">
      <c r="A32" s="952">
        <f>PGL_Supplies!H8/1000</f>
        <v>1</v>
      </c>
      <c r="G32" s="952">
        <f>PGL_Requirements!P8/1000</f>
        <v>150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551</v>
      </c>
      <c r="F38" s="1048">
        <v>752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326.15199999999999</v>
      </c>
      <c r="B40" s="946"/>
      <c r="C40" s="945"/>
      <c r="D40" s="946"/>
      <c r="E40" s="946"/>
      <c r="F40" s="1058"/>
      <c r="G40" s="1058">
        <f>SUM(G30:G35)</f>
        <v>174.67400000000001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151.47799999999998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381</v>
      </c>
      <c r="E45" s="1063"/>
      <c r="F45" s="1064">
        <v>6.7000000000000004E-2</v>
      </c>
      <c r="G45" s="1065">
        <f>(C45-D45)*F45</f>
        <v>1.9430000000000001</v>
      </c>
      <c r="H45" s="1065">
        <f>(D45-B45)*F45</f>
        <v>8.777000000000001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388</v>
      </c>
      <c r="E47" s="1063"/>
      <c r="F47" s="1064">
        <v>0.14099999999999999</v>
      </c>
      <c r="G47" s="1065">
        <f>(C47-D47)*F47</f>
        <v>3.1019999999999999</v>
      </c>
      <c r="H47" s="1065">
        <f>(D47-B47)*F47</f>
        <v>19.457999999999998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550</v>
      </c>
      <c r="E48" s="1063"/>
      <c r="F48" s="1064">
        <v>0.161</v>
      </c>
      <c r="G48" s="1065">
        <f>(C48-D48)*F48</f>
        <v>32.200000000000003</v>
      </c>
      <c r="H48" s="1065">
        <f>(D48-B48)*F48</f>
        <v>42.664999999999999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37.245000000000005</v>
      </c>
      <c r="H49" s="1065">
        <f>SUM(H45:H48)</f>
        <v>70.900000000000006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37032</v>
      </c>
      <c r="B5" s="11">
        <v>69</v>
      </c>
      <c r="C5" s="49">
        <v>47</v>
      </c>
      <c r="D5" s="49">
        <v>12</v>
      </c>
      <c r="E5" s="11" t="s">
        <v>804</v>
      </c>
      <c r="F5" s="11" t="s">
        <v>11</v>
      </c>
      <c r="G5" s="11"/>
      <c r="H5" s="11" t="s">
        <v>11</v>
      </c>
      <c r="I5" s="909" t="s">
        <v>798</v>
      </c>
      <c r="J5" s="909" t="s">
        <v>799</v>
      </c>
      <c r="K5" s="11">
        <v>5</v>
      </c>
      <c r="L5" s="11">
        <v>1</v>
      </c>
      <c r="N5" s="15" t="str">
        <f>I5&amp;" "&amp;I5</f>
        <v>SCATTERED SHOWERS AND POSSIBLE T'STORMS THIS A.M. THEN MOSTLY CLOUD SCATTERED SHOWERS AND POSSIBLE T'STORMS THIS A.M. THEN MOSTLY CLOUD</v>
      </c>
      <c r="AE5" s="15">
        <v>1</v>
      </c>
      <c r="AH5" s="15" t="s">
        <v>34</v>
      </c>
    </row>
    <row r="6" spans="1:34" ht="16.5" customHeight="1">
      <c r="A6" s="88">
        <f>A5+1</f>
        <v>37033</v>
      </c>
      <c r="B6" s="11">
        <v>59</v>
      </c>
      <c r="C6" s="49">
        <v>40</v>
      </c>
      <c r="D6" s="49">
        <v>15</v>
      </c>
      <c r="E6" s="11" t="s">
        <v>11</v>
      </c>
      <c r="F6" s="11" t="s">
        <v>11</v>
      </c>
      <c r="G6" s="11"/>
      <c r="H6" s="11" t="s">
        <v>11</v>
      </c>
      <c r="I6" s="909" t="s">
        <v>800</v>
      </c>
      <c r="J6" s="909" t="s">
        <v>801</v>
      </c>
      <c r="K6" s="11">
        <v>6</v>
      </c>
      <c r="L6" s="11" t="s">
        <v>626</v>
      </c>
      <c r="N6" s="15" t="str">
        <f>I6&amp;" "&amp;J6</f>
        <v>CLOUDY AND COOL WITH A 30% CHANCE OF SHOWERS. OVERNIGHT…CLOUDY WITH A 50% CHANCE OF SHOWERS.</v>
      </c>
      <c r="AE6" s="15">
        <v>1</v>
      </c>
      <c r="AH6" s="15" t="s">
        <v>35</v>
      </c>
    </row>
    <row r="7" spans="1:34" ht="16.5" customHeight="1">
      <c r="A7" s="88">
        <f>A6+1</f>
        <v>37034</v>
      </c>
      <c r="B7" s="11">
        <v>55</v>
      </c>
      <c r="C7" s="49">
        <v>41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09" t="s">
        <v>802</v>
      </c>
      <c r="J7" s="909" t="s">
        <v>11</v>
      </c>
      <c r="K7" s="11">
        <v>5</v>
      </c>
      <c r="L7" s="11" t="s">
        <v>22</v>
      </c>
      <c r="N7" s="15" t="str">
        <f>I7&amp;" "&amp;J7</f>
        <v xml:space="preserve">SCATTERED SHOWERS.  </v>
      </c>
    </row>
    <row r="8" spans="1:34" ht="16.5" customHeight="1">
      <c r="A8" s="88">
        <f>A7+1</f>
        <v>37035</v>
      </c>
      <c r="B8" s="11">
        <v>54</v>
      </c>
      <c r="C8" s="49">
        <v>40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9" t="s">
        <v>802</v>
      </c>
      <c r="J8" s="909" t="s">
        <v>11</v>
      </c>
      <c r="K8" s="11">
        <v>5</v>
      </c>
      <c r="L8" s="11"/>
      <c r="N8" s="15" t="str">
        <f>I8&amp;" "&amp;J8</f>
        <v xml:space="preserve">SCATTERED SHOWERS.  </v>
      </c>
    </row>
    <row r="9" spans="1:34" ht="16.5" customHeight="1">
      <c r="A9" s="88">
        <f>A8+1</f>
        <v>37036</v>
      </c>
      <c r="B9" s="11">
        <v>58</v>
      </c>
      <c r="C9" s="49">
        <v>44</v>
      </c>
      <c r="D9" s="49">
        <v>18</v>
      </c>
      <c r="E9" s="11" t="s">
        <v>11</v>
      </c>
      <c r="F9" s="11" t="s">
        <v>11</v>
      </c>
      <c r="G9" s="11"/>
      <c r="H9" s="11" t="s">
        <v>11</v>
      </c>
      <c r="I9" s="909" t="s">
        <v>803</v>
      </c>
      <c r="J9" s="909" t="s">
        <v>11</v>
      </c>
      <c r="K9" s="11">
        <v>5</v>
      </c>
      <c r="L9" s="11">
        <v>0</v>
      </c>
      <c r="M9" s="89"/>
      <c r="N9" s="15" t="str">
        <f>I10&amp;" "&amp;J9</f>
        <v xml:space="preserve">SHOWERS LIKELY.  </v>
      </c>
    </row>
    <row r="10" spans="1:34" ht="16.5" customHeight="1">
      <c r="A10" s="88">
        <f>A9+1</f>
        <v>37037</v>
      </c>
      <c r="B10" s="11">
        <v>58</v>
      </c>
      <c r="C10" s="49">
        <v>44</v>
      </c>
      <c r="D10" s="49">
        <v>18</v>
      </c>
      <c r="E10" s="11" t="s">
        <v>11</v>
      </c>
      <c r="F10" s="11" t="s">
        <v>11</v>
      </c>
      <c r="G10" s="11"/>
      <c r="H10" s="11" t="s">
        <v>11</v>
      </c>
      <c r="I10" s="909" t="s">
        <v>803</v>
      </c>
      <c r="J10" s="909" t="s">
        <v>11</v>
      </c>
      <c r="K10" s="11">
        <v>5</v>
      </c>
      <c r="L10" s="11" t="s">
        <v>414</v>
      </c>
    </row>
    <row r="11" spans="1:34" ht="16.5" customHeight="1">
      <c r="G11"/>
    </row>
    <row r="12" spans="1:34" ht="15.75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3" t="s">
        <v>573</v>
      </c>
      <c r="B2" s="185">
        <f>PGL_Deliveries!U5/1000</f>
        <v>4.2869999999999999</v>
      </c>
      <c r="C2" s="60"/>
      <c r="D2" s="120" t="s">
        <v>324</v>
      </c>
      <c r="E2" s="425">
        <f>Weather_Input!A5</f>
        <v>37032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2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254</v>
      </c>
      <c r="B6" s="153">
        <f>PGL_Deliveries!I5/1000</f>
        <v>0</v>
      </c>
      <c r="C6" s="168"/>
      <c r="D6" s="59" t="s">
        <v>576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5" thickBot="1">
      <c r="A7" s="180" t="s">
        <v>579</v>
      </c>
      <c r="B7" s="227">
        <f>SUM(B5:B6)</f>
        <v>0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151.89699999999999</v>
      </c>
      <c r="C8" s="630"/>
      <c r="D8" s="117" t="s">
        <v>578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211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4.2869999999999999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19.786999999999999</v>
      </c>
      <c r="C11" s="64"/>
      <c r="D11" s="117" t="s">
        <v>580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</f>
        <v>157.24299999999999</v>
      </c>
      <c r="C13" s="64"/>
      <c r="D13" s="117" t="s">
        <v>219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-147.417</v>
      </c>
      <c r="C15" s="64"/>
      <c r="D15" s="59" t="s">
        <v>402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21.870999999999999</v>
      </c>
      <c r="D16" s="117" t="s">
        <v>223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75" thickBot="1">
      <c r="A17" s="169" t="s">
        <v>186</v>
      </c>
      <c r="B17" s="153">
        <f>PGL_Deliveries!AP5/1000</f>
        <v>0</v>
      </c>
      <c r="C17" s="168" t="s">
        <v>11</v>
      </c>
      <c r="D17" s="1156" t="s">
        <v>222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5" thickBot="1">
      <c r="A18" s="179" t="s">
        <v>584</v>
      </c>
      <c r="B18" s="903">
        <f>SUM(B8:B17)-C16</f>
        <v>159.63900000000001</v>
      </c>
      <c r="C18" s="168"/>
      <c r="D18" s="178" t="s">
        <v>585</v>
      </c>
      <c r="E18" s="177">
        <f>SUM(E5:E17)</f>
        <v>4.2869999999999999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152.40199999999999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0.6</v>
      </c>
      <c r="C20" s="64"/>
      <c r="D20" s="117" t="s">
        <v>189</v>
      </c>
      <c r="E20" s="153">
        <f>PGL_Deliveries!AW5/1000+B41</f>
        <v>2.2243499999999998</v>
      </c>
      <c r="F20" s="170"/>
      <c r="H20"/>
      <c r="I20"/>
      <c r="J20"/>
      <c r="K20"/>
      <c r="L20"/>
      <c r="M20"/>
    </row>
    <row r="21" spans="1:13" ht="16.5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6.5113500000000002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8">
        <f>+B19+B20-C21</f>
        <v>153.00199999999998</v>
      </c>
      <c r="C22" s="1121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40.200000000000003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1.5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14.89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49.127000000000002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125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34.237000000000002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1.4630000000000001</v>
      </c>
      <c r="C40" s="64"/>
      <c r="D40" s="779" t="s">
        <v>610</v>
      </c>
      <c r="E40" s="806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172.15299999999999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2.2243499999999998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740</v>
      </c>
      <c r="B44" s="209" t="s">
        <v>11</v>
      </c>
      <c r="C44" s="225">
        <f>PGL_Requirements!R7/1000</f>
        <v>0.63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69</v>
      </c>
      <c r="C45" s="184"/>
      <c r="D45" s="60" t="s">
        <v>623</v>
      </c>
      <c r="E45" s="807">
        <f>PGL_Supplies!T7/1000</f>
        <v>7.5</v>
      </c>
      <c r="F45" s="170"/>
    </row>
    <row r="46" spans="1:13" ht="15">
      <c r="A46" s="171" t="s">
        <v>614</v>
      </c>
      <c r="B46" s="238">
        <f>Weather_Input!C5</f>
        <v>47</v>
      </c>
      <c r="C46" s="161"/>
      <c r="D46" s="74" t="s">
        <v>622</v>
      </c>
      <c r="E46" s="60"/>
      <c r="F46" s="175">
        <f>PGL_Deliveries!BE5/1000</f>
        <v>17.908000000000001</v>
      </c>
    </row>
    <row r="47" spans="1:13" ht="15">
      <c r="A47" s="172" t="s">
        <v>615</v>
      </c>
      <c r="B47" s="60" t="str">
        <f>Weather_Input!E5</f>
        <v>N/A</v>
      </c>
      <c r="C47" s="161"/>
      <c r="D47" s="778" t="s">
        <v>789</v>
      </c>
      <c r="E47" s="68"/>
      <c r="F47" s="175">
        <f>PGL_Deliveries!BF5/1000</f>
        <v>0</v>
      </c>
    </row>
    <row r="48" spans="1:13" ht="15">
      <c r="A48" s="171" t="s">
        <v>616</v>
      </c>
      <c r="B48" s="226">
        <f>Weather_Input!D5</f>
        <v>12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1.0149999999999999</v>
      </c>
      <c r="C49" s="161"/>
      <c r="D49" s="60" t="s">
        <v>778</v>
      </c>
      <c r="E49" s="153">
        <f>PGL_Deliveries!AJ5/1000</f>
        <v>19.786999999999999</v>
      </c>
      <c r="F49" s="160"/>
    </row>
    <row r="50" spans="1:6" ht="15.75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0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75" thickBot="1">
      <c r="A3" s="1129" t="s">
        <v>5</v>
      </c>
      <c r="B3" s="243">
        <f>NSG_Deliveries!H5/1000</f>
        <v>0</v>
      </c>
      <c r="C3" s="119"/>
      <c r="D3" s="229" t="s">
        <v>324</v>
      </c>
      <c r="E3" s="428">
        <f>Weather_Input!A5</f>
        <v>37032</v>
      </c>
      <c r="F3" s="119"/>
      <c r="G3"/>
      <c r="J3"/>
      <c r="K3"/>
    </row>
    <row r="4" spans="1:11" ht="15.75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0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0</v>
      </c>
      <c r="C8" s="160"/>
      <c r="D8" s="818" t="s">
        <v>641</v>
      </c>
      <c r="E8" s="812">
        <f>NSG_Deliveries!F5/1000</f>
        <v>0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11.661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30.253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1.397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0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28.856000000000002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11</v>
      </c>
    </row>
    <row r="2" spans="1:3" ht="15.75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9" customWidth="1"/>
    <col min="3" max="3" width="20.66406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  <c r="D6">
        <v>25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356</v>
      </c>
      <c r="B1" s="51">
        <f>Weather_Input!A5</f>
        <v>37032</v>
      </c>
      <c r="C1" s="4"/>
    </row>
    <row r="2" spans="1:19">
      <c r="A2" s="111" t="s">
        <v>357</v>
      </c>
      <c r="B2" s="4"/>
      <c r="C2" s="4"/>
    </row>
    <row r="3" spans="1:19" ht="15.75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37031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153902</v>
      </c>
      <c r="O6" s="203">
        <v>0</v>
      </c>
      <c r="P6" s="203">
        <v>48246402</v>
      </c>
      <c r="Q6" s="203">
        <v>15045098</v>
      </c>
      <c r="R6" s="203">
        <v>33201304</v>
      </c>
      <c r="S6" s="203">
        <v>0</v>
      </c>
    </row>
    <row r="7" spans="1:19">
      <c r="A7" s="4">
        <f>B1</f>
        <v>37032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153902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48400304</v>
      </c>
      <c r="Q7">
        <f>IF(O7&gt;0,Q6+O7,Q6)</f>
        <v>15045098</v>
      </c>
      <c r="R7">
        <f>IF(P7&gt;Q7,P7-Q7,0)</f>
        <v>33355206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37032</v>
      </c>
      <c r="B5" s="1">
        <f>(Weather_Input!B5+Weather_Input!C5)/2</f>
        <v>58</v>
      </c>
      <c r="C5" s="910">
        <v>243000</v>
      </c>
      <c r="D5" s="911">
        <v>0</v>
      </c>
      <c r="E5" s="911">
        <v>0</v>
      </c>
      <c r="F5" s="911">
        <v>0</v>
      </c>
      <c r="G5" s="911">
        <v>0</v>
      </c>
      <c r="H5" s="911">
        <v>0</v>
      </c>
      <c r="I5" s="911">
        <v>0</v>
      </c>
      <c r="J5" s="911">
        <v>0</v>
      </c>
      <c r="K5" s="911">
        <v>0</v>
      </c>
      <c r="L5" s="911">
        <v>0</v>
      </c>
      <c r="M5" s="911">
        <v>0</v>
      </c>
      <c r="N5" s="911">
        <v>0</v>
      </c>
      <c r="O5" s="911">
        <v>0</v>
      </c>
      <c r="P5" s="911">
        <v>0</v>
      </c>
      <c r="Q5" s="911">
        <v>0</v>
      </c>
      <c r="R5" s="911">
        <v>0</v>
      </c>
      <c r="S5" s="916">
        <v>4287</v>
      </c>
      <c r="T5" s="1155">
        <v>0</v>
      </c>
      <c r="U5" s="910">
        <f>SUM(D5:S5)-T5</f>
        <v>4287</v>
      </c>
      <c r="V5" s="910">
        <v>151897</v>
      </c>
      <c r="W5" s="11">
        <v>0</v>
      </c>
      <c r="X5" s="11">
        <v>0</v>
      </c>
      <c r="Y5" s="11">
        <v>0</v>
      </c>
      <c r="Z5" s="11">
        <v>169880</v>
      </c>
      <c r="AA5" s="11">
        <v>5271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19787</v>
      </c>
      <c r="AK5" s="11">
        <v>0</v>
      </c>
      <c r="AL5" s="11">
        <v>0</v>
      </c>
      <c r="AM5" s="1">
        <v>1015</v>
      </c>
      <c r="AN5" s="1"/>
      <c r="AO5" s="1">
        <v>21871</v>
      </c>
      <c r="AP5" s="1">
        <v>0</v>
      </c>
      <c r="AQ5" s="1">
        <v>5385</v>
      </c>
      <c r="AR5" s="1">
        <v>0</v>
      </c>
      <c r="AS5" s="1">
        <v>0</v>
      </c>
      <c r="AT5" s="1">
        <v>1463</v>
      </c>
      <c r="AU5" s="1">
        <v>148290</v>
      </c>
      <c r="AV5" s="1">
        <v>590</v>
      </c>
      <c r="AW5" s="626">
        <f>AU5*0.015</f>
        <v>2224.35</v>
      </c>
      <c r="AX5" s="1">
        <v>0</v>
      </c>
      <c r="AY5" s="1"/>
      <c r="AZ5" s="1">
        <v>19</v>
      </c>
      <c r="BA5" s="1">
        <v>15</v>
      </c>
      <c r="BB5" s="1">
        <v>0</v>
      </c>
      <c r="BC5" s="1">
        <v>0</v>
      </c>
      <c r="BD5" s="1"/>
      <c r="BE5" s="1">
        <v>17908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37033</v>
      </c>
      <c r="B6" s="929">
        <f>(Weather_Input!B6+Weather_Input!C6)/2</f>
        <v>49.5</v>
      </c>
      <c r="C6" s="910">
        <v>315000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37034</v>
      </c>
      <c r="B7" s="929">
        <f>(Weather_Input!B7+Weather_Input!C7)/2</f>
        <v>48</v>
      </c>
      <c r="C7" s="910">
        <v>355000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37035</v>
      </c>
      <c r="B8" s="929">
        <f>(Weather_Input!B8+Weather_Input!C8)/2</f>
        <v>47</v>
      </c>
      <c r="C8" s="910">
        <v>365000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37036</v>
      </c>
      <c r="B9" s="929">
        <f>(Weather_Input!B9+Weather_Input!C9)/2</f>
        <v>51</v>
      </c>
      <c r="C9" s="910">
        <v>325000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37037</v>
      </c>
      <c r="B10" s="929">
        <f>(Weather_Input!B10+Weather_Input!C10)/2</f>
        <v>51</v>
      </c>
      <c r="C10" s="910">
        <v>305000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37032</v>
      </c>
      <c r="B5" s="1">
        <f>(Weather_Input!B5+Weather_Input!C5)/2</f>
        <v>58</v>
      </c>
      <c r="C5" s="910">
        <v>45300</v>
      </c>
      <c r="D5" s="910">
        <v>0</v>
      </c>
      <c r="E5" s="910">
        <v>0</v>
      </c>
      <c r="F5" s="910">
        <v>0</v>
      </c>
      <c r="G5" s="910">
        <v>0</v>
      </c>
      <c r="H5" s="918">
        <f>SUM(D5:G5)</f>
        <v>0</v>
      </c>
      <c r="I5" s="1">
        <v>1009</v>
      </c>
      <c r="J5" s="1" t="s">
        <v>11</v>
      </c>
      <c r="K5" s="1">
        <v>1397</v>
      </c>
      <c r="L5" s="1">
        <v>0</v>
      </c>
      <c r="M5" s="1">
        <v>11661</v>
      </c>
      <c r="N5" s="1">
        <v>0</v>
      </c>
    </row>
    <row r="6" spans="1:14">
      <c r="A6" s="12">
        <f>A5+1</f>
        <v>37033</v>
      </c>
      <c r="B6" s="929">
        <f>(Weather_Input!B6+Weather_Input!C6)/2</f>
        <v>49.5</v>
      </c>
      <c r="C6" s="910">
        <v>63000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37034</v>
      </c>
      <c r="B7" s="929">
        <f>(Weather_Input!B7+Weather_Input!C7)/2</f>
        <v>48</v>
      </c>
      <c r="C7" s="910">
        <v>71000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37035</v>
      </c>
      <c r="B8" s="929">
        <f>(Weather_Input!B8+Weather_Input!C8)/2</f>
        <v>47</v>
      </c>
      <c r="C8" s="910">
        <v>73000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37036</v>
      </c>
      <c r="B9" s="929">
        <f>(Weather_Input!B9+Weather_Input!C9)/2</f>
        <v>51</v>
      </c>
      <c r="C9" s="910">
        <v>62000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37037</v>
      </c>
      <c r="B10" s="929">
        <f>(Weather_Input!B10+Weather_Input!C10)/2</f>
        <v>51</v>
      </c>
      <c r="C10" s="910">
        <v>59000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2.75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3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2.75">
      <c r="A7" s="831">
        <f>Weather_Input!A5</f>
        <v>37032</v>
      </c>
      <c r="B7" s="919">
        <v>0</v>
      </c>
      <c r="C7" s="920">
        <v>0</v>
      </c>
      <c r="D7" s="624">
        <v>0</v>
      </c>
      <c r="E7" s="624">
        <v>0</v>
      </c>
      <c r="F7" s="919">
        <v>1500</v>
      </c>
      <c r="G7" s="919">
        <v>5600</v>
      </c>
      <c r="H7" s="921">
        <v>11388</v>
      </c>
      <c r="I7" s="623">
        <v>0</v>
      </c>
      <c r="J7" s="623">
        <v>0</v>
      </c>
      <c r="K7" s="624">
        <v>0</v>
      </c>
      <c r="L7" s="623">
        <v>0</v>
      </c>
      <c r="M7" s="624">
        <v>0</v>
      </c>
      <c r="N7" s="624">
        <v>0</v>
      </c>
      <c r="O7" s="625">
        <v>14890</v>
      </c>
      <c r="P7" s="624">
        <v>125000</v>
      </c>
      <c r="Q7" s="626">
        <f t="shared" ref="Q7:Q12" si="0">P7*0.015</f>
        <v>1875</v>
      </c>
      <c r="R7" s="624">
        <v>630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37032</v>
      </c>
    </row>
    <row r="8" spans="1:89" s="1" customFormat="1" ht="12.75">
      <c r="A8" s="831">
        <f>A7+1</f>
        <v>37033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24674</v>
      </c>
      <c r="I8" s="623">
        <v>0</v>
      </c>
      <c r="J8" s="623">
        <v>0</v>
      </c>
      <c r="K8" s="624">
        <v>0</v>
      </c>
      <c r="L8" s="623">
        <v>0</v>
      </c>
      <c r="M8" s="624">
        <v>0</v>
      </c>
      <c r="N8" s="624">
        <v>0</v>
      </c>
      <c r="O8" s="625">
        <v>0</v>
      </c>
      <c r="P8" s="624">
        <v>150000</v>
      </c>
      <c r="Q8" s="626">
        <f t="shared" si="0"/>
        <v>2250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37033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2.75">
      <c r="A9" s="831">
        <f>A8+1</f>
        <v>37034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37034</v>
      </c>
      <c r="AN9" s="623"/>
    </row>
    <row r="10" spans="1:89" s="1" customFormat="1" ht="12.75">
      <c r="A10" s="831">
        <f>A9+1</f>
        <v>37035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37035</v>
      </c>
    </row>
    <row r="11" spans="1:89" s="1" customFormat="1" ht="12.75">
      <c r="A11" s="831">
        <f>A10+1</f>
        <v>37036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37036</v>
      </c>
    </row>
    <row r="12" spans="1:89" s="1" customFormat="1" ht="12.75">
      <c r="A12" s="831">
        <f>A11+1</f>
        <v>37037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37037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0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37032</v>
      </c>
      <c r="B7" s="626">
        <v>0</v>
      </c>
      <c r="C7" s="627">
        <v>0</v>
      </c>
      <c r="D7" s="626">
        <v>0</v>
      </c>
      <c r="E7" s="626">
        <v>4600</v>
      </c>
      <c r="F7" s="626">
        <v>0</v>
      </c>
      <c r="G7" s="919">
        <v>0</v>
      </c>
      <c r="H7" s="624">
        <v>1000</v>
      </c>
      <c r="I7" s="624">
        <v>15000</v>
      </c>
      <c r="J7" s="624">
        <v>0</v>
      </c>
      <c r="K7" s="922">
        <v>0</v>
      </c>
      <c r="L7" s="625">
        <v>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7500</v>
      </c>
      <c r="U7" s="624">
        <v>0</v>
      </c>
      <c r="V7" s="625">
        <v>168360</v>
      </c>
      <c r="W7" s="625">
        <v>0</v>
      </c>
      <c r="X7" s="623">
        <v>600</v>
      </c>
      <c r="Y7" s="922">
        <v>152402</v>
      </c>
      <c r="Z7" s="625">
        <v>40200</v>
      </c>
      <c r="AA7" s="1">
        <v>0</v>
      </c>
      <c r="AB7" s="623">
        <v>172153</v>
      </c>
      <c r="AC7" s="623">
        <v>49127</v>
      </c>
      <c r="AD7" s="623">
        <v>1500</v>
      </c>
      <c r="AE7" s="922">
        <v>0</v>
      </c>
      <c r="AF7" s="51">
        <f>Weather_Input!A5</f>
        <v>37032</v>
      </c>
      <c r="AI7" s="623"/>
      <c r="AJ7" s="623"/>
      <c r="AK7" s="623"/>
    </row>
    <row r="8" spans="1:37">
      <c r="A8" s="831">
        <f>A7+1</f>
        <v>37033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15000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7500</v>
      </c>
      <c r="U8" s="624">
        <v>0</v>
      </c>
      <c r="V8" s="625">
        <v>168360</v>
      </c>
      <c r="W8" s="625">
        <v>0</v>
      </c>
      <c r="X8" s="623">
        <v>0</v>
      </c>
      <c r="Y8" s="922">
        <v>162402</v>
      </c>
      <c r="Z8" s="625">
        <v>40200</v>
      </c>
      <c r="AA8" s="1">
        <v>0</v>
      </c>
      <c r="AB8" s="623">
        <v>152174</v>
      </c>
      <c r="AC8" s="623">
        <v>48333</v>
      </c>
      <c r="AD8" s="623">
        <v>1500</v>
      </c>
      <c r="AE8" s="922">
        <v>0</v>
      </c>
      <c r="AF8" s="831">
        <f>AF7+1</f>
        <v>37033</v>
      </c>
      <c r="AI8" s="623"/>
      <c r="AJ8" s="623"/>
      <c r="AK8" s="623"/>
    </row>
    <row r="9" spans="1:37" s="623" customFormat="1">
      <c r="A9" s="831">
        <f>A8+1</f>
        <v>37034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5000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168360</v>
      </c>
      <c r="W9" s="625">
        <v>0</v>
      </c>
      <c r="X9" s="623">
        <v>0</v>
      </c>
      <c r="Y9" s="922">
        <v>162402</v>
      </c>
      <c r="Z9" s="625">
        <v>40200</v>
      </c>
      <c r="AA9" s="1">
        <v>0</v>
      </c>
      <c r="AB9" s="623">
        <v>152174</v>
      </c>
      <c r="AC9" s="623">
        <v>48333</v>
      </c>
      <c r="AD9" s="623">
        <v>1500</v>
      </c>
      <c r="AE9" s="922">
        <v>0</v>
      </c>
      <c r="AF9" s="831">
        <f>AF8+1</f>
        <v>37034</v>
      </c>
    </row>
    <row r="10" spans="1:37">
      <c r="A10" s="831">
        <f>A9+1</f>
        <v>37035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5000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168360</v>
      </c>
      <c r="W10" s="625">
        <v>0</v>
      </c>
      <c r="X10" s="623">
        <v>0</v>
      </c>
      <c r="Y10" s="922">
        <v>162402</v>
      </c>
      <c r="Z10" s="625">
        <v>40200</v>
      </c>
      <c r="AA10" s="1">
        <v>0</v>
      </c>
      <c r="AB10" s="623">
        <v>152174</v>
      </c>
      <c r="AC10" s="623">
        <v>48333</v>
      </c>
      <c r="AD10" s="623">
        <v>1500</v>
      </c>
      <c r="AE10" s="922">
        <v>0</v>
      </c>
      <c r="AF10" s="831">
        <f>AF9+1</f>
        <v>37035</v>
      </c>
      <c r="AI10" s="623"/>
      <c r="AJ10" s="623"/>
      <c r="AK10" s="623"/>
    </row>
    <row r="11" spans="1:37">
      <c r="A11" s="831">
        <f>A10+1</f>
        <v>37036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5000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168360</v>
      </c>
      <c r="W11" s="625">
        <v>0</v>
      </c>
      <c r="X11" s="623">
        <v>0</v>
      </c>
      <c r="Y11" s="922">
        <v>162402</v>
      </c>
      <c r="Z11" s="625">
        <v>40200</v>
      </c>
      <c r="AA11" s="1">
        <v>0</v>
      </c>
      <c r="AB11" s="623">
        <v>152174</v>
      </c>
      <c r="AC11" s="623">
        <v>48333</v>
      </c>
      <c r="AD11" s="623">
        <v>1500</v>
      </c>
      <c r="AE11" s="922">
        <v>0</v>
      </c>
      <c r="AF11" s="831">
        <f>AF10+1</f>
        <v>37036</v>
      </c>
    </row>
    <row r="12" spans="1:37">
      <c r="A12" s="831">
        <f>A11+1</f>
        <v>37037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5000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168360</v>
      </c>
      <c r="W12" s="625">
        <v>0</v>
      </c>
      <c r="X12" s="623">
        <v>0</v>
      </c>
      <c r="Y12" s="922">
        <v>162402</v>
      </c>
      <c r="Z12" s="625">
        <v>40200</v>
      </c>
      <c r="AA12" s="1">
        <v>0</v>
      </c>
      <c r="AB12" s="623">
        <v>152174</v>
      </c>
      <c r="AC12" s="623">
        <v>48333</v>
      </c>
      <c r="AD12" s="623">
        <v>1500</v>
      </c>
      <c r="AE12" s="922">
        <v>0</v>
      </c>
      <c r="AF12" s="831">
        <f>AF11+1</f>
        <v>37037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2.75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2.75">
      <c r="A7" s="832">
        <f>Weather_Input!A5</f>
        <v>37032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1050</v>
      </c>
      <c r="I7" s="920">
        <v>7197</v>
      </c>
      <c r="J7" s="920">
        <v>3900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37032</v>
      </c>
      <c r="AG7" s="623"/>
      <c r="AH7" s="623"/>
      <c r="AI7" s="623"/>
      <c r="AJ7" s="623"/>
      <c r="AK7" s="623"/>
    </row>
    <row r="8" spans="1:128" s="1" customFormat="1" ht="12.75">
      <c r="A8" s="832">
        <f>Weather_Input!A6</f>
        <v>37033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1250</v>
      </c>
      <c r="I8" s="920">
        <v>7197</v>
      </c>
      <c r="J8" s="920">
        <v>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37033</v>
      </c>
      <c r="AG8" s="623"/>
      <c r="AH8" s="623"/>
      <c r="AI8" s="623"/>
      <c r="AJ8" s="623"/>
      <c r="AK8" s="623"/>
    </row>
    <row r="9" spans="1:128" s="1" customFormat="1" ht="12.75">
      <c r="A9" s="831">
        <f>A8+1</f>
        <v>37034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1250</v>
      </c>
      <c r="I9" s="920">
        <v>7197</v>
      </c>
      <c r="J9" s="920">
        <v>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37034</v>
      </c>
      <c r="AG9" s="623"/>
      <c r="AH9" s="623"/>
      <c r="AI9" s="623"/>
      <c r="AJ9" s="623"/>
      <c r="AK9" s="623"/>
    </row>
    <row r="10" spans="1:128" s="1" customFormat="1" ht="12.75">
      <c r="A10" s="831">
        <f>A9+1</f>
        <v>37035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1250</v>
      </c>
      <c r="I10" s="920">
        <v>7197</v>
      </c>
      <c r="J10" s="920">
        <v>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37035</v>
      </c>
      <c r="AG10" s="623"/>
      <c r="AH10" s="623"/>
      <c r="AI10" s="623"/>
      <c r="AJ10" s="623"/>
      <c r="AK10" s="623"/>
    </row>
    <row r="11" spans="1:128" s="1" customFormat="1" ht="12.75">
      <c r="A11" s="831">
        <f>A10+1</f>
        <v>37036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1250</v>
      </c>
      <c r="I11" s="920">
        <v>7197</v>
      </c>
      <c r="J11" s="920">
        <v>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37036</v>
      </c>
      <c r="AG11" s="623"/>
      <c r="AH11" s="623"/>
      <c r="AI11" s="623"/>
      <c r="AJ11" s="623"/>
      <c r="AK11" s="623"/>
    </row>
    <row r="12" spans="1:128" s="1" customFormat="1" ht="12.75">
      <c r="A12" s="831">
        <f>A11+1</f>
        <v>37037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1250</v>
      </c>
      <c r="I12" s="920">
        <v>7197</v>
      </c>
      <c r="J12" s="920">
        <v>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37037</v>
      </c>
      <c r="AG12" s="623"/>
      <c r="AH12" s="623"/>
      <c r="AI12" s="623"/>
      <c r="AJ12" s="623"/>
      <c r="AK12" s="623"/>
    </row>
    <row r="13" spans="1:128" s="1" customFormat="1" ht="12.75">
      <c r="A13" s="623"/>
      <c r="B13" s="623"/>
      <c r="C13" s="624"/>
      <c r="D13" s="623"/>
      <c r="E13" s="624"/>
      <c r="F13" s="624"/>
      <c r="G13" s="623"/>
      <c r="H13" s="624"/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2.75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37032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626">
        <f>(R7+S7+C7+PGL_Requirements!Y7+PGL_Requirements!Z7-NSG_Requirements!C7)*0.05</f>
        <v>2478.0500000000002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30253</v>
      </c>
      <c r="S7" s="626">
        <v>19308</v>
      </c>
      <c r="T7" s="626">
        <v>0</v>
      </c>
      <c r="U7" s="626">
        <v>0</v>
      </c>
      <c r="V7" s="831">
        <f>Weather_Input!A5</f>
        <v>37032</v>
      </c>
      <c r="W7" s="623"/>
      <c r="X7" s="623"/>
    </row>
    <row r="8" spans="1:24">
      <c r="A8" s="831">
        <f>A7+1</f>
        <v>37033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2485.5500000000002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30403</v>
      </c>
      <c r="S8" s="626">
        <v>19308</v>
      </c>
      <c r="T8" s="626">
        <v>0</v>
      </c>
      <c r="U8" s="626">
        <v>0</v>
      </c>
      <c r="V8" s="831">
        <f>V7+1</f>
        <v>37033</v>
      </c>
      <c r="W8" s="623"/>
      <c r="X8" s="623"/>
    </row>
    <row r="9" spans="1:24">
      <c r="A9" s="831">
        <f>A8+1</f>
        <v>37034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2485.5500000000002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30403</v>
      </c>
      <c r="S9" s="626">
        <v>19308</v>
      </c>
      <c r="T9" s="626">
        <v>0</v>
      </c>
      <c r="U9" s="626">
        <v>0</v>
      </c>
      <c r="V9" s="831">
        <f>V8+1</f>
        <v>37034</v>
      </c>
      <c r="W9" s="623"/>
      <c r="X9" s="623"/>
    </row>
    <row r="10" spans="1:24">
      <c r="A10" s="831">
        <f>A9+1</f>
        <v>37035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2485.5500000000002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30403</v>
      </c>
      <c r="S10" s="626">
        <v>19308</v>
      </c>
      <c r="T10" s="626">
        <v>0</v>
      </c>
      <c r="U10" s="626">
        <v>0</v>
      </c>
      <c r="V10" s="831">
        <f>V9+1</f>
        <v>37035</v>
      </c>
      <c r="W10" s="623"/>
      <c r="X10" s="623"/>
    </row>
    <row r="11" spans="1:24">
      <c r="A11" s="831">
        <f>A10+1</f>
        <v>37036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2485.5500000000002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30403</v>
      </c>
      <c r="S11" s="626">
        <v>19308</v>
      </c>
      <c r="T11" s="626">
        <v>0</v>
      </c>
      <c r="U11" s="626">
        <v>0</v>
      </c>
      <c r="V11" s="831">
        <f>V10+1</f>
        <v>37036</v>
      </c>
      <c r="W11" s="623"/>
      <c r="X11" s="623"/>
    </row>
    <row r="12" spans="1:24">
      <c r="A12" s="831">
        <f>A11+1</f>
        <v>37037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2485.5500000000002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30403</v>
      </c>
      <c r="S12" s="626">
        <v>19308</v>
      </c>
      <c r="T12" s="626">
        <v>0</v>
      </c>
      <c r="U12" s="626">
        <v>0</v>
      </c>
      <c r="V12" s="831">
        <f>V11+1</f>
        <v>37037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MON</v>
      </c>
      <c r="I1" s="836">
        <f>D4</f>
        <v>37032</v>
      </c>
    </row>
    <row r="2" spans="1:256" ht="15.75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5" thickBot="1">
      <c r="A3" s="840"/>
      <c r="B3" s="838"/>
      <c r="C3" s="838"/>
      <c r="D3" s="841" t="str">
        <f t="shared" ref="D3:I3" si="0">CHOOSE(WEEKDAY(D4),"SUN","MON","TUE","WED","THU","FRI","SAT")</f>
        <v>MON</v>
      </c>
      <c r="E3" s="841" t="str">
        <f t="shared" si="0"/>
        <v>TUE</v>
      </c>
      <c r="F3" s="841" t="str">
        <f t="shared" si="0"/>
        <v>WED</v>
      </c>
      <c r="G3" s="841" t="str">
        <f t="shared" si="0"/>
        <v>THU</v>
      </c>
      <c r="H3" s="841" t="str">
        <f t="shared" si="0"/>
        <v>FRI</v>
      </c>
      <c r="I3" s="842" t="str">
        <f t="shared" si="0"/>
        <v>SAT</v>
      </c>
    </row>
    <row r="4" spans="1:256" ht="15.75" thickBot="1">
      <c r="A4" s="843"/>
      <c r="B4" s="844"/>
      <c r="C4" s="844"/>
      <c r="D4" s="465">
        <f>Weather_Input!A5</f>
        <v>37032</v>
      </c>
      <c r="E4" s="465">
        <f>Weather_Input!A6</f>
        <v>37033</v>
      </c>
      <c r="F4" s="465">
        <f>Weather_Input!A7</f>
        <v>37034</v>
      </c>
      <c r="G4" s="465">
        <f>Weather_Input!A8</f>
        <v>37035</v>
      </c>
      <c r="H4" s="465">
        <f>Weather_Input!A9</f>
        <v>37036</v>
      </c>
      <c r="I4" s="466">
        <f>Weather_Input!A10</f>
        <v>37037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69/47/58</v>
      </c>
      <c r="E5" s="467" t="str">
        <f>TEXT(Weather_Input!B6,"0")&amp;"/"&amp;TEXT(Weather_Input!C6,"0") &amp; "/" &amp; TEXT((Weather_Input!B6+Weather_Input!C6)/2,"0")</f>
        <v>59/40/50</v>
      </c>
      <c r="F5" s="467" t="str">
        <f>TEXT(Weather_Input!B7,"0")&amp;"/"&amp;TEXT(Weather_Input!C7,"0") &amp; "/" &amp; TEXT((Weather_Input!B7+Weather_Input!C7)/2,"0")</f>
        <v>55/41/48</v>
      </c>
      <c r="G5" s="467" t="str">
        <f>TEXT(Weather_Input!B8,"0")&amp;"/"&amp;TEXT(Weather_Input!C8,"0") &amp; "/" &amp; TEXT((Weather_Input!B8+Weather_Input!C8)/2,"0")</f>
        <v>54/40/47</v>
      </c>
      <c r="H5" s="467" t="str">
        <f>TEXT(Weather_Input!B9,"0")&amp;"/"&amp;TEXT(Weather_Input!C9,"0") &amp; "/" &amp; TEXT((Weather_Input!B9+Weather_Input!C9)/2,"0")</f>
        <v>58/44/51</v>
      </c>
      <c r="I5" s="468" t="str">
        <f>TEXT(Weather_Input!B10,"0")&amp;"/"&amp;TEXT(Weather_Input!C10,"0") &amp; "/" &amp; TEXT((Weather_Input!B10+Weather_Input!C10)/2,"0")</f>
        <v>58/44/51</v>
      </c>
    </row>
    <row r="6" spans="1:256" ht="15.75">
      <c r="A6" s="850" t="s">
        <v>139</v>
      </c>
      <c r="B6" s="838"/>
      <c r="C6" s="838"/>
      <c r="D6" s="467">
        <f>PGL_Deliveries!C5/1000</f>
        <v>243</v>
      </c>
      <c r="E6" s="467">
        <f>PGL_Deliveries!C6/1000</f>
        <v>315</v>
      </c>
      <c r="F6" s="467">
        <f>PGL_Deliveries!C7/1000</f>
        <v>355</v>
      </c>
      <c r="G6" s="467">
        <f>PGL_Deliveries!C8/1000</f>
        <v>365</v>
      </c>
      <c r="H6" s="467">
        <f>PGL_Deliveries!C9/1000</f>
        <v>325</v>
      </c>
      <c r="I6" s="468">
        <f>PGL_Deliveries!C10/1000</f>
        <v>305</v>
      </c>
    </row>
    <row r="7" spans="1:256" ht="15.75">
      <c r="A7" s="850" t="s">
        <v>567</v>
      </c>
      <c r="B7" s="838" t="s">
        <v>416</v>
      </c>
      <c r="C7" s="838"/>
      <c r="D7" s="467">
        <f>PGL_Requirements!H7/1000</f>
        <v>11.388</v>
      </c>
      <c r="E7" s="467">
        <f>PGL_Requirements!H8/1000</f>
        <v>24.673999999999999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 ht="15.75">
      <c r="A8" s="850" t="s">
        <v>788</v>
      </c>
      <c r="B8" s="838"/>
      <c r="C8" s="838"/>
      <c r="D8" s="467">
        <f>PGL_Requirements!I7/1000+PGL_Requirements!K7/1000</f>
        <v>0</v>
      </c>
      <c r="E8" s="467">
        <f>PGL_Requirements!I8/1000+PGL_Requirements!K8/1000</f>
        <v>0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 ht="15.75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 ht="15.75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 ht="15.75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 ht="15.75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 ht="15.75">
      <c r="A13" s="847" t="s">
        <v>144</v>
      </c>
      <c r="B13" s="838" t="s">
        <v>145</v>
      </c>
      <c r="C13" s="838" t="s">
        <v>60</v>
      </c>
      <c r="D13" s="467">
        <f>PGL_Requirements!P7/1000</f>
        <v>125</v>
      </c>
      <c r="E13" s="467">
        <f>PGL_Requirements!P8/1000</f>
        <v>150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 ht="15.75">
      <c r="A14" s="847"/>
      <c r="B14" s="838"/>
      <c r="C14" s="838" t="s">
        <v>101</v>
      </c>
      <c r="D14" s="467">
        <f>PGL_Requirements!Q7/1000</f>
        <v>1.875</v>
      </c>
      <c r="E14" s="467">
        <f>PGL_Requirements!Q8/1000</f>
        <v>2.25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 ht="15.75">
      <c r="A15" s="847"/>
      <c r="C15" s="838" t="s">
        <v>736</v>
      </c>
      <c r="D15" s="467">
        <f>PGL_Requirements!R7/1000</f>
        <v>0.63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 ht="15.75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 ht="15.75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 ht="15.75">
      <c r="A18" s="847"/>
      <c r="B18" s="838" t="s">
        <v>143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 ht="15.75">
      <c r="A19" s="847"/>
      <c r="B19" s="838" t="s">
        <v>141</v>
      </c>
      <c r="C19" s="838" t="s">
        <v>90</v>
      </c>
      <c r="D19" s="467">
        <f>PGL_Requirements!O7/1000</f>
        <v>14.89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 ht="15.75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 ht="15.75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 ht="15.75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 ht="15.75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 ht="15.75">
      <c r="A24" s="850" t="s">
        <v>149</v>
      </c>
      <c r="B24" s="838"/>
      <c r="C24" s="838"/>
      <c r="D24" s="467">
        <f>PGL_Requirements!G7/1000</f>
        <v>5.6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 ht="15.75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 ht="15.75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 ht="15.75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 ht="15.75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 ht="15.75">
      <c r="A29" s="847"/>
      <c r="B29" s="838" t="s">
        <v>96</v>
      </c>
      <c r="C29" s="838"/>
      <c r="D29" s="469">
        <f>PGL_Requirements!F7/1000</f>
        <v>1.5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6.5" thickBot="1">
      <c r="A30" s="855" t="s">
        <v>151</v>
      </c>
      <c r="B30" s="856"/>
      <c r="C30" s="856"/>
      <c r="D30" s="471">
        <f t="shared" ref="D30:I30" si="1">SUM(D6:D29)</f>
        <v>444.08300000000003</v>
      </c>
      <c r="E30" s="471">
        <f t="shared" si="1"/>
        <v>532.75400000000002</v>
      </c>
      <c r="F30" s="471">
        <f t="shared" si="1"/>
        <v>548.08000000000004</v>
      </c>
      <c r="G30" s="471">
        <f t="shared" si="1"/>
        <v>558.08000000000004</v>
      </c>
      <c r="H30" s="471">
        <f t="shared" si="1"/>
        <v>518.08000000000004</v>
      </c>
      <c r="I30" s="1169">
        <f t="shared" si="1"/>
        <v>498.08</v>
      </c>
    </row>
    <row r="31" spans="1:10" ht="17.25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5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0"/>
    </row>
    <row r="33" spans="1:9" ht="16.5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 ht="15.75">
      <c r="A34" s="847"/>
      <c r="B34" s="838"/>
      <c r="C34" s="838" t="s">
        <v>94</v>
      </c>
      <c r="D34" s="467">
        <f>PGL_Supplies!H7/1000</f>
        <v>1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 ht="15.75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 ht="15.75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 ht="15.75">
      <c r="A37" s="847"/>
      <c r="B37" s="838" t="s">
        <v>141</v>
      </c>
      <c r="C37" s="838" t="s">
        <v>90</v>
      </c>
      <c r="D37" s="467">
        <f>PGL_Supplies!L7/1000</f>
        <v>0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 ht="15.75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 ht="15.75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 ht="15.75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 ht="15.75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 ht="15.75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 ht="15.75">
      <c r="A43" s="850" t="s">
        <v>621</v>
      </c>
      <c r="B43" s="838" t="s">
        <v>416</v>
      </c>
      <c r="C43" s="838"/>
      <c r="D43" s="467">
        <f>PGL_Supplies!T7/1000</f>
        <v>7.5</v>
      </c>
      <c r="E43" s="467">
        <f>PGL_Supplies!T8/1000</f>
        <v>7.5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 ht="15.75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 ht="15.75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 ht="15.75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 ht="15.75">
      <c r="A47" s="864" t="s">
        <v>763</v>
      </c>
      <c r="B47" s="838" t="s">
        <v>742</v>
      </c>
      <c r="C47" s="838"/>
      <c r="D47" s="467">
        <f>PGL_Supplies!Y7/1000</f>
        <v>152.40199999999999</v>
      </c>
      <c r="E47" s="467">
        <f>PGL_Supplies!Y8/1000</f>
        <v>162.40199999999999</v>
      </c>
      <c r="F47" s="467">
        <f>PGL_Supplies!Y9/1000</f>
        <v>162.40199999999999</v>
      </c>
      <c r="G47" s="467">
        <f>PGL_Supplies!Y10/1000</f>
        <v>162.40199999999999</v>
      </c>
      <c r="H47" s="467">
        <f>PGL_Supplies!Y11/1000</f>
        <v>162.40199999999999</v>
      </c>
      <c r="I47" s="468">
        <f>PGL_Supplies!Y12/1000</f>
        <v>162.40199999999999</v>
      </c>
    </row>
    <row r="48" spans="1:9" ht="15.75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 ht="15.75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 ht="15.75">
      <c r="A50" s="850"/>
      <c r="B50" s="838" t="s">
        <v>416</v>
      </c>
      <c r="C50" s="851"/>
      <c r="D50" s="467">
        <f>PGL_Supplies!AB7/1000</f>
        <v>172.15299999999999</v>
      </c>
      <c r="E50" s="467">
        <f>PGL_Supplies!AB8/1000</f>
        <v>152.17400000000001</v>
      </c>
      <c r="F50" s="467">
        <f>PGL_Supplies!AB9/1000</f>
        <v>152.17400000000001</v>
      </c>
      <c r="G50" s="467">
        <f>PGL_Supplies!AB10/1000</f>
        <v>152.17400000000001</v>
      </c>
      <c r="H50" s="467">
        <f>PGL_Supplies!AB11/1000</f>
        <v>152.17400000000001</v>
      </c>
      <c r="I50" s="468">
        <f>PGL_Supplies!AB12/1000</f>
        <v>152.17400000000001</v>
      </c>
    </row>
    <row r="51" spans="1:10" ht="15.75">
      <c r="A51" s="850"/>
      <c r="B51" s="838" t="s">
        <v>141</v>
      </c>
      <c r="C51" s="838"/>
      <c r="D51" s="467">
        <f>PGL_Supplies!AC7/1000</f>
        <v>49.127000000000002</v>
      </c>
      <c r="E51" s="467">
        <f>PGL_Supplies!AC8/1000</f>
        <v>48.332999999999998</v>
      </c>
      <c r="F51" s="467">
        <f>PGL_Supplies!AC9/1000</f>
        <v>48.332999999999998</v>
      </c>
      <c r="G51" s="467">
        <f>PGL_Supplies!AC10/1000</f>
        <v>48.332999999999998</v>
      </c>
      <c r="H51" s="467">
        <f>PGL_Supplies!AC11/1000</f>
        <v>48.332999999999998</v>
      </c>
      <c r="I51" s="468">
        <f>PGL_Supplies!AC12/1000</f>
        <v>48.332999999999998</v>
      </c>
    </row>
    <row r="52" spans="1:10" ht="15.75">
      <c r="A52" s="850"/>
      <c r="B52" s="838" t="s">
        <v>142</v>
      </c>
      <c r="C52" s="838"/>
      <c r="D52" s="467">
        <f>PGL_Supplies!AD7/1000</f>
        <v>1.5</v>
      </c>
      <c r="E52" s="467">
        <f>PGL_Supplies!AD8/1000</f>
        <v>1.5</v>
      </c>
      <c r="F52" s="467">
        <f>PGL_Supplies!AD9/1000</f>
        <v>1.5</v>
      </c>
      <c r="G52" s="467">
        <f>PGL_Supplies!AD10/1000</f>
        <v>1.5</v>
      </c>
      <c r="H52" s="467">
        <f>PGL_Supplies!AD11/1000</f>
        <v>1.5</v>
      </c>
      <c r="I52" s="468">
        <f>PGL_Supplies!AD12/1000</f>
        <v>1.5</v>
      </c>
    </row>
    <row r="53" spans="1:10" ht="15.75">
      <c r="A53" s="864"/>
      <c r="B53" s="838" t="s">
        <v>158</v>
      </c>
      <c r="C53" s="838"/>
      <c r="D53" s="467">
        <f>PGL_Supplies!I7/1000</f>
        <v>15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 ht="15.75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 ht="15.75">
      <c r="A55" s="850" t="s">
        <v>779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 ht="15.75">
      <c r="A56" s="847" t="s">
        <v>752</v>
      </c>
      <c r="B56" s="838" t="s">
        <v>742</v>
      </c>
      <c r="C56" s="838"/>
      <c r="D56" s="467">
        <f>PGL_Supplies!X7/1000</f>
        <v>0.6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 ht="15.75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 ht="15.75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 ht="15.75">
      <c r="A59" s="847"/>
      <c r="B59" s="838" t="s">
        <v>416</v>
      </c>
      <c r="C59" s="838"/>
      <c r="D59" s="467">
        <f>PGL_Supplies!E7/1000</f>
        <v>4.5999999999999996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 ht="15.75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15</v>
      </c>
      <c r="F60" s="469">
        <f>PGL_Supplies!G9/1000</f>
        <v>5</v>
      </c>
      <c r="G60" s="469">
        <f>PGL_Supplies!G10/1000</f>
        <v>5</v>
      </c>
      <c r="H60" s="469">
        <f>PGL_Supplies!G11/1000</f>
        <v>5</v>
      </c>
      <c r="I60" s="470">
        <f>PGL_Supplies!G12/1000</f>
        <v>5</v>
      </c>
    </row>
    <row r="61" spans="1:10" ht="16.5" thickBot="1">
      <c r="A61" s="868" t="s">
        <v>160</v>
      </c>
      <c r="B61" s="869"/>
      <c r="C61" s="869"/>
      <c r="D61" s="477">
        <f t="shared" ref="D61:I61" si="2">SUM(D33:D60)</f>
        <v>444.08200000000005</v>
      </c>
      <c r="E61" s="477">
        <f t="shared" si="2"/>
        <v>443.10899999999992</v>
      </c>
      <c r="F61" s="477">
        <f t="shared" si="2"/>
        <v>425.60899999999992</v>
      </c>
      <c r="G61" s="477">
        <f t="shared" si="2"/>
        <v>425.60899999999992</v>
      </c>
      <c r="H61" s="477">
        <f t="shared" si="2"/>
        <v>425.60899999999992</v>
      </c>
      <c r="I61" s="1171">
        <f t="shared" si="2"/>
        <v>425.60899999999992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0</v>
      </c>
      <c r="E62" s="478">
        <f t="shared" si="3"/>
        <v>0</v>
      </c>
      <c r="F62" s="478">
        <f t="shared" si="3"/>
        <v>0</v>
      </c>
      <c r="G62" s="478">
        <f t="shared" si="3"/>
        <v>0</v>
      </c>
      <c r="H62" s="478">
        <f t="shared" si="3"/>
        <v>0</v>
      </c>
      <c r="I62" s="1172">
        <f t="shared" si="3"/>
        <v>0</v>
      </c>
    </row>
    <row r="63" spans="1:10" ht="15.75" thickBot="1">
      <c r="A63" s="872" t="s">
        <v>162</v>
      </c>
      <c r="B63" s="856"/>
      <c r="C63" s="873"/>
      <c r="D63" s="479">
        <f t="shared" ref="D63:I63" si="4">IF(D30-D61&lt;0,0,D30-D61)</f>
        <v>9.9999999997635314E-4</v>
      </c>
      <c r="E63" s="479">
        <f t="shared" si="4"/>
        <v>89.645000000000095</v>
      </c>
      <c r="F63" s="479">
        <f t="shared" si="4"/>
        <v>122.47100000000012</v>
      </c>
      <c r="G63" s="479">
        <f t="shared" si="4"/>
        <v>132.47100000000012</v>
      </c>
      <c r="H63" s="479">
        <f t="shared" si="4"/>
        <v>92.471000000000117</v>
      </c>
      <c r="I63" s="1173">
        <f t="shared" si="4"/>
        <v>72.47100000000006</v>
      </c>
    </row>
    <row r="64" spans="1:10" ht="16.5" thickTop="1" thickBot="1">
      <c r="A64" s="1160" t="s">
        <v>767</v>
      </c>
      <c r="B64" s="1161"/>
      <c r="C64" s="1161"/>
      <c r="D64" s="1162">
        <f>PGL_Supplies!V7/1000</f>
        <v>168.36</v>
      </c>
      <c r="E64" s="1162">
        <f>PGL_Supplies!V8/1000</f>
        <v>168.36</v>
      </c>
      <c r="F64" s="1162">
        <f>PGL_Supplies!V9/1000</f>
        <v>168.36</v>
      </c>
      <c r="G64" s="1162">
        <f>PGL_Supplies!V10/1000</f>
        <v>168.36</v>
      </c>
      <c r="H64" s="1162">
        <f>PGL_Supplies!V11/1000</f>
        <v>168.36</v>
      </c>
      <c r="I64" s="1163">
        <f>PGL_Supplies!V12/1000</f>
        <v>168.36</v>
      </c>
    </row>
    <row r="65" spans="3:3" ht="15.75" thickTop="1"/>
    <row r="67" spans="3:3">
      <c r="C67" s="113" t="s">
        <v>797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2001-05-21T16:34:05Z</cp:lastPrinted>
  <dcterms:created xsi:type="dcterms:W3CDTF">1997-07-16T16:14:22Z</dcterms:created>
  <dcterms:modified xsi:type="dcterms:W3CDTF">2023-09-10T17:21:13Z</dcterms:modified>
</cp:coreProperties>
</file>