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690B7B-4638-45E8-8317-0CFF259BC374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<sst xmlns="http://schemas.openxmlformats.org/spreadsheetml/2006/main" count="2145" uniqueCount="801">
  <si>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</si>
  <si>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</si>
  <si>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</si>
  <si>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</si>
  <si>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</si>
  <si>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</si>
  <si>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</si>
  <si>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</si>
  <si>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</si>
  <si>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</si>
  <si>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</si>
  <si>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</si>
  <si>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</si>
  <si>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</si>
  <si>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</si>
  <si>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</si>
  <si>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</si>
  <si>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</si>
  <si>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</si>
  <si>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</si>
  <si>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</si>
  <si>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</si>
  <si>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</si>
  <si>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</si>
  <si>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</si>
  <si>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</si>
  <si>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</si>
  <si>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</si>
  <si>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</si>
  <si>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</si>
  <si>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</si>
  <si>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</si>
  <si>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</si>
  <si>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</si>
  <si>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</si>
  <si>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</si>
  <si>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</si>
  <si>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</si>
  <si>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</si>
  <si>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</si>
  <si>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</si>
  <si>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</si>
  <si>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</si>
  <si>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</si>
  <si>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</si>
  <si>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</si>
  <si>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</si>
  <si>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</si>
  <si>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</si>
  <si>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</si>
  <si>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</si>
  <si>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</si>
  <si>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</si>
  <si>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</si>
  <si>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</si>
  <si>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</si>
  <si>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</si>
  <si>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</si>
  <si>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</si>
  <si>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</si>
  <si>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</si>
  <si>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</si>
  <si>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</si>
  <si>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</si>
  <si>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</si>
  <si>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</si>
  <si>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</si>
  <si>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</si>
  <si>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</si>
  <si>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</si>
  <si>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</si>
  <si>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</si>
  <si>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</si>
  <si>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</si>
  <si>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</si>
  <si>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</si>
  <si>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</si>
  <si>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</si>
  <si>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</si>
  <si>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</si>
  <si>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</si>
  <si>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</si>
  <si>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</si>
  <si>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</si>
  <si>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</si>
  <si>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</si>
  <si>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</si>
  <si>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</si>
  <si>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</si>
  <si>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</si>
  <si>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</si>
  <si>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</si>
  <si>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</si>
  <si>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</si>
  <si>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</si>
  <si>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</si>
  <si>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</si>
  <si>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</si>
  <si>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</si>
  <si>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</si>
  <si>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</si>
  <si>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</si>
  <si>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</si>
  <si>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</si>
  <si>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</si>
  <si>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</si>
  <si>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</si>
  <si>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</si>
  <si>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</si>
  <si>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</si>
  <si>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</si>
  <si>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</si>
  <si>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</si>
  <si>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</si>
  <si>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</si>
  <si>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</si>
  <si>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</si>
  <si>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</si>
  <si>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</si>
  <si>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</si>
  <si>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</si>
  <si>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</si>
  <si>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</si>
  <si>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</si>
  <si>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</si>
  <si>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</si>
  <si>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</si>
  <si>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</si>
  <si>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</si>
  <si>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</si>
  <si>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</si>
  <si>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</si>
  <si>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</si>
  <si>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</si>
  <si>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</si>
  <si>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</si>
  <si>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</si>
  <si>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</si>
  <si>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</si>
  <si>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</si>
  <si>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</si>
  <si>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</si>
  <si>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</si>
  <si>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</si>
  <si>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</si>
  <si>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</si>
  <si>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</si>
  <si>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</si>
  <si>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</si>
  <si>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</si>
  <si>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</si>
  <si>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</si>
  <si>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</si>
  <si>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</si>
  <si>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</si>
  <si>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</si>
  <si>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</si>
  <si>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</si>
  <si>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</si>
  <si>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</si>
  <si>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</si>
  <si>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</si>
  <si>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</si>
  <si>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</si>
  <si>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</si>
  <si>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</si>
  <si>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</si>
  <si>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</si>
  <si>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</si>
  <si>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</si>
  <si>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</si>
  <si>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</si>
  <si>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</si>
  <si>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</si>
  <si>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</si>
  <si>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</si>
  <si>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</si>
  <si>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</si>
  <si>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</si>
  <si>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</si>
  <si>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</si>
  <si>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</si>
  <si>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</si>
  <si>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</si>
  <si>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</si>
  <si>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</si>
  <si>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</si>
  <si>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</si>
  <si>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</si>
  <si>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</si>
  <si>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</si>
  <si>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</si>
  <si>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</si>
  <si>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</si>
  <si>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</si>
  <si>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</si>
  <si>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</si>
  <si>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</si>
  <si>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</si>
  <si>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</si>
  <si>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</si>
  <si>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</si>
  <si>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</si>
  <si>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</si>
  <si>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</si>
  <si>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</si>
  <si>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</si>
  <si>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</si>
  <si>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</si>
  <si>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</si>
  <si>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</si>
  <si>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</si>
  <si>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</si>
  <si>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</si>
  <si>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</si>
  <si>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</si>
  <si>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</si>
  <si>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</si>
  <si>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</si>
  <si>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</si>
  <si>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</si>
  <si>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</si>
  <si>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</si>
  <si>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</si>
  <si>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</si>
  <si>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</si>
  <si>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</si>
  <si>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</si>
  <si>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</si>
  <si>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</si>
  <si>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</si>
  <si>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</si>
  <si>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</si>
  <si>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</si>
  <si>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</si>
  <si>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</si>
  <si>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</si>
  <si>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</si>
  <si>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</si>
  <si>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</si>
  <si>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</si>
  <si>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</si>
  <si>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</si>
  <si>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</si>
  <si>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</si>
  <si>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</si>
  <si>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</si>
  <si>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</si>
  <si>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</si>
  <si>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</si>
  <si>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</si>
  <si>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</si>
  <si>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</si>
  <si>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</si>
  <si>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</si>
  <si>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</si>
  <si>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</si>
  <si>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</si>
  <si>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</si>
  <si>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</si>
  <si>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</si>
  <si>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</si>
  <si>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</si>
  <si>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</si>
  <si>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</si>
  <si>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</si>
  <si>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</si>
  <si>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</si>
  <si>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</si>
  <si>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</si>
  <si>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</si>
  <si>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</si>
  <si>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</si>
  <si>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</si>
  <si>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</si>
  <si>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</si>
  <si>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</si>
  <si>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</si>
  <si>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</si>
  <si>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</si>
  <si>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</si>
  <si>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</si>
  <si>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</si>
  <si>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</si>
  <si>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</si>
  <si>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</si>
  <si>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</si>
  <si>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</si>
  <si>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</si>
  <si>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</si>
  <si>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</si>
  <si>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</si>
  <si>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</si>
  <si>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</si>
  <si>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</si>
  <si>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</si>
  <si>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</si>
  <si>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</si>
  <si>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</si>
  <si>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</si>
  <si>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</si>
  <si>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</si>
  <si>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</si>
  <si>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</si>
  <si>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</si>
  <si>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</si>
  <si>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</si>
  <si>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</si>
  <si>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</si>
  <si>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</si>
  <si>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</si>
  <si>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</si>
  <si>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</si>
  <si>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</si>
  <si>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</si>
  <si>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</si>
  <si>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</si>
  <si>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</si>
  <si>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</si>
  <si>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</si>
  <si>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</si>
  <si>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</si>
  <si>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</si>
  <si>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</si>
  <si>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</si>
  <si>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</si>
  <si>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</si>
  <si>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</si>
  <si>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</si>
  <si>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</si>
  <si>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</si>
  <si>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</si>
  <si>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</si>
  <si>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</si>
  <si>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</si>
  <si>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</si>
  <si>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</si>
  <si>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</si>
  <si>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</si>
  <si>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</si>
  <si>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</si>
  <si>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</si>
  <si>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</si>
  <si>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</si>
  <si>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</si>
  <si>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</si>
  <si>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</si>
  <si>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</si>
  <si>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</si>
  <si>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</si>
  <si>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</si>
  <si>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</si>
  <si>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</si>
  <si>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</si>
  <si>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</si>
  <si>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</si>
  <si>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</si>
  <si>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</si>
  <si>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</si>
  <si>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</si>
  <si>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</si>
  <si>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</si>
  <si>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</si>
  <si>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</si>
  <si>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</si>
  <si>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</si>
  <si>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</si>
  <si>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</si>
  <si>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</si>
  <si>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</si>
  <si>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</si>
  <si>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</si>
  <si>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</si>
  <si>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</si>
  <si>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</si>
  <si>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</si>
  <si>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</si>
  <si>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</si>
  <si>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</si>
  <si>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</si>
  <si>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</si>
  <si>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</si>
  <si>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</si>
  <si>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</si>
  <si>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</si>
  <si>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</si>
  <si>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</si>
  <si>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</si>
  <si>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</si>
  <si>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</si>
  <si>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</si>
  <si>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</si>
  <si>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</si>
  <si>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</si>
  <si>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</si>
  <si>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</si>
  <si>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</si>
  <si>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</si>
  <si>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</si>
  <si>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</si>
  <si>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</si>
  <si>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</si>
  <si>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</si>
  <si>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</si>
  <si>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</si>
  <si>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</si>
  <si>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</si>
  <si>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</si>
  <si>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</si>
  <si>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</si>
  <si>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</si>
  <si>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</si>
  <si>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</si>
  <si>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</si>
  <si>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</si>
  <si>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</si>
  <si>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</si>
  <si>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</si>
  <si>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</si>
  <si>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</si>
  <si>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</si>
  <si>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</si>
  <si>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</si>
  <si>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</si>
  <si>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</si>
  <si>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</si>
  <si>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</si>
  <si>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</si>
  <si>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</si>
  <si>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</si>
  <si>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</si>
  <si>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</si>
  <si>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</si>
  <si>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</si>
  <si>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</si>
  <si>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</si>
  <si>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</si>
  <si>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</si>
  <si>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</si>
  <si>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</si>
  <si>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</si>
  <si>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</si>
  <si>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</si>
  <si>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</si>
  <si>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</si>
  <si>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</si>
  <si>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</si>
  <si>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</si>
  <si>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</si>
  <si>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</si>
  <si>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</si>
  <si>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</si>
  <si>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</si>
  <si>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</si>
  <si>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</si>
  <si>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</si>
  <si>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</si>
  <si>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</si>
  <si>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</si>
  <si>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</si>
  <si>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</si>
  <si>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</si>
  <si>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</si>
  <si>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</si>
  <si>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</si>
  <si>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</si>
  <si>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</si>
  <si>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</si>
  <si>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</si>
  <si>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</si>
  <si>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</si>
  <si>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</si>
  <si>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</si>
  <si>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</si>
  <si>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</si>
  <si>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</si>
  <si>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</si>
  <si>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</si>
  <si>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</si>
  <si>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</si>
  <si>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</si>
  <si>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</si>
  <si>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</si>
  <si>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</si>
  <si>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</si>
  <si>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</si>
  <si>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</si>
  <si>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</si>
  <si>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</si>
  <si>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</si>
  <si>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</si>
  <si>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</si>
  <si>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</si>
  <si>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</si>
  <si>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</si>
  <si>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</si>
  <si>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</si>
  <si>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</si>
  <si>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</si>
  <si>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</si>
  <si>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</si>
  <si>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</si>
  <si>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</si>
  <si>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</si>
  <si>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</si>
  <si>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</si>
  <si>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</si>
  <si>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</si>
  <si>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</si>
  <si>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</si>
  <si>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</si>
  <si>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</si>
  <si>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</si>
  <si>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</si>
  <si>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</si>
  <si>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</si>
  <si>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</si>
  <si>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</si>
  <si>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</si>
  <si>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</si>
  <si>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</si>
  <si>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</si>
  <si>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</si>
  <si>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</si>
  <si>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</si>
  <si>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</si>
  <si>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</si>
  <si>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</si>
  <si>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</si>
  <si>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</si>
  <si>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</si>
  <si>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</si>
  <si>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</si>
  <si>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</si>
  <si>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</si>
  <si>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</si>
  <si>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</si>
  <si>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</si>
  <si>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</si>
  <si>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</si>
  <si>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</si>
  <si>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</si>
  <si>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</si>
  <si>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</si>
  <si>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</si>
  <si>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</si>
  <si>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</si>
  <si>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</si>
  <si>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</si>
  <si>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</si>
  <si>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</si>
  <si>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</si>
  <si>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</si>
  <si>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</si>
  <si>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</si>
  <si>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</si>
  <si>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</si>
  <si>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</si>
  <si>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</si>
  <si>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</si>
  <si>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</si>
  <si>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</si>
  <si>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</si>
  <si>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</si>
  <si>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</si>
  <si>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</si>
  <si>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</si>
  <si>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</si>
  <si>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</si>
  <si>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</si>
  <si>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</si>
  <si>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</si>
  <si>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</si>
  <si>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</si>
  <si>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</si>
  <si>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</si>
  <si>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</si>
  <si>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</si>
  <si>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</si>
  <si>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</si>
  <si>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</si>
  <si>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</si>
  <si>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</si>
  <si>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</si>
  <si>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</si>
  <si>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</si>
  <si>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</si>
  <si>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</si>
  <si>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</si>
  <si>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</si>
  <si>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</si>
  <si>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</si>
  <si>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</si>
  <si>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</si>
  <si>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</si>
  <si>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</si>
  <si>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</si>
  <si>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</si>
  <si>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</si>
  <si>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</si>
  <si>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</si>
  <si>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</si>
  <si>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</si>
  <si>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</si>
  <si>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</si>
  <si>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</si>
  <si>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</si>
  <si>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</si>
  <si>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</si>
  <si>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</si>
  <si>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</si>
  <si>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</si>
  <si>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</si>
  <si>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</si>
  <si>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</si>
  <si>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</si>
  <si>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</si>
  <si>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</si>
  <si>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</si>
  <si>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</si>
  <si>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</si>
  <si>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</si>
  <si>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</si>
  <si>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</si>
  <si>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</si>
  <si>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</si>
  <si>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</si>
  <si>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</si>
  <si>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</si>
  <si>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</si>
  <si>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</si>
  <si>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</si>
  <si>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</si>
  <si>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</si>
  <si>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</si>
  <si>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</si>
  <si>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</si>
  <si>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</si>
  <si>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</si>
  <si>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</si>
  <si>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</si>
  <si>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</si>
  <si>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</si>
  <si>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</si>
  <si>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</si>
  <si>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</si>
  <si>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</si>
  <si>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</si>
  <si>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</si>
  <si>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</si>
  <si>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</si>
  <si>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</si>
  <si>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</si>
  <si>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</si>
  <si>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</si>
  <si>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</si>
  <si>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</si>
  <si>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</si>
  <si>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</si>
  <si>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</si>
  <si>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</si>
  <si>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</si>
  <si>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</si>
  <si>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</si>
  <si>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</si>
  <si>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</si>
  <si>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</si>
  <si>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</si>
  <si>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</si>
  <si>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</si>
  <si>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</si>
  <si>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</si>
  <si>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</si>
  <si>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</si>
  <si>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</si>
  <si>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</si>
  <si>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</si>
  <si>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</si>
  <si>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</si>
  <si>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</si>
  <si>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</si>
  <si>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</si>
  <si>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</si>
  <si>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</si>
  <si>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</si>
  <si>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</si>
  <si>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</si>
  <si>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</si>
  <si>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</si>
  <si>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</si>
  <si>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</si>
  <si>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</si>
  <si>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</si>
  <si>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</si>
  <si>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</si>
  <si>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</si>
  <si>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</si>
  <si>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</si>
  <si>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</si>
  <si>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</si>
  <si>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</si>
  <si>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</si>
  <si>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</si>
  <si>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</si>
  <si>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</si>
  <si>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</si>
  <si>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</si>
  <si>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</si>
  <si>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</si>
  <si>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</si>
  <si>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</si>
  <si>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</si>
  <si>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</si>
  <si>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</si>
  <si>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No-notice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</si>
  <si>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</si>
  <si>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</si>
  <si>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</si>
  <si>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</si>
  <si>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</si>
  <si>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</si>
  <si>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</si>
  <si>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</si>
  <si>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</si>
  <si>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</si>
  <si>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</si>
  <si>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</si>
  <si>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</si>
  <si>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</si>
  <si>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</si>
  <si>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</si>
  <si>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</si>
  <si>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</si>
  <si>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</si>
  <si>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</si>
  <si>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</si>
  <si>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</si>
  <si>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</si>
  <si>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</si>
  <si>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</si>
  <si>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</si>
  <si>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</si>
  <si>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</si>
  <si>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</si>
  <si>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</si>
  <si>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</si>
  <si>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</si>
  <si>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</si>
  <si>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</si>
  <si>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</si>
  <si>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</si>
  <si>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</si>
  <si>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</si>
  <si>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</si>
  <si>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</si>
  <si>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</si>
  <si>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</si>
  <si>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</si>
  <si>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</si>
  <si>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</si>
  <si>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</si>
  <si>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</si>
  <si>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</si>
  <si>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</si>
  <si>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</si>
  <si>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</si>
  <si>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</si>
  <si>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</si>
  <si>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</si>
  <si>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</si>
  <si>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</si>
  <si>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</si>
  <si>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</si>
  <si>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</si>
  <si>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</si>
  <si>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</si>
  <si>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</si>
  <si>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</si>
  <si>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</si>
  <si>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</si>
  <si>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</si>
  <si>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</si>
  <si>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</si>
  <si>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</si>
  <si>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</si>
  <si>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</si>
  <si>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</si>
  <si>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</si>
  <si>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</si>
  <si>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</si>
  <si>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</si>
  <si>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</si>
  <si>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</si>
  <si>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</si>
  <si>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</si>
  <si>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 xml:space="preserve">MOSTLY CLOUDY AND WINDY. FLURRIES AT TIMES. HIGH IN THE 30S. WINDS 20 TO </t>
  </si>
  <si>
    <t>30 MPH. CLOUDY AND WINDY AT NIGHT. LOW NEAR 20. NW WINDS 15 TO 25 MPH.</t>
  </si>
  <si>
    <t>PARTLY CLOUDY. HIGH IN THE MIDDLE 30S. LOWS IN THE MIDDLE 20S AT NIGHT.</t>
  </si>
  <si>
    <t>CLOUDY WITH A CHANCE OF SNOW. HIGH IN THE MIDDLE 30S.</t>
  </si>
  <si>
    <t>MOSTLY CLOUDY. LOW IN THE 20S. HIGH IN THE 40S.</t>
  </si>
  <si>
    <t>CLOUDY,,, CHACE OF SNOW. LOW AROUND MIDDLE 20S. HIGH IN THE MIDDLE 40S.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</si>
</sst>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4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E5610B6-B201-8AF3-8B9E-525CA8D0B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55B6742-710C-BA42-E133-F6A28AA09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35F227C-FB58-E742-56B9-7F7F47F10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96DDFF8-4F7B-1748-A47B-13CAB9B81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A894CEE-4250-DC10-3E64-C5D09B216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A9000EF-374F-4953-F34E-E115B3ABC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4E8E356-46B3-E2AA-4EB2-9E2F6C5DA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ACEC468-60C6-9164-1438-A58C5130EC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28DE011-1252-35DE-A9D9-03CC409B0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3C8CA5B-E85A-72CA-1E35-523E37C54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F50FD39-67C2-6836-340E-367A33412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0CE40B3-8D46-ABA9-F0CD-054650562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1CFF659-0770-06B2-E5DC-A189F0D61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E48E31B-304C-AA16-4537-B9B97E01F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6FAE31A-E636-E969-3D90-14BEB33B2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766C8A8-463E-5879-43CA-E2CE64168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83BFB66-7A95-2B20-5F4B-0D5DF353B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8E9F965-FCE6-7C37-EA7D-2ABE4224A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BF95FDE-CF78-5C69-5F09-6C79B3095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D9DB7E1-F281-E8C2-A4AE-06608E151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3C09F46D-73DD-6DA0-4D0B-D9FFD315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E853827-93F5-7293-1BAD-C8A8429CC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692D639-629A-BD12-72B1-F02554266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6F999D0-8CB4-B1FD-4403-FD9A4108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1479503-E275-252D-9A8A-C8FC2560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EF8B6AE-71E4-DF02-90B2-ABA221AEC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1578D2F1-012E-253D-9E64-46A712D6F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0A0FFBC5-4A3B-C7D0-9786-FC501016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C5556DEA-9DF5-7F8B-A440-87CED76EF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DDCCD6FE-0021-1DC1-B4D0-C58571D7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49E97AF-C1CE-762F-84EB-72BDBA5D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5ECA1086-07D1-3AF5-A93E-542EC41B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17DA086C-8A60-9BAA-77D1-8749B421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72B631D-7C8E-0801-2414-2DEDBCDD7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DBCFD36-2DF0-56EF-1960-E23D91A4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BB46E52E-0D4B-F40F-DF7E-82A80745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1F9F09B-B376-CE47-5F2B-690CE340F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C39A52C-1773-9FD9-C322-10C930CE9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7F4043B-B5F8-944C-AEBE-A2B9AB893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01410212-210C-0FF0-07A6-C310F806E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93FBF16-CB83-3C7D-D579-A6A0AB70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BE9EBBD-F9DC-4DEA-4E5D-B5CE6589F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4D3FE30-660E-7905-1EDA-F6DFB4702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F94BD19-93AF-5004-655B-304C55D0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155" name="Day_1">
          <a:extLst>
            <a:ext uri="{FF2B5EF4-FFF2-40B4-BE49-F238E27FC236}">
              <a16:creationId xmlns:a16="http://schemas.microsoft.com/office/drawing/2014/main" id="{8B38101C-8B96-F997-C2AF-A1BA468A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156" name="Day_2">
          <a:extLst>
            <a:ext uri="{FF2B5EF4-FFF2-40B4-BE49-F238E27FC236}">
              <a16:creationId xmlns:a16="http://schemas.microsoft.com/office/drawing/2014/main" id="{766529AD-C6C2-B67A-EAB1-FDA30EA4C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157" name="Day_3">
          <a:extLst>
            <a:ext uri="{FF2B5EF4-FFF2-40B4-BE49-F238E27FC236}">
              <a16:creationId xmlns:a16="http://schemas.microsoft.com/office/drawing/2014/main" id="{C75337DA-FFD4-2F53-C15B-48F84ED33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158" name="Day_4">
          <a:extLst>
            <a:ext uri="{FF2B5EF4-FFF2-40B4-BE49-F238E27FC236}">
              <a16:creationId xmlns:a16="http://schemas.microsoft.com/office/drawing/2014/main" id="{8A8508DF-DD30-F2EF-CAF8-6BFDD3C4C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159" name="Day_5">
          <a:extLst>
            <a:ext uri="{FF2B5EF4-FFF2-40B4-BE49-F238E27FC236}">
              <a16:creationId xmlns:a16="http://schemas.microsoft.com/office/drawing/2014/main" id="{1E19E145-2D0E-F34A-357D-2579B2FE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160" name="Day_6">
          <a:extLst>
            <a:ext uri="{FF2B5EF4-FFF2-40B4-BE49-F238E27FC236}">
              <a16:creationId xmlns:a16="http://schemas.microsoft.com/office/drawing/2014/main" id="{BC1F073B-E7BF-9E1A-70F8-B4614BFDA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3DD66278-1484-DB87-B37D-DC0BB64576F9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FA49E57A-09D4-FFDC-0B36-18F01B284A3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DBB0D15-3B2C-4D9E-D44C-3952769D7C1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DA7EE29-C33D-EA2A-8A2E-CD024C9A014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30EB108B-461B-43AB-E52F-D1A41543F79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39B1295-185E-9809-DAEB-64893481C6D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8B6F207B-3061-BC37-83C4-CAD1DE07635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630C886E-4A3D-7A3A-51B1-42E3177E30F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D1E01809-F69F-89D0-A79C-4902A3218E6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3A1FBD2B-34B0-AF89-6F16-4FF05C13681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C876AE79-8344-3B8C-BC20-D818CADAE8E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C0167738-BD0B-D2D0-6B1A-46C2966306C2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06FA2E14-19B9-6DFE-5FF2-B493E07B8413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C0B4F49F-D53F-574B-239D-F66852435C4F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390A644-79F0-D761-9E00-DF1E3DC83C6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2DF47C6-B8B8-79CB-3903-4DDF10863B7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A085C8A-A59C-F798-826D-7276A92C5D19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424F2C46-C030-A8C3-74C9-636EBB224AF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F6C98F18-9DBA-E30B-E82A-967AFDCB7137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23462FDD-A7DB-4DC8-C21A-F372A5459D0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655E241-CB19-81CF-6ACB-9ACD166CC8A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A93152E-3B39-6D34-AF49-1719C0B3400F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E1F1A0D8-B90F-9A50-AB7F-97CDB82DA0A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E60EF2CC-3103-EDBE-3DE2-DEB988839F0C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A6EA5C4F-39BC-1DD9-95E1-68272EB578D3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9B93F36-B64F-4207-48BE-2B909327AAF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E494BF57-2A12-533B-7B9A-969036EB02CC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687B3748-6D63-CF15-927C-D4A440812549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5CADC79B-39D6-0B4D-0849-954442F50B2A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4056D6FB-154E-451A-2F4B-4883F98412D6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1F12654D-5179-83F1-1B81-D66189703227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F3951F9-EDF4-D979-BAFC-F4AE1025B79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CA2D77A6-A8A8-A2A0-89CB-C72EDEAD036B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640A540E-D2CB-12CC-663C-E0920BAB508B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BCE88345-842C-39BC-8719-9ABBCAB41014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86E6E2A-9D96-EC82-8F03-313A1BAEA518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F027742A-983E-0F7B-E4E1-40B0329950B9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BEFADDC-1B08-FA0A-E6E9-7AED6147EB9C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96C0350-D9B5-5291-5E82-4CAFD97333C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090DEAB-9176-299E-BB72-26998182DF7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BB0A0B4-FF9F-D236-CEF5-85EB95A47BC1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EF167CBE-4B4E-9A8E-9B3D-DEBC5D1B269A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77F400C6-F179-813A-C945-D16D9B29E81E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F907E8BA-550B-C7C4-9DBE-5C38087E827F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07411BF-BF53-0AF5-09DC-744CE753FAEE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4AFC0C3B-1B0E-96AF-58A5-DDC78C694D48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DCB7DB5E-C76A-7E86-B051-52150D41C2A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F25B7C5-914C-7B4C-09B1-90107840880A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05CD4F9A-CC91-042C-DE71-94CDEC96CFEC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7171811-79F6-39EC-32A9-212DD16CAF3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20629EF-C06D-78F5-5F1F-53714757F14D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669012D-F531-365D-9D67-7CBB36B773D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ECA5D430-DDEB-96E9-6EF1-EAB23CF5BDAE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52DE939-C978-6FAE-F263-869E669AD82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255D1F7-1134-09A9-9F67-AEF92DBEFCE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985AB17-3078-43B5-B801-F9FE6BBFBB4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9F736C37-1233-CB31-8D38-7D95CFDDAD2C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0F57322-23D0-4919-B518-3DD9A3FF7B2E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A23A535-FC19-FCA7-A3E2-CC11721B849D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A0CF3F66-40FC-F2A2-0B9E-DD2F211F7D8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7E1E568-D0DD-6D42-5EE9-F43F42E30CF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5AD8D21-43AA-3A84-3E62-64D86D8BBB8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8D84C4FF-ABE6-F0B3-B2E2-A12938E62FC4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FC92851-4091-95DF-ED38-043935242786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BDB967D8-3C1F-9514-92ED-B74933CB7832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FEA878D-3791-0DD6-4955-1765AEAF4FD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F1CB989-6CB0-2908-8A78-EF4390E7BC19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1F11693A-84A7-D13D-AEBF-B319DE9828D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FC774569-292D-9C14-3BF2-3B7D4E09234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AB46D26-895E-0AEF-5FE7-E481D6514DE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C6F7BFC-8455-9198-1450-6BFBD440E892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BED6A4F9-2470-0B4A-B4C9-4827699FFDD9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A26F2646-809E-AC89-0D0C-7B4A36881DB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43452D04-BE56-5E8C-35A6-C3660FA97738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137B912-3A12-B850-4DA8-3F3EC4A6376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C3A9C363-9354-805E-65F3-DC23E6168411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FE42A54-625F-6EC6-D58E-0DE5AD0877BF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4DF7C74F-2F0B-DAAD-FE96-97611A400158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9F2802D-BBA7-DBD5-E579-3688F1007B0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A86E3BD5-DAE4-5BDF-67F2-65C3AAC606C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C685A24-20B0-CE92-203E-B5B6ACE8239A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542DBE4-DFAA-9F66-D832-ADFEDC865E1D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146A8F11-E65B-E479-C1E9-44F3E0814FC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B70999D-48FA-18C1-1678-D191B98FCF2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803F64A7-1107-AE26-BDA8-1D3D5434BF4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26010768-DC91-7449-036F-1BDCB4F2717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6AEE341-346A-6EAA-5C98-7BB7F9EB571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FF6D9B9-640F-7767-A735-02A5A12A695A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FC3E85D-7AB7-38FE-DF84-D4523D48F82D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E91846A-113C-359F-0CB8-2919B2941ACD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C1B5136-E2A4-3E93-499A-CD72B4C7ED2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36E01324-0D0E-A678-E57C-700616CFABF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C60CF2F-EF20-51B5-A091-12281D222C77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CD3F4043-EEA7-7F9C-5B37-46DDEFC848AC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FF44866-5A43-05A4-B27E-6112CE4B4DBC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14D768A-4CCE-8CB0-3F76-282B7CA3E909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7F5D81AE-13C2-0C27-FE34-F1E1EFBF0BE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ACB2961-CD6F-9F16-AA1B-578AD76618E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8A977FEC-0932-BAD6-A67B-C933181CB262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B80A201-9859-0581-16EF-3066636D5B3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724C3B8A-C546-A3F6-5A21-B58F8FE0206A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E30FF7DE-5153-9FF9-B974-4CDBC4D732E2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F508FD6-27DA-102B-BEA8-04712665B739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D278E2A2-4728-BDE9-BE52-46E7576FCD72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59966837-4135-14E1-A09B-30CA83B4B47F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CC925605-6F83-7F0B-ED54-4F89AE6E8F95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7AC34A07-8A01-1A43-AD97-570DDBF71461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AAF62AB-AE4D-DFB4-3BFE-E45F5B0E6591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ECDB595-FA1B-AC4F-B2F3-9374BA208A40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76A30836-F897-DDD2-AB4B-AA01BDFAD852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A7B07347-20F0-0730-5793-1C6DE44F3C13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7DAE1A8E-8050-A82B-2EA4-57AB4A385381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A0861EC-AF97-DFCC-7186-4ABEC65A8F8C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1247C3A-63A3-E411-2955-487B4626E1CE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FFA3ADA-7A39-031D-6C56-DD74D7756381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CE134F7-0FE0-1553-EE5C-016902E35F6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B48AB695-1266-CC18-A48B-5E44E2815708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D5608AE-D74A-D691-7982-57EBD6E66A3E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9D1A72F1-70BA-2DE4-23C9-625613C233E5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897F681-4116-C1D6-A0E6-3CA7645F6E96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91F6145C-85C7-32BE-3DFA-D6124776A92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BD1B7DF-E8DF-34CD-B0E2-00750E8CDE38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DE1A8A3-196F-C7AD-0B98-57767EE65159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082074A-A123-2FA9-7275-C8FA2F8C040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D4A5E96-02E6-D6BC-49FF-523E26A5FB00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CCDF6D6-2CB9-BAD2-2F30-EF2CC19C0D2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942ED28-9FEA-F96B-A8FC-35530609D07E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9EC3359-C199-9C79-64A0-AE52319C4FAB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BDB70BF-06AF-F985-DF38-6C8C069CBF6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90D758F-68E1-9B85-C624-F49E19929FA0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726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SUN</v>
      </c>
      <c r="I1" s="881">
        <f>D4</f>
        <v>36954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SUN</v>
      </c>
      <c r="E3" s="844" t="str">
        <f t="shared" si="0"/>
        <v>MON</v>
      </c>
      <c r="F3" s="844" t="str">
        <f t="shared" si="0"/>
        <v>TUE</v>
      </c>
      <c r="G3" s="844" t="str">
        <f t="shared" si="0"/>
        <v>WED</v>
      </c>
      <c r="H3" s="844" t="str">
        <f t="shared" si="0"/>
        <v>THU</v>
      </c>
      <c r="I3" s="845" t="str">
        <f t="shared" si="0"/>
        <v>FRI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36954</v>
      </c>
      <c r="E4" s="848">
        <f>Weather_Input!A6</f>
        <v>36955</v>
      </c>
      <c r="F4" s="848">
        <f>Weather_Input!A7</f>
        <v>36956</v>
      </c>
      <c r="G4" s="848">
        <f>Weather_Input!A8</f>
        <v>36957</v>
      </c>
      <c r="H4" s="848">
        <f>Weather_Input!A9</f>
        <v>36958</v>
      </c>
      <c r="I4" s="849">
        <f>Weather_Input!A10</f>
        <v>36959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32/18/25</v>
      </c>
      <c r="E5" s="882" t="str">
        <f>TEXT(Weather_Input!B6,"0")&amp;"/"&amp;TEXT(Weather_Input!C6,"0") &amp; "/" &amp; TEXT((Weather_Input!B6+Weather_Input!C6)/2,"0")</f>
        <v>27/18/23</v>
      </c>
      <c r="F5" s="882" t="str">
        <f>TEXT(Weather_Input!B7,"0")&amp;"/"&amp;TEXT(Weather_Input!C7,"0") &amp; "/" &amp; TEXT((Weather_Input!B7+Weather_Input!C7)/2,"0")</f>
        <v>33/21/27</v>
      </c>
      <c r="G5" s="882" t="str">
        <f>TEXT(Weather_Input!B8,"0")&amp;"/"&amp;TEXT(Weather_Input!C8,"0") &amp; "/" &amp; TEXT((Weather_Input!B8+Weather_Input!C8)/2,"0")</f>
        <v>39/25/32</v>
      </c>
      <c r="H5" s="882" t="str">
        <f>TEXT(Weather_Input!B9,"0")&amp;"/"&amp;TEXT(Weather_Input!C9,"0") &amp; "/" &amp; TEXT((Weather_Input!B9+Weather_Input!C9)/2,"0")</f>
        <v>36/22/29</v>
      </c>
      <c r="I5" s="883" t="str">
        <f>TEXT(Weather_Input!B10,"0")&amp;"/"&amp;TEXT(Weather_Input!C10,"0") &amp; "/" &amp; TEXT((Weather_Input!B10+Weather_Input!C10)/2,"0")</f>
        <v>33/20/27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182</v>
      </c>
      <c r="E6" s="851">
        <f ca="1">VLOOKUP(E4,NSG_Sendouts,CELL("Col",NSG_Deliveries!C6),FALSE)/1000</f>
        <v>205</v>
      </c>
      <c r="F6" s="851">
        <f ca="1">VLOOKUP(F4,NSG_Sendouts,CELL("Col",NSG_Deliveries!C7),FALSE)/1000</f>
        <v>193</v>
      </c>
      <c r="G6" s="851">
        <f ca="1">VLOOKUP(G4,NSG_Sendouts,CELL("Col",NSG_Deliveries!C8),FALSE)/1000</f>
        <v>173</v>
      </c>
      <c r="H6" s="851">
        <f ca="1">VLOOKUP(H4,NSG_Sendouts,CELL("Col",NSG_Deliveries!C9),FALSE)/1000</f>
        <v>182</v>
      </c>
      <c r="I6" s="856">
        <f ca="1">VLOOKUP(I4,NSG_Sendouts,CELL("Col",NSG_Deliveries!C10),FALSE)/1000</f>
        <v>188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182</v>
      </c>
      <c r="E19" s="860">
        <f t="shared" ca="1" si="1"/>
        <v>205</v>
      </c>
      <c r="F19" s="860">
        <f t="shared" ca="1" si="1"/>
        <v>193</v>
      </c>
      <c r="G19" s="860">
        <f t="shared" ca="1" si="1"/>
        <v>173</v>
      </c>
      <c r="H19" s="860">
        <f t="shared" ca="1" si="1"/>
        <v>182</v>
      </c>
      <c r="I19" s="861">
        <f t="shared" ca="1" si="1"/>
        <v>188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782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60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3.3029999999999999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29.385000000000002</v>
      </c>
      <c r="E25" s="851">
        <f>NSG_Supplies!F8/1000</f>
        <v>1.57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783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784</v>
      </c>
      <c r="D32" s="851">
        <f>NSG_Supplies!R7/1000</f>
        <v>73.429000000000002</v>
      </c>
      <c r="E32" s="851">
        <f>NSG_Supplies!R8/1000</f>
        <v>123.429</v>
      </c>
      <c r="F32" s="851">
        <f>NSG_Supplies!R9/1000</f>
        <v>73.429000000000002</v>
      </c>
      <c r="G32" s="851">
        <f>NSG_Supplies!R10/1000</f>
        <v>73.429000000000002</v>
      </c>
      <c r="H32" s="851">
        <f>NSG_Supplies!R11/1000</f>
        <v>73.429000000000002</v>
      </c>
      <c r="I32" s="852">
        <f>NSG_Supplies!R12/1000</f>
        <v>73.429000000000002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186.11700000000002</v>
      </c>
      <c r="E37" s="891">
        <f t="shared" si="2"/>
        <v>204.999</v>
      </c>
      <c r="F37" s="891">
        <f t="shared" si="2"/>
        <v>143.429</v>
      </c>
      <c r="G37" s="891">
        <f t="shared" si="2"/>
        <v>113.429</v>
      </c>
      <c r="H37" s="891">
        <f t="shared" si="2"/>
        <v>113.429</v>
      </c>
      <c r="I37" s="892">
        <f t="shared" si="2"/>
        <v>113.429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4.1170000000000186</v>
      </c>
      <c r="E38" s="895">
        <f t="shared" ca="1" si="3"/>
        <v>0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1.0000000000047748E-3</v>
      </c>
      <c r="F39" s="877">
        <f t="shared" ca="1" si="4"/>
        <v>49.570999999999998</v>
      </c>
      <c r="G39" s="877">
        <f t="shared" ca="1" si="4"/>
        <v>59.570999999999998</v>
      </c>
      <c r="H39" s="877">
        <f t="shared" ca="1" si="4"/>
        <v>68.570999999999998</v>
      </c>
      <c r="I39" s="878">
        <f t="shared" ca="1" si="4"/>
        <v>74.570999999999998</v>
      </c>
      <c r="J39" s="112"/>
      <c r="K39" s="113"/>
      <c r="L39" s="113"/>
      <c r="M39" s="113"/>
    </row>
    <row r="40" spans="1:13" ht="20.100000000000001" customHeight="1" thickTop="1" thickBot="1">
      <c r="A40" s="1173" t="s">
        <v>785</v>
      </c>
      <c r="B40" s="1174"/>
      <c r="C40" s="1174"/>
      <c r="D40" s="1175">
        <f>NSG_Supplies!S7/1000</f>
        <v>33.42</v>
      </c>
      <c r="E40" s="1175">
        <f>NSG_Supplies!S8/1000</f>
        <v>33.42</v>
      </c>
      <c r="F40" s="1175">
        <f>NSG_Supplies!S9/1000</f>
        <v>33.42</v>
      </c>
      <c r="G40" s="1175">
        <f>NSG_Supplies!S10/1000</f>
        <v>33.42</v>
      </c>
      <c r="H40" s="1175">
        <f>NSG_Supplies!S11/1000</f>
        <v>33.42</v>
      </c>
      <c r="I40" s="1176">
        <f>NSG_Supplies!S12/1000</f>
        <v>33.42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12.9</v>
      </c>
      <c r="E42" s="902">
        <f>Weather_Input!D6</f>
        <v>14</v>
      </c>
      <c r="F42" s="902">
        <f>Weather_Input!D7</f>
        <v>15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36954</v>
      </c>
      <c r="G1" s="771" t="str">
        <f>CHOOSE(WEEKDAY(F1),"SUN","MON","TUE","WED","THU","FRI","SAT")</f>
        <v>SUN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32</v>
      </c>
      <c r="C4" s="965">
        <f>Weather_Input!C5</f>
        <v>18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1045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779</v>
      </c>
      <c r="B7" s="1166"/>
      <c r="C7" s="1138">
        <f>PGL_Requirements!I7/1000</f>
        <v>9.9359999999999999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753</v>
      </c>
      <c r="B10" s="1117"/>
      <c r="C10" s="1134">
        <f>+B34</f>
        <v>160.43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284.71500000000003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127.804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249.95099999999999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3.98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111.366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27.984000000000002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1036.23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18.705999999999904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106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124.7059999999999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744</v>
      </c>
      <c r="B26" s="983"/>
      <c r="C26" s="972">
        <f>SUM(-PGL_Supplies!M7/1000)</f>
        <v>-189.18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-83.628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-52.670999999999999</v>
      </c>
      <c r="D29" s="987" t="s">
        <v>11</v>
      </c>
      <c r="E29" s="986">
        <f>-PGL_Supplies!AC7/1000</f>
        <v>-52.670999999999999</v>
      </c>
      <c r="F29" s="307"/>
      <c r="G29" s="986">
        <f>-PGL_Supplies!AC7/1000</f>
        <v>-52.670999999999999</v>
      </c>
      <c r="H29" s="515"/>
      <c r="I29" s="988">
        <f>-PGL_Supplies!AC7/1000</f>
        <v>-52.670999999999999</v>
      </c>
      <c r="L29" s="1104"/>
    </row>
    <row r="30" spans="1:12" ht="16.5" thickBot="1">
      <c r="A30" s="326" t="s">
        <v>11</v>
      </c>
      <c r="B30" s="487" t="s">
        <v>11</v>
      </c>
      <c r="C30" s="1189" t="s">
        <v>753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757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758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160.43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160.43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723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127.804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127.804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189.18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9.8249999999999993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749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750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284.71500000000003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106</v>
      </c>
      <c r="C56" s="524"/>
      <c r="D56" s="524"/>
      <c r="E56" s="525"/>
      <c r="F56" s="370" t="s">
        <v>486</v>
      </c>
      <c r="G56" s="545"/>
      <c r="H56" s="1007">
        <f>PGL_Supplies!E7/1000</f>
        <v>4.5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245.45099999999999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249.95099999999999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111.366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245.45099999999999</v>
      </c>
    </row>
    <row r="63" spans="1:9" ht="16.5" thickBot="1">
      <c r="A63" s="800" t="s">
        <v>565</v>
      </c>
      <c r="B63" s="1020">
        <f>+B62+B61-B60+B59</f>
        <v>111.366</v>
      </c>
      <c r="C63" s="1001" t="s">
        <v>11</v>
      </c>
      <c r="D63" s="532"/>
      <c r="E63" s="522"/>
      <c r="F63" s="1019" t="s">
        <v>787</v>
      </c>
      <c r="G63" s="225"/>
      <c r="H63" s="1117"/>
      <c r="I63" s="1184">
        <f>PGL_Requirements!H7/1000</f>
        <v>0</v>
      </c>
    </row>
    <row r="64" spans="1:9" ht="15.75">
      <c r="A64" s="543" t="s">
        <v>740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741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756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759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742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SUN</v>
      </c>
      <c r="G1" s="1084">
        <f>Weather_Input!A5</f>
        <v>36954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32</v>
      </c>
      <c r="C4" s="759">
        <f>Weather_Input!C5</f>
        <v>18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182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98.697000000000003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23.303000000000001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98.697000000000003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-29.385000000000002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-73.429000000000002</v>
      </c>
      <c r="D26" s="719"/>
      <c r="E26" s="712">
        <f>-NSG_Supplies!R7/1000</f>
        <v>-73.429000000000002</v>
      </c>
      <c r="F26" s="719"/>
      <c r="G26" s="712">
        <f>-NSG_Supplies!R7/1000</f>
        <v>-73.429000000000002</v>
      </c>
      <c r="H26" s="718"/>
      <c r="I26" s="777">
        <f>-NSG_Supplies!R7/1000</f>
        <v>-73.429000000000002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3.3029999999999999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23.303000000000001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36954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32</v>
      </c>
      <c r="C5" s="266">
        <f>Weather_Input!C5</f>
        <v>18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1045</v>
      </c>
      <c r="C8" s="274">
        <f>NSG_Deliveries!C5/1000</f>
        <v>182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60.064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439.005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3.98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271.79599999999999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189.18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27.984000000000002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-992.00900000000013</v>
      </c>
      <c r="C18" s="289">
        <f>-I63</f>
        <v>-60</v>
      </c>
      <c r="D18" s="290" t="s">
        <v>11</v>
      </c>
      <c r="E18" s="289">
        <f>-I63</f>
        <v>-60</v>
      </c>
      <c r="F18" s="290" t="s">
        <v>11</v>
      </c>
      <c r="G18" s="289">
        <f>-I63</f>
        <v>-60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52.990999999999872</v>
      </c>
      <c r="C20" s="295">
        <f>C8+C18+C19</f>
        <v>122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52.990999999999872</v>
      </c>
      <c r="C23" s="301">
        <f>C20</f>
        <v>122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-52.670999999999999</v>
      </c>
      <c r="C32" s="315">
        <f>-NSG_Supplies!R7/1000</f>
        <v>-73.429000000000002</v>
      </c>
      <c r="D32" s="315">
        <f>B32</f>
        <v>-52.670999999999999</v>
      </c>
      <c r="E32" s="315">
        <f>C32</f>
        <v>-73.429000000000002</v>
      </c>
      <c r="F32" s="315">
        <f>B32</f>
        <v>-52.670999999999999</v>
      </c>
      <c r="G32" s="315">
        <f>C32</f>
        <v>-73.429000000000002</v>
      </c>
      <c r="H32" s="320">
        <f>B32</f>
        <v>-52.670999999999999</v>
      </c>
      <c r="I32" s="321">
        <f>C32</f>
        <v>-73.429000000000002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-33.42</v>
      </c>
      <c r="D33" s="315">
        <f>B33</f>
        <v>0</v>
      </c>
      <c r="E33" s="315">
        <f>C33</f>
        <v>-33.42</v>
      </c>
      <c r="F33" s="315">
        <f>B33</f>
        <v>0</v>
      </c>
      <c r="G33" s="315">
        <f>C33</f>
        <v>-33.42</v>
      </c>
      <c r="H33" s="320">
        <f>B33</f>
        <v>0</v>
      </c>
      <c r="I33" s="321">
        <f>C33</f>
        <v>-33.42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-83.628</v>
      </c>
      <c r="C36" s="315">
        <f>-NSG_Supplies!F7/1000</f>
        <v>-29.385000000000002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189.18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9.8249999999999993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189.18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311.20100000000002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127.804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439.005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9.9359999999999999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60.064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</v>
      </c>
    </row>
    <row r="64" spans="1:9" ht="17.100000000000001" customHeight="1" thickBot="1">
      <c r="A64" s="425" t="s">
        <v>394</v>
      </c>
      <c r="B64" s="324">
        <f>PGL_Supplies!Y7/1000</f>
        <v>160.43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111.366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271.79599999999999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SUN</v>
      </c>
      <c r="H73" s="406">
        <f>Weather_Input!A5</f>
        <v>36954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60.064</v>
      </c>
      <c r="D97" s="603"/>
      <c r="E97" s="615">
        <f>+C97</f>
        <v>60.064</v>
      </c>
      <c r="F97" s="603"/>
      <c r="G97" s="615">
        <f>+C97</f>
        <v>60.064</v>
      </c>
      <c r="H97" s="603"/>
      <c r="I97" s="285">
        <f>+C97</f>
        <v>60.064</v>
      </c>
    </row>
    <row r="98" spans="1:9" ht="15">
      <c r="A98" s="494" t="s">
        <v>60</v>
      </c>
      <c r="B98" s="282" t="s">
        <v>11</v>
      </c>
      <c r="C98" s="624">
        <f>B149</f>
        <v>189.18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439.005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271.79599999999999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27.984000000000002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-127.804</v>
      </c>
      <c r="C117" s="315">
        <f>-NSG_Supplies!X7/1000</f>
        <v>0</v>
      </c>
      <c r="D117" s="315">
        <f>-PGL_Supplies!AA7/1000</f>
        <v>-127.804</v>
      </c>
      <c r="E117" s="315">
        <f>-NSG_Supplies!X7/1000</f>
        <v>0</v>
      </c>
      <c r="F117" s="315">
        <f>-PGL_Supplies!AA7/1000</f>
        <v>-127.804</v>
      </c>
      <c r="G117" s="315">
        <f>-NSG_Supplies!X7/1000</f>
        <v>0</v>
      </c>
      <c r="H117" s="320">
        <f>-PGL_Supplies!AA7/1000</f>
        <v>-127.804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-33.42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9.9359999999999999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60.064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127.804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311.20100000000002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439.005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189.18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9.8249999999999993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189.18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111.366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160.43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271.79599999999999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36955.502203009259</v>
      </c>
      <c r="F22" s="164" t="s">
        <v>272</v>
      </c>
      <c r="G22" s="191">
        <f ca="1">NOW()</f>
        <v>36955.502203009259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36955.502203009259</v>
      </c>
      <c r="F22" s="164" t="s">
        <v>272</v>
      </c>
      <c r="G22" s="191">
        <f ca="1">NOW()</f>
        <v>36955.502203009259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36954</v>
      </c>
      <c r="C5" s="15"/>
      <c r="D5" s="22" t="s">
        <v>290</v>
      </c>
      <c r="E5" s="23">
        <f>Weather_Input!B5</f>
        <v>32</v>
      </c>
      <c r="F5" s="24" t="s">
        <v>291</v>
      </c>
      <c r="G5" s="25">
        <f>Weather_Input!H5</f>
        <v>35</v>
      </c>
      <c r="H5" s="26" t="s">
        <v>292</v>
      </c>
      <c r="I5" s="27">
        <f ca="1">G5-(VLOOKUP(B5,DD_Normal_Data,CELL("Col",B6),FALSE))</f>
        <v>3</v>
      </c>
    </row>
    <row r="6" spans="1:109" ht="15">
      <c r="A6" s="18"/>
      <c r="B6" s="21"/>
      <c r="C6" s="15"/>
      <c r="D6" s="22" t="s">
        <v>176</v>
      </c>
      <c r="E6" s="23">
        <f>Weather_Input!C5</f>
        <v>18</v>
      </c>
      <c r="F6" s="24" t="s">
        <v>293</v>
      </c>
      <c r="G6" s="25">
        <f>Weather_Input!F5</f>
        <v>128</v>
      </c>
      <c r="H6" s="26" t="s">
        <v>294</v>
      </c>
      <c r="I6" s="27">
        <f ca="1">G6-(VLOOKUP(B5,DD_Normal_Data,CELL("Col",C7),FALSE))</f>
        <v>-2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26.1</v>
      </c>
      <c r="F7" s="24" t="s">
        <v>296</v>
      </c>
      <c r="G7" s="25">
        <f>Weather_Input!G5</f>
        <v>5213</v>
      </c>
      <c r="H7" s="26" t="s">
        <v>296</v>
      </c>
      <c r="I7" s="123">
        <f ca="1">G7-(VLOOKUP(B5,DD_Normal_Data,CELL("Col",D4),FALSE))</f>
        <v>288</v>
      </c>
      <c r="J7" s="123"/>
    </row>
    <row r="8" spans="1:109" ht="15">
      <c r="A8" s="18"/>
      <c r="B8" s="20"/>
      <c r="C8" s="15"/>
      <c r="D8" s="32" t="str">
        <f>IF(Weather_Input!I5=""," ",Weather_Input!I5)</f>
        <v>MOSTLY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36955</v>
      </c>
      <c r="C10" s="15"/>
      <c r="D10" s="153" t="s">
        <v>290</v>
      </c>
      <c r="E10" s="23">
        <f>Weather_Input!B6</f>
        <v>27</v>
      </c>
      <c r="F10" s="24" t="s">
        <v>291</v>
      </c>
      <c r="G10" s="25">
        <f>IF(E12&lt;65,65-(Weather_Input!B6+Weather_Input!C6)/2,0)</f>
        <v>42.5</v>
      </c>
      <c r="H10" s="26" t="s">
        <v>292</v>
      </c>
      <c r="I10" s="27">
        <f ca="1">G10-(VLOOKUP(B10,DD_Normal_Data,CELL("Col",B11),FALSE))</f>
        <v>11.5</v>
      </c>
    </row>
    <row r="11" spans="1:109" ht="15">
      <c r="A11" s="18"/>
      <c r="B11" s="21"/>
      <c r="C11" s="15"/>
      <c r="D11" s="22" t="s">
        <v>176</v>
      </c>
      <c r="E11" s="23">
        <f>Weather_Input!C6</f>
        <v>18</v>
      </c>
      <c r="F11" s="24" t="s">
        <v>293</v>
      </c>
      <c r="G11" s="25">
        <f>IF(DAY(B10)=1,G10,G6+G10)</f>
        <v>170.5</v>
      </c>
      <c r="H11" s="30" t="s">
        <v>294</v>
      </c>
      <c r="I11" s="27">
        <f ca="1">G11-(VLOOKUP(B10,DD_Normal_Data,CELL("Col",C12),FALSE))</f>
        <v>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22.5</v>
      </c>
      <c r="F12" s="24" t="s">
        <v>296</v>
      </c>
      <c r="G12" s="25">
        <f>IF(AND(DAY(B10)=1,MONTH(B10)=8),G10,G7+G10)</f>
        <v>5255.5</v>
      </c>
      <c r="H12" s="26" t="s">
        <v>296</v>
      </c>
      <c r="I12" s="27">
        <f ca="1">G12-(VLOOKUP(B10,DD_Normal_Data,CELL("Col",D9),FALSE))</f>
        <v>299.5</v>
      </c>
    </row>
    <row r="13" spans="1:109" ht="15">
      <c r="A13" s="18"/>
      <c r="B13" s="21"/>
      <c r="C13" s="15"/>
      <c r="D13" s="32" t="str">
        <f>IF(Weather_Input!I6=""," ",Weather_Input!I6)</f>
        <v xml:space="preserve">MOSTLY CLOUDY AND WINDY. FLURRIES AT TIMES. HIGH IN THE 30S. WINDS 20 TO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30 MPH. CLOUDY AND WINDY AT NIGHT. LOW NEAR 20. NW WINDS 15 TO 25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36956</v>
      </c>
      <c r="C15" s="15"/>
      <c r="D15" s="22" t="s">
        <v>290</v>
      </c>
      <c r="E15" s="23">
        <f>Weather_Input!B7</f>
        <v>33</v>
      </c>
      <c r="F15" s="24" t="s">
        <v>291</v>
      </c>
      <c r="G15" s="25">
        <f>IF(E17&lt;65,65-(Weather_Input!B7+Weather_Input!C7)/2,0)</f>
        <v>38</v>
      </c>
      <c r="H15" s="26" t="s">
        <v>292</v>
      </c>
      <c r="I15" s="27">
        <f ca="1">G15-(VLOOKUP(B15,DD_Normal_Data,CELL("Col",B16),FALSE))</f>
        <v>7</v>
      </c>
    </row>
    <row r="16" spans="1:109" ht="15">
      <c r="A16" s="18"/>
      <c r="B16" s="20"/>
      <c r="C16" s="15"/>
      <c r="D16" s="22" t="s">
        <v>176</v>
      </c>
      <c r="E16" s="23">
        <f>Weather_Input!C7</f>
        <v>21</v>
      </c>
      <c r="F16" s="24" t="s">
        <v>293</v>
      </c>
      <c r="G16" s="25">
        <f>IF(DAY(B15)=1,G15,G11+G15)</f>
        <v>208.5</v>
      </c>
      <c r="H16" s="30" t="s">
        <v>294</v>
      </c>
      <c r="I16" s="27">
        <f ca="1">G16-(VLOOKUP(B15,DD_Normal_Data,CELL("Col",C17),FALSE))</f>
        <v>16.5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27</v>
      </c>
      <c r="F17" s="24" t="s">
        <v>296</v>
      </c>
      <c r="G17" s="25">
        <f>IF(AND(DAY(B15)=1,MONTH(B15)=8),G15,G12+G15)</f>
        <v>5293.5</v>
      </c>
      <c r="H17" s="26" t="s">
        <v>296</v>
      </c>
      <c r="I17" s="27">
        <f ca="1">G17-(VLOOKUP(B15,DD_Normal_Data,CELL("Col",D14),FALSE))</f>
        <v>306.5</v>
      </c>
    </row>
    <row r="18" spans="1:109" ht="15">
      <c r="A18" s="18"/>
      <c r="B18" s="20"/>
      <c r="C18" s="15"/>
      <c r="D18" s="32" t="str">
        <f>IF(Weather_Input!I7=""," ",Weather_Input!I7)</f>
        <v>PARTLY CLOUDY. HIGH IN THE MIDDLE 30S. LOWS IN THE MIDDLE 20S AT NIGHT.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36957</v>
      </c>
      <c r="C20" s="15"/>
      <c r="D20" s="22" t="s">
        <v>290</v>
      </c>
      <c r="E20" s="23">
        <f>Weather_Input!B8</f>
        <v>39</v>
      </c>
      <c r="F20" s="24" t="s">
        <v>291</v>
      </c>
      <c r="G20" s="25">
        <f>IF(E22&lt;65,65-(Weather_Input!B8+Weather_Input!C8)/2,0)</f>
        <v>33</v>
      </c>
      <c r="H20" s="26" t="s">
        <v>292</v>
      </c>
      <c r="I20" s="27">
        <f ca="1">G20-(VLOOKUP(B20,DD_Normal_Data,CELL("Col",B21),FALSE))</f>
        <v>2</v>
      </c>
    </row>
    <row r="21" spans="1:109" ht="15">
      <c r="A21" s="18"/>
      <c r="B21" s="21"/>
      <c r="C21" s="15"/>
      <c r="D21" s="22" t="s">
        <v>176</v>
      </c>
      <c r="E21" s="23">
        <f>Weather_Input!C8</f>
        <v>25</v>
      </c>
      <c r="F21" s="24" t="s">
        <v>293</v>
      </c>
      <c r="G21" s="25">
        <f>IF(DAY(B20)=1,G20,G16+G20)</f>
        <v>241.5</v>
      </c>
      <c r="H21" s="30" t="s">
        <v>294</v>
      </c>
      <c r="I21" s="27">
        <f ca="1">G21-(VLOOKUP(B20,DD_Normal_Data,CELL("Col",C22),FALSE))</f>
        <v>18.5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32</v>
      </c>
      <c r="F22" s="24" t="s">
        <v>296</v>
      </c>
      <c r="G22" s="25">
        <f>IF(AND(DAY(B20)=1,MONTH(B20)=8),G20,G17+G20)</f>
        <v>5326.5</v>
      </c>
      <c r="H22" s="26" t="s">
        <v>296</v>
      </c>
      <c r="I22" s="27">
        <f ca="1">G22-(VLOOKUP(B20,DD_Normal_Data,CELL("Col",D19),FALSE))</f>
        <v>308.5</v>
      </c>
    </row>
    <row r="23" spans="1:109" ht="15">
      <c r="A23" s="18"/>
      <c r="B23" s="21"/>
      <c r="C23" s="15"/>
      <c r="D23" s="32" t="str">
        <f>IF(Weather_Input!I8=""," ",Weather_Input!I8)</f>
        <v>CLOUDY WITH A CHANCE OF SNOW. HIGH IN THE MIDDLE 30S.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36958</v>
      </c>
      <c r="C25" s="15"/>
      <c r="D25" s="22" t="s">
        <v>290</v>
      </c>
      <c r="E25" s="23">
        <f>Weather_Input!B9</f>
        <v>36</v>
      </c>
      <c r="F25" s="24" t="s">
        <v>291</v>
      </c>
      <c r="G25" s="25">
        <f>IF(E27&lt;65,65-(Weather_Input!B9+Weather_Input!C9)/2,0)</f>
        <v>36</v>
      </c>
      <c r="H25" s="26" t="s">
        <v>292</v>
      </c>
      <c r="I25" s="27">
        <f ca="1">G25-(VLOOKUP(B25,DD_Normal_Data,CELL("Col",B26),FALSE))</f>
        <v>6</v>
      </c>
    </row>
    <row r="26" spans="1:109" ht="15">
      <c r="A26" s="18"/>
      <c r="B26" s="21"/>
      <c r="C26" s="15"/>
      <c r="D26" s="22" t="s">
        <v>176</v>
      </c>
      <c r="E26" s="23">
        <f>Weather_Input!C9</f>
        <v>22</v>
      </c>
      <c r="F26" s="24" t="s">
        <v>293</v>
      </c>
      <c r="G26" s="25">
        <f>IF(DAY(B25)=1,G25,G21+G25)</f>
        <v>277.5</v>
      </c>
      <c r="H26" s="30" t="s">
        <v>294</v>
      </c>
      <c r="I26" s="27">
        <f ca="1">G26-(VLOOKUP(B25,DD_Normal_Data,CELL("Col",C27),FALSE))</f>
        <v>24.5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29</v>
      </c>
      <c r="F27" s="24" t="s">
        <v>296</v>
      </c>
      <c r="G27" s="25">
        <f>IF(AND(DAY(B25)=1,MONTH(B25)=8),G25,G22+G25)</f>
        <v>5362.5</v>
      </c>
      <c r="H27" s="26" t="s">
        <v>296</v>
      </c>
      <c r="I27" s="27">
        <f ca="1">G27-(VLOOKUP(B25,DD_Normal_Data,CELL("Col",D24),FALSE))</f>
        <v>314.5</v>
      </c>
    </row>
    <row r="28" spans="1:109" ht="15">
      <c r="A28" s="18"/>
      <c r="B28" s="20"/>
      <c r="C28" s="15"/>
      <c r="D28" s="32" t="str">
        <f>IF(Weather_Input!I9=""," ",Weather_Input!I9)</f>
        <v>MOSTLY CLOUDY. LOW IN THE 20S. HIGH IN THE 40S.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36959</v>
      </c>
      <c r="C30" s="15"/>
      <c r="D30" s="22" t="s">
        <v>290</v>
      </c>
      <c r="E30" s="23">
        <f>Weather_Input!B10</f>
        <v>33</v>
      </c>
      <c r="F30" s="24" t="s">
        <v>291</v>
      </c>
      <c r="G30" s="25">
        <f>IF(E32&lt;65,65-(Weather_Input!B10+Weather_Input!C10)/2,0)</f>
        <v>38.5</v>
      </c>
      <c r="H30" s="26" t="s">
        <v>292</v>
      </c>
      <c r="I30" s="27">
        <f ca="1">G30-(VLOOKUP(B30,DD_Normal_Data,CELL("Col",B31),FALSE))</f>
        <v>8.5</v>
      </c>
    </row>
    <row r="31" spans="1:109" ht="15">
      <c r="A31" s="15"/>
      <c r="B31" s="15"/>
      <c r="C31" s="15"/>
      <c r="D31" s="22" t="s">
        <v>176</v>
      </c>
      <c r="E31" s="23">
        <f>Weather_Input!C10</f>
        <v>20</v>
      </c>
      <c r="F31" s="24" t="s">
        <v>293</v>
      </c>
      <c r="G31" s="25">
        <f>IF(DAY(B30)=1,G30,G26+G30)</f>
        <v>316</v>
      </c>
      <c r="H31" s="30" t="s">
        <v>294</v>
      </c>
      <c r="I31" s="27">
        <f ca="1">G31-(VLOOKUP(B30,DD_Normal_Data,CELL("Col",C32),FALSE))</f>
        <v>33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26.5</v>
      </c>
      <c r="F32" s="24" t="s">
        <v>296</v>
      </c>
      <c r="G32" s="25">
        <f>IF(AND(DAY(B30)=1,MONTH(B30)=8),G30,G27+G30)</f>
        <v>5401</v>
      </c>
      <c r="H32" s="26" t="s">
        <v>296</v>
      </c>
      <c r="I32" s="27">
        <f ca="1">G32-(VLOOKUP(B30,DD_Normal_Data,CELL("Col",D29),FALSE))</f>
        <v>323</v>
      </c>
    </row>
    <row r="33" spans="1:9" ht="15">
      <c r="A33" s="15"/>
      <c r="B33" s="34"/>
      <c r="C33" s="15"/>
      <c r="D33" s="32" t="str">
        <f>IF(Weather_Input!I10=""," ",Weather_Input!I10)</f>
        <v>CLOUDY,,, CHACE OF SNOW. LOW AROUND MIDDLE 20S. HIGH IN THE MIDDLE 40S.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36954</v>
      </c>
      <c r="C36" s="91">
        <f>B10</f>
        <v>36955</v>
      </c>
      <c r="D36" s="91">
        <f>B15</f>
        <v>36956</v>
      </c>
      <c r="E36" s="91">
        <f xml:space="preserve">       B20</f>
        <v>36957</v>
      </c>
      <c r="F36" s="91">
        <f>B25</f>
        <v>36958</v>
      </c>
      <c r="G36" s="91">
        <f>B30</f>
        <v>36959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1045</v>
      </c>
      <c r="C37" s="41">
        <f ca="1">(VLOOKUP(C36,PGL_Sendouts,(CELL("COL",PGL_Deliveries!C7))))/1000</f>
        <v>1155</v>
      </c>
      <c r="D37" s="41">
        <f ca="1">(VLOOKUP(D36,PGL_Sendouts,(CELL("COL",PGL_Deliveries!C8))))/1000</f>
        <v>1075</v>
      </c>
      <c r="E37" s="41">
        <f ca="1">(VLOOKUP(E36,PGL_Sendouts,(CELL("COL",PGL_Deliveries!C9))))/1000</f>
        <v>990</v>
      </c>
      <c r="F37" s="41">
        <f ca="1">(VLOOKUP(F36,PGL_Sendouts,(CELL("COL",PGL_Deliveries!C10))))/1000</f>
        <v>1035</v>
      </c>
      <c r="G37" s="41">
        <f ca="1">(VLOOKUP(G36,PGL_Sendouts,(CELL("COL",PGL_Deliveries!C10))))/1000</f>
        <v>1075</v>
      </c>
      <c r="H37" s="14"/>
      <c r="I37" s="15"/>
    </row>
    <row r="38" spans="1:9" ht="15">
      <c r="A38" s="15" t="s">
        <v>301</v>
      </c>
      <c r="B38" s="41">
        <f>PGL_6_Day_Report!D30</f>
        <v>1065.4010000000001</v>
      </c>
      <c r="C38" s="41">
        <f>PGL_6_Day_Report!E30</f>
        <v>1175.6600000000001</v>
      </c>
      <c r="D38" s="41">
        <f>PGL_6_Day_Report!F30</f>
        <v>1085.6600000000001</v>
      </c>
      <c r="E38" s="41">
        <f>PGL_6_Day_Report!G30</f>
        <v>1040.6599999999999</v>
      </c>
      <c r="F38" s="41">
        <f>PGL_6_Day_Report!H30</f>
        <v>1085.6600000000001</v>
      </c>
      <c r="G38" s="41">
        <f>PGL_6_Day_Report!I30</f>
        <v>1329.41</v>
      </c>
      <c r="H38" s="14"/>
      <c r="I38" s="15"/>
    </row>
    <row r="39" spans="1:9" ht="15">
      <c r="A39" s="42" t="s">
        <v>109</v>
      </c>
      <c r="B39" s="41">
        <f>SUM(PGL_Supplies!Z7:AE7)/1000</f>
        <v>607.29200000000003</v>
      </c>
      <c r="C39" s="41">
        <f>SUM(PGL_Supplies!Z8:AE8)/1000</f>
        <v>692.29200000000003</v>
      </c>
      <c r="D39" s="41">
        <f>SUM(PGL_Supplies!Z9:AE9)/1000</f>
        <v>607.29200000000003</v>
      </c>
      <c r="E39" s="41">
        <f>SUM(PGL_Supplies!Z10:AE10)/1000</f>
        <v>607.29200000000003</v>
      </c>
      <c r="F39" s="41">
        <f>SUM(PGL_Supplies!Z11:AE11)/1000</f>
        <v>607.29200000000003</v>
      </c>
      <c r="G39" s="41">
        <f>SUM(PGL_Supplies!Z12:AE12)/1000</f>
        <v>607.29200000000003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311.20100000000002</v>
      </c>
      <c r="C42" s="41">
        <f>PGL_Supplies!V8/1000</f>
        <v>311.20100000000002</v>
      </c>
      <c r="D42" s="41">
        <f>PGL_Supplies!V9/1000</f>
        <v>311.20100000000002</v>
      </c>
      <c r="E42" s="41">
        <f>PGL_Supplies!V10/1000</f>
        <v>311.20100000000002</v>
      </c>
      <c r="F42" s="41">
        <f>PGL_Supplies!V11/1000</f>
        <v>311.20100000000002</v>
      </c>
      <c r="G42" s="41">
        <f>PGL_Supplies!V12/1000</f>
        <v>311.20100000000002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36954</v>
      </c>
      <c r="C44" s="91">
        <f t="shared" si="0"/>
        <v>36955</v>
      </c>
      <c r="D44" s="91">
        <f t="shared" si="0"/>
        <v>36956</v>
      </c>
      <c r="E44" s="91">
        <f t="shared" si="0"/>
        <v>36957</v>
      </c>
      <c r="F44" s="91">
        <f t="shared" si="0"/>
        <v>36958</v>
      </c>
      <c r="G44" s="91">
        <f t="shared" si="0"/>
        <v>36959</v>
      </c>
      <c r="H44" s="14"/>
      <c r="I44" s="15"/>
    </row>
    <row r="45" spans="1:9" ht="15">
      <c r="A45" s="15" t="s">
        <v>56</v>
      </c>
      <c r="B45" s="41">
        <f ca="1">NSG_6_Day_Report!D6</f>
        <v>182</v>
      </c>
      <c r="C45" s="41">
        <f ca="1">NSG_6_Day_Report!E6</f>
        <v>205</v>
      </c>
      <c r="D45" s="41">
        <f ca="1">NSG_6_Day_Report!F6</f>
        <v>193</v>
      </c>
      <c r="E45" s="41">
        <f ca="1">NSG_6_Day_Report!G6</f>
        <v>173</v>
      </c>
      <c r="F45" s="41">
        <f ca="1">NSG_6_Day_Report!H6</f>
        <v>182</v>
      </c>
      <c r="G45" s="41">
        <f ca="1">NSG_6_Day_Report!I6</f>
        <v>188</v>
      </c>
      <c r="H45" s="14"/>
      <c r="I45" s="15"/>
    </row>
    <row r="46" spans="1:9" ht="15">
      <c r="A46" s="42" t="s">
        <v>301</v>
      </c>
      <c r="B46" s="41">
        <f ca="1">NSG_6_Day_Report!D19</f>
        <v>182</v>
      </c>
      <c r="C46" s="41">
        <f ca="1">NSG_6_Day_Report!E19</f>
        <v>205</v>
      </c>
      <c r="D46" s="41">
        <f ca="1">NSG_6_Day_Report!F19</f>
        <v>193</v>
      </c>
      <c r="E46" s="41">
        <f ca="1">NSG_6_Day_Report!G19</f>
        <v>173</v>
      </c>
      <c r="F46" s="41">
        <f ca="1">NSG_6_Day_Report!H19</f>
        <v>182</v>
      </c>
      <c r="G46" s="41">
        <f ca="1">NSG_6_Day_Report!I19</f>
        <v>188</v>
      </c>
      <c r="H46" s="14"/>
      <c r="I46" s="15"/>
    </row>
    <row r="47" spans="1:9" ht="15">
      <c r="A47" s="42" t="s">
        <v>109</v>
      </c>
      <c r="B47" s="41">
        <f>SUM(NSG_Supplies!P7:R7)/1000</f>
        <v>93.429000000000002</v>
      </c>
      <c r="C47" s="41">
        <f>SUM(NSG_Supplies!P8:R8)/1000</f>
        <v>143.429</v>
      </c>
      <c r="D47" s="41">
        <f>SUM(NSG_Supplies!P9:R9)/1000</f>
        <v>93.429000000000002</v>
      </c>
      <c r="E47" s="41">
        <f>SUM(NSG_Supplies!P10:R10)/1000</f>
        <v>93.429000000000002</v>
      </c>
      <c r="F47" s="41">
        <f>SUM(NSG_Supplies!P11:R11)/1000</f>
        <v>93.429000000000002</v>
      </c>
      <c r="G47" s="41">
        <f>SUM(NSG_Supplies!P12:R12)/1000</f>
        <v>93.429000000000002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60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33.42</v>
      </c>
      <c r="C50" s="41">
        <f>NSG_Supplies!S8/1000</f>
        <v>33.42</v>
      </c>
      <c r="D50" s="41">
        <f>NSG_Supplies!S9/1000</f>
        <v>33.42</v>
      </c>
      <c r="E50" s="41">
        <f>NSG_Supplies!S10/1000</f>
        <v>33.42</v>
      </c>
      <c r="F50" s="41">
        <f>NSG_Supplies!S11/1000</f>
        <v>33.42</v>
      </c>
      <c r="G50" s="41">
        <f>NSG_Supplies!S12/1000</f>
        <v>33.42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36954</v>
      </c>
      <c r="C52" s="91">
        <f t="shared" si="1"/>
        <v>36955</v>
      </c>
      <c r="D52" s="91">
        <f t="shared" si="1"/>
        <v>36956</v>
      </c>
      <c r="E52" s="91">
        <f t="shared" si="1"/>
        <v>36957</v>
      </c>
      <c r="F52" s="91">
        <f t="shared" si="1"/>
        <v>36958</v>
      </c>
      <c r="G52" s="91">
        <f t="shared" si="1"/>
        <v>36959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0</v>
      </c>
      <c r="E53" s="41">
        <f>PGL_Requirements!P10/1000</f>
        <v>0</v>
      </c>
      <c r="F53" s="41">
        <f>PGL_Requirements!P11/1000</f>
        <v>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189.18</v>
      </c>
      <c r="C54" s="41">
        <f>PGL_Supplies!M8/1000</f>
        <v>250</v>
      </c>
      <c r="D54" s="41">
        <f>PGL_Supplies!M9/1000</f>
        <v>220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745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Monday</v>
      </c>
      <c r="C4" s="1144" t="str">
        <f>Six_Day_Summary!A15</f>
        <v>Tuesday</v>
      </c>
      <c r="D4" s="1144" t="str">
        <f>Six_Day_Summary!A20</f>
        <v>Wednesday</v>
      </c>
      <c r="E4" s="1144" t="str">
        <f>Six_Day_Summary!A25</f>
        <v>Thursday</v>
      </c>
      <c r="F4" s="1145" t="str">
        <f>Six_Day_Summary!A30</f>
        <v>Friday</v>
      </c>
      <c r="G4" s="100"/>
    </row>
    <row r="5" spans="1:8">
      <c r="A5" s="103" t="s">
        <v>312</v>
      </c>
      <c r="B5" s="1146">
        <f>Weather_Input!A6</f>
        <v>36955</v>
      </c>
      <c r="C5" s="1147">
        <f>Weather_Input!A7</f>
        <v>36956</v>
      </c>
      <c r="D5" s="1147">
        <f>Weather_Input!A8</f>
        <v>36957</v>
      </c>
      <c r="E5" s="1147">
        <f>Weather_Input!A9</f>
        <v>36958</v>
      </c>
      <c r="F5" s="1148">
        <f>Weather_Input!A10</f>
        <v>36959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103.211</v>
      </c>
      <c r="C6" s="1149">
        <f>PGL_Supplies!AC9/1000+PGL_Supplies!L9/1000-PGL_Requirements!O9/1000+C15-PGL_Requirements!T9/1000</f>
        <v>52.670999999999999</v>
      </c>
      <c r="D6" s="1149">
        <f>PGL_Supplies!AC10/1000+PGL_Supplies!L10/1000-PGL_Requirements!O10/1000+D15-PGL_Requirements!T10/1000</f>
        <v>52.670999999999999</v>
      </c>
      <c r="E6" s="1149">
        <f>PGL_Supplies!AC11/1000+PGL_Supplies!L11/1000-PGL_Requirements!O11/1000+E15-PGL_Requirements!T11/1000</f>
        <v>52.670999999999999</v>
      </c>
      <c r="F6" s="1150">
        <f>PGL_Supplies!AC12/1000+PGL_Supplies!L12/1000-PGL_Requirements!O12/1000+F15-PGL_Requirements!T12/1000</f>
        <v>52.670999999999999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728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Monday</v>
      </c>
      <c r="C21" s="1159" t="str">
        <f t="shared" si="0"/>
        <v>Tuesday</v>
      </c>
      <c r="D21" s="1159" t="str">
        <f t="shared" si="0"/>
        <v>Wednesday</v>
      </c>
      <c r="E21" s="1159" t="str">
        <f t="shared" si="0"/>
        <v>Thursday</v>
      </c>
      <c r="F21" s="1160" t="str">
        <f t="shared" si="0"/>
        <v>Friday</v>
      </c>
      <c r="G21" s="100"/>
    </row>
    <row r="22" spans="1:7">
      <c r="A22" s="107" t="s">
        <v>312</v>
      </c>
      <c r="B22" s="1161">
        <f t="shared" si="0"/>
        <v>36955</v>
      </c>
      <c r="C22" s="1161">
        <f t="shared" si="0"/>
        <v>36956</v>
      </c>
      <c r="D22" s="1161">
        <f t="shared" si="0"/>
        <v>36957</v>
      </c>
      <c r="E22" s="1161">
        <f t="shared" si="0"/>
        <v>36958</v>
      </c>
      <c r="F22" s="1162">
        <f t="shared" si="0"/>
        <v>36959</v>
      </c>
      <c r="G22" s="100"/>
    </row>
    <row r="23" spans="1:7">
      <c r="A23" s="100" t="s">
        <v>313</v>
      </c>
      <c r="B23" s="1155">
        <f>NSG_Supplies!R8/1000+NSG_Supplies!F8/1000-NSG_Requirements!H8/1000</f>
        <v>124.999</v>
      </c>
      <c r="C23" s="1155">
        <f>NSG_Supplies!R9/1000+NSG_Supplies!F9/1000-NSG_Requirements!H9/1000</f>
        <v>73.429000000000002</v>
      </c>
      <c r="D23" s="1155">
        <f>NSG_Supplies!R10/1000+NSG_Supplies!F10/1000-NSG_Requirements!H10/1000</f>
        <v>73.429000000000002</v>
      </c>
      <c r="E23" s="1155">
        <f>NSG_Supplies!R12/1000+NSG_Supplies!F11/1000-NSG_Requirements!H11/1000</f>
        <v>73.429000000000002</v>
      </c>
      <c r="F23" s="1150">
        <f>NSG_Supplies!R12/1000+NSG_Supplies!F12/1000-NSG_Requirements!H12/1000</f>
        <v>73.429000000000002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36955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250</v>
      </c>
      <c r="H5" s="168"/>
      <c r="I5" s="1021">
        <f>AVERAGE(G5/1.025)</f>
        <v>243.90243902439028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10.416666666666666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778</v>
      </c>
      <c r="C9" s="154">
        <f>NSG_Requirements!B8/1000</f>
        <v>0</v>
      </c>
      <c r="D9" s="60"/>
      <c r="E9" s="450"/>
      <c r="F9" s="1" t="s">
        <v>724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245.45099999999999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761</v>
      </c>
      <c r="C11" s="154">
        <f>PGL_Supplies!Y8/1000</f>
        <v>160.43</v>
      </c>
      <c r="D11" s="790"/>
      <c r="E11" s="1132"/>
      <c r="F11" s="435" t="s">
        <v>379</v>
      </c>
      <c r="G11" s="447">
        <f>G8+G10</f>
        <v>245.45099999999999</v>
      </c>
      <c r="H11" s="434"/>
      <c r="I11" s="436"/>
    </row>
    <row r="12" spans="1:11" ht="15.75" customHeight="1">
      <c r="B12" s="249" t="s">
        <v>758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762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769</v>
      </c>
      <c r="C14" s="448">
        <f>C11+C12-D13</f>
        <v>160.43</v>
      </c>
      <c r="D14" s="438"/>
      <c r="E14" s="440">
        <f>AVERAGE(C14/24)</f>
        <v>6.6845833333333333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767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245.45099999999999</v>
      </c>
      <c r="H15" s="438"/>
      <c r="I15" s="440">
        <f>AVERAGE(G15/24)</f>
        <v>10.227124999999999</v>
      </c>
    </row>
    <row r="16" spans="1:11" ht="15.75" customHeight="1" thickTop="1" thickBot="1">
      <c r="B16" s="172" t="s">
        <v>720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725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10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768</v>
      </c>
      <c r="C21" s="154">
        <f>PGL_Supplies!AA8/1000</f>
        <v>127.804</v>
      </c>
      <c r="D21" s="154" t="s">
        <v>11</v>
      </c>
      <c r="E21" s="161"/>
      <c r="F21" s="172" t="s">
        <v>109</v>
      </c>
      <c r="G21" s="154">
        <f>PGL_Supplies!AD8/1000</f>
        <v>196.36600000000001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127.804</v>
      </c>
      <c r="D22" s="434"/>
      <c r="E22" s="436"/>
      <c r="F22" s="435" t="s">
        <v>379</v>
      </c>
      <c r="G22" s="447">
        <f>G21</f>
        <v>196.36600000000001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127.804</v>
      </c>
      <c r="D25" s="438"/>
      <c r="E25" s="440">
        <f>AVERAGE(C25/24)</f>
        <v>5.325166666666667</v>
      </c>
      <c r="F25" s="552" t="s">
        <v>556</v>
      </c>
      <c r="G25" s="906">
        <f>G22+G23-H24+G20</f>
        <v>196.36600000000001</v>
      </c>
      <c r="H25" s="430"/>
      <c r="I25" s="907">
        <f>AVERAGE(G25/24)</f>
        <v>8.1819166666666678</v>
      </c>
    </row>
    <row r="26" spans="1:9" ht="15.75" customHeight="1" thickTop="1">
      <c r="B26" t="s">
        <v>722</v>
      </c>
    </row>
    <row r="27" spans="1:9" ht="15.75" customHeight="1">
      <c r="B27" t="s">
        <v>721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36955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205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5" customHeight="1">
      <c r="A12" s="933" t="s">
        <v>755</v>
      </c>
      <c r="H12" s="955"/>
      <c r="U12" s="935"/>
      <c r="V12" s="955"/>
    </row>
    <row r="13" spans="1:22" ht="14.45" customHeight="1">
      <c r="A13" s="1051">
        <f>PGL_Supplies!Y8/1000</f>
        <v>160.43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124.999</v>
      </c>
      <c r="N19" s="1059"/>
    </row>
    <row r="20" spans="1:17" ht="17.25" customHeight="1">
      <c r="A20" s="955">
        <f>Billy_Sheet!G15</f>
        <v>245.45099999999999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127.804</v>
      </c>
      <c r="G23" s="933" t="s">
        <v>770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196.36600000000001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1155</v>
      </c>
      <c r="L26" s="933" t="s">
        <v>692</v>
      </c>
      <c r="M26" s="955">
        <f>NSG_Deliveries!C6/1000</f>
        <v>205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1043.0509999999999</v>
      </c>
      <c r="L28" s="936" t="s">
        <v>747</v>
      </c>
      <c r="M28" s="961">
        <f>SUM(J2+K17+K19+H11+H9-M26)</f>
        <v>-1.0000000000047748E-3</v>
      </c>
      <c r="N28" s="961"/>
    </row>
    <row r="29" spans="1:17">
      <c r="A29" s="955">
        <f>PGL_Supplies!M8/1000</f>
        <v>250</v>
      </c>
      <c r="B29" s="955"/>
      <c r="C29" s="936"/>
      <c r="D29" s="1062"/>
      <c r="F29" s="1114">
        <f>PGL_Requirements!A7</f>
        <v>36954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103.211</v>
      </c>
    </row>
    <row r="30" spans="1:17" ht="10.5" customHeight="1">
      <c r="A30" s="938"/>
      <c r="B30" s="955"/>
      <c r="C30" s="936"/>
      <c r="D30" s="955"/>
      <c r="F30" s="1114">
        <f>PGL_Requirements!A8</f>
        <v>36955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-8.7380000000000564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10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746</v>
      </c>
      <c r="E39" s="935" t="s">
        <v>669</v>
      </c>
      <c r="F39" s="935"/>
    </row>
    <row r="40" spans="1:11">
      <c r="A40" s="961">
        <f>SUM(A3:A35)</f>
        <v>1053.0509999999999</v>
      </c>
      <c r="B40" s="949"/>
      <c r="C40" s="948"/>
      <c r="D40" s="949"/>
      <c r="E40" s="949"/>
      <c r="F40" s="1064"/>
      <c r="G40" s="1064">
        <f>SUM(G30:G35)</f>
        <v>10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1043.0509999999999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36954</v>
      </c>
      <c r="B5" s="11">
        <v>32</v>
      </c>
      <c r="C5" s="49">
        <v>18</v>
      </c>
      <c r="D5" s="49">
        <v>12.9</v>
      </c>
      <c r="E5" s="11">
        <v>26.1</v>
      </c>
      <c r="F5" s="11">
        <v>128</v>
      </c>
      <c r="G5" s="11">
        <v>5213</v>
      </c>
      <c r="H5" s="11">
        <v>35</v>
      </c>
      <c r="I5" s="912" t="s">
        <v>794</v>
      </c>
      <c r="J5" s="912" t="s">
        <v>11</v>
      </c>
      <c r="K5" s="11">
        <v>2</v>
      </c>
      <c r="L5" s="11">
        <v>1</v>
      </c>
      <c r="N5" s="15" t="e">
        <f>#REF!&amp;" "&amp;I5</f>
        <v>#REF!</v>
      </c>
      <c r="AE5" s="15">
        <v>1</v>
      </c>
      <c r="AH5" s="15" t="s">
        <v>34</v>
      </c>
    </row>
    <row r="6" spans="1:34" ht="16.5" customHeight="1">
      <c r="A6" s="88">
        <f>A5+1</f>
        <v>36955</v>
      </c>
      <c r="B6" s="11">
        <v>27</v>
      </c>
      <c r="C6" s="49">
        <v>18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4</v>
      </c>
      <c r="L6" s="11" t="s">
        <v>634</v>
      </c>
      <c r="N6" s="15" t="str">
        <f>I6&amp;" "&amp;J6</f>
        <v>MOSTLY CLOUDY AND WINDY. FLURRIES AT TIMES. HIGH IN THE 30S. WINDS 20 TO  30 MPH. CLOUDY AND WINDY AT NIGHT. LOW NEAR 20. NW WINDS 15 TO 25 MPH.</v>
      </c>
      <c r="AE6" s="15">
        <v>1</v>
      </c>
      <c r="AH6" s="15" t="s">
        <v>35</v>
      </c>
    </row>
    <row r="7" spans="1:34" ht="16.5" customHeight="1">
      <c r="A7" s="88">
        <f>A6+1</f>
        <v>36956</v>
      </c>
      <c r="B7" s="11">
        <v>33</v>
      </c>
      <c r="C7" s="49">
        <v>21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1194" t="s">
        <v>797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PARTLY CLOUDY. HIGH IN THE MIDDLE 30S. LOWS IN THE MIDDLE 20S AT NIGHT.  </v>
      </c>
    </row>
    <row r="8" spans="1:34" ht="16.5" customHeight="1">
      <c r="A8" s="88">
        <f>A7+1</f>
        <v>36957</v>
      </c>
      <c r="B8" s="11">
        <v>39</v>
      </c>
      <c r="C8" s="49">
        <v>25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2" t="s">
        <v>798</v>
      </c>
      <c r="J8" s="912" t="s">
        <v>11</v>
      </c>
      <c r="K8" s="11">
        <v>4</v>
      </c>
      <c r="L8" s="11">
        <v>0</v>
      </c>
      <c r="N8" s="15" t="str">
        <f>I8&amp;" "&amp;J8</f>
        <v xml:space="preserve">CLOUDY WITH A CHANCE OF SNOW. HIGH IN THE MIDDLE 30S.  </v>
      </c>
    </row>
    <row r="9" spans="1:34" ht="16.5" customHeight="1">
      <c r="A9" s="88">
        <f>A8+1</f>
        <v>36958</v>
      </c>
      <c r="B9" s="11">
        <v>36</v>
      </c>
      <c r="C9" s="49">
        <v>22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CLOUDY,,, CHACE OF SNOW. LOW AROUND MIDDLE 20S. HIGH IN THE MIDDLE 40S.  </v>
      </c>
    </row>
    <row r="10" spans="1:34" ht="16.5" customHeight="1">
      <c r="A10" s="88">
        <f>A9+1</f>
        <v>36959</v>
      </c>
      <c r="B10" s="11">
        <v>33</v>
      </c>
      <c r="C10" s="49">
        <v>20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2" t="s">
        <v>800</v>
      </c>
      <c r="J10" s="912" t="s">
        <v>11</v>
      </c>
      <c r="K10" s="11">
        <v>4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1058.2909999999999</v>
      </c>
      <c r="C2" s="60"/>
      <c r="D2" s="121" t="s">
        <v>325</v>
      </c>
      <c r="E2" s="426">
        <f>Weather_Input!A5</f>
        <v>36954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779</v>
      </c>
      <c r="E3" s="808">
        <f>PGL_Deliveries!T5/1000</f>
        <v>9.9359999999999999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95.191000000000003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940.11500000000001</v>
      </c>
      <c r="C6" s="169"/>
      <c r="D6" s="59" t="s">
        <v>583</v>
      </c>
      <c r="E6" s="154">
        <f>PGL_Deliveries!P5/1000</f>
        <v>0.91600000000000004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1035.306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755</v>
      </c>
      <c r="B8" s="154">
        <f>PGL_Deliveries!V5/1000</f>
        <v>159.995</v>
      </c>
      <c r="C8" s="632"/>
      <c r="D8" s="117" t="s">
        <v>585</v>
      </c>
      <c r="E8" s="154">
        <f>PGL_Deliveries!N5/1000</f>
        <v>0.02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69.5</v>
      </c>
      <c r="C9" s="64"/>
      <c r="D9" s="117" t="s">
        <v>211</v>
      </c>
      <c r="E9" s="154">
        <f>PGL_Deliveries!Q5/1000</f>
        <v>0.28799999999999998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132.41499999999999</v>
      </c>
      <c r="C10" s="64"/>
      <c r="D10" s="117" t="s">
        <v>213</v>
      </c>
      <c r="E10" s="154">
        <f>PGL_Deliveries!S5/1000</f>
        <v>4.9169999999999998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3.98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247.16800000000001</v>
      </c>
      <c r="C13" s="64"/>
      <c r="D13" s="117" t="s">
        <v>219</v>
      </c>
      <c r="E13" s="154">
        <f>PGL_Deliveries!F5/1000</f>
        <v>2.819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112.196</v>
      </c>
      <c r="C14" s="64"/>
      <c r="D14" s="117" t="s">
        <v>220</v>
      </c>
      <c r="E14" s="154">
        <f>PGL_Deliveries!H5/1000</f>
        <v>1.9E-2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282.06800000000004</v>
      </c>
      <c r="C15" s="64"/>
      <c r="D15" s="59" t="s">
        <v>407</v>
      </c>
      <c r="E15" s="154">
        <f>PGL_Deliveries!K5/1000</f>
        <v>13.486000000000001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5.3170000000000002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27.984000000000002</v>
      </c>
      <c r="C17" s="169" t="s">
        <v>11</v>
      </c>
      <c r="D17" s="1164" t="s">
        <v>222</v>
      </c>
      <c r="E17" s="210">
        <f>PGL_Deliveries!M5/1000</f>
        <v>5.1390000000000002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1035.306</v>
      </c>
      <c r="C18" s="169"/>
      <c r="D18" s="179" t="s">
        <v>592</v>
      </c>
      <c r="E18" s="178">
        <f>SUM(E5:E17)</f>
        <v>32.921000000000006</v>
      </c>
      <c r="F18" s="167"/>
      <c r="H18"/>
      <c r="I18"/>
      <c r="J18"/>
      <c r="K18"/>
      <c r="L18"/>
      <c r="M18"/>
    </row>
    <row r="19" spans="1:13" ht="15">
      <c r="A19" s="444" t="s">
        <v>761</v>
      </c>
      <c r="B19" s="154">
        <f>PGL_Supplies!Y7/1000</f>
        <v>160.43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758</v>
      </c>
      <c r="B20" s="154">
        <f>PGL_Supplies!X7/1000</f>
        <v>0</v>
      </c>
      <c r="C20" s="64"/>
      <c r="D20" s="117" t="s">
        <v>189</v>
      </c>
      <c r="E20" s="154">
        <f>PGL_Deliveries!AF5/1000+B41</f>
        <v>103.35299999999999</v>
      </c>
      <c r="F20" s="171"/>
      <c r="H20"/>
      <c r="I20"/>
      <c r="J20"/>
      <c r="K20"/>
      <c r="L20"/>
      <c r="M20"/>
    </row>
    <row r="21" spans="1:13" ht="16.5" thickBot="1">
      <c r="A21" s="172" t="s">
        <v>762</v>
      </c>
      <c r="C21" s="176">
        <f>PGL_Requirements!J7/1000</f>
        <v>0</v>
      </c>
      <c r="D21" s="631" t="s">
        <v>593</v>
      </c>
      <c r="E21" s="211">
        <f>SUM(E18:E20)</f>
        <v>136.29900000000001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160.43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772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771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127.804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111.366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83.628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743</v>
      </c>
      <c r="E33" s="154">
        <f>PGL_Supplies!M7/1000</f>
        <v>189.18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112.196</v>
      </c>
      <c r="C34" s="64"/>
      <c r="D34" s="60" t="s">
        <v>197</v>
      </c>
      <c r="E34" s="154">
        <f>PGL_Supplies!AC7/1000</f>
        <v>52.670999999999999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189.18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9.8249999999999993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136.29899999999998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103.35299999999999</v>
      </c>
      <c r="C42" s="64"/>
      <c r="D42" s="251" t="s">
        <v>529</v>
      </c>
      <c r="E42" s="809">
        <f>PGL_Supplies!AB7/1000</f>
        <v>245.45099999999999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752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18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26.1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12.9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1.0349999999999999</v>
      </c>
      <c r="C49" s="162"/>
      <c r="D49" s="60" t="s">
        <v>625</v>
      </c>
      <c r="E49" s="154">
        <f>PGL_Deliveries!AJ5/1000</f>
        <v>3.98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185.29300000000001</v>
      </c>
      <c r="C3" s="120"/>
      <c r="D3" s="230" t="s">
        <v>325</v>
      </c>
      <c r="E3" s="429">
        <f>Weather_Input!A5</f>
        <v>36954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102.81399999999999</v>
      </c>
      <c r="C5" s="146"/>
      <c r="D5" s="222" t="s">
        <v>327</v>
      </c>
      <c r="E5" s="217">
        <f>NSG_Deliveries!D5/1000</f>
        <v>59.176000000000002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102.81399999999999</v>
      </c>
      <c r="C8" s="161"/>
      <c r="D8" s="821" t="s">
        <v>649</v>
      </c>
      <c r="E8" s="815">
        <f>NSG_Deliveries!F5/1000</f>
        <v>23.303000000000001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3.3029999999999999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73.429000000000002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29.385000000000002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102.81400000000001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36954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36953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217371</v>
      </c>
      <c r="O6" s="204">
        <v>0</v>
      </c>
      <c r="P6" s="204">
        <v>33107554</v>
      </c>
      <c r="Q6" s="204">
        <v>15045098</v>
      </c>
      <c r="R6" s="204">
        <v>18062456</v>
      </c>
      <c r="S6" s="204">
        <v>0</v>
      </c>
    </row>
    <row r="7" spans="1:19">
      <c r="A7" s="4">
        <f>B1</f>
        <v>36954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159600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33267154</v>
      </c>
      <c r="Q7">
        <f>IF(O7&gt;0,Q6+O7,Q6)</f>
        <v>15045098</v>
      </c>
      <c r="R7">
        <f>IF(P7&gt;Q7,P7-Q7,0)</f>
        <v>18222056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R1" zoomScale="75" workbookViewId="0">
      <selection activeCell="BE5" sqref="BE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738</v>
      </c>
      <c r="BE1" t="s">
        <v>739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735</v>
      </c>
      <c r="BC2" t="s">
        <v>736</v>
      </c>
      <c r="BE2" s="1096">
        <v>1</v>
      </c>
      <c r="BF2" s="198" t="s">
        <v>736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717</v>
      </c>
      <c r="AP3" s="1076"/>
      <c r="AQ3" s="796" t="s">
        <v>718</v>
      </c>
      <c r="AR3" s="1076"/>
      <c r="AS3" s="796" t="s">
        <v>719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733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753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786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715</v>
      </c>
      <c r="AP4" s="3" t="s">
        <v>716</v>
      </c>
      <c r="AQ4" s="3" t="s">
        <v>715</v>
      </c>
      <c r="AR4" s="3" t="s">
        <v>716</v>
      </c>
      <c r="AS4" s="3" t="s">
        <v>715</v>
      </c>
      <c r="AT4" s="3" t="s">
        <v>716</v>
      </c>
      <c r="AU4" s="433" t="s">
        <v>203</v>
      </c>
      <c r="AV4" s="433" t="s">
        <v>751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732</v>
      </c>
      <c r="BC4" s="1099" t="s">
        <v>737</v>
      </c>
      <c r="BE4" s="198" t="s">
        <v>405</v>
      </c>
      <c r="BF4" s="198" t="s">
        <v>734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36954</v>
      </c>
      <c r="B5" s="1">
        <f>(Weather_Input!B5+Weather_Input!C5)/2</f>
        <v>25</v>
      </c>
      <c r="C5" s="913">
        <v>1045000</v>
      </c>
      <c r="D5" s="914">
        <v>95191</v>
      </c>
      <c r="E5" s="914">
        <v>0</v>
      </c>
      <c r="F5" s="914">
        <v>2819</v>
      </c>
      <c r="G5" s="914">
        <v>0</v>
      </c>
      <c r="H5" s="914">
        <v>19</v>
      </c>
      <c r="I5" s="914">
        <v>940115</v>
      </c>
      <c r="J5" s="914">
        <v>0</v>
      </c>
      <c r="K5" s="914">
        <v>13486</v>
      </c>
      <c r="L5" s="914">
        <v>5317</v>
      </c>
      <c r="M5" s="914">
        <v>5139</v>
      </c>
      <c r="N5" s="914">
        <v>20</v>
      </c>
      <c r="O5" s="914">
        <v>0</v>
      </c>
      <c r="P5" s="914">
        <v>916</v>
      </c>
      <c r="Q5" s="914">
        <v>288</v>
      </c>
      <c r="R5" s="914">
        <v>0</v>
      </c>
      <c r="S5" s="919">
        <v>4917</v>
      </c>
      <c r="T5" s="1163">
        <v>9936</v>
      </c>
      <c r="U5" s="913">
        <f>SUM(D5:S5)-T5</f>
        <v>1058291</v>
      </c>
      <c r="V5" s="913">
        <v>159995</v>
      </c>
      <c r="W5" s="11">
        <v>69500</v>
      </c>
      <c r="X5" s="11">
        <v>132415</v>
      </c>
      <c r="Y5" s="11">
        <v>0</v>
      </c>
      <c r="Z5" s="11">
        <v>247168</v>
      </c>
      <c r="AA5" s="11">
        <v>0</v>
      </c>
      <c r="AB5" s="11">
        <v>0</v>
      </c>
      <c r="AC5" s="11">
        <v>0</v>
      </c>
      <c r="AD5" s="11">
        <v>112196</v>
      </c>
      <c r="AE5" s="11">
        <v>0</v>
      </c>
      <c r="AF5" s="11">
        <v>103353</v>
      </c>
      <c r="AG5" s="11">
        <v>0</v>
      </c>
      <c r="AH5" s="11">
        <v>0</v>
      </c>
      <c r="AI5" s="11">
        <v>25</v>
      </c>
      <c r="AJ5" s="11">
        <v>3980</v>
      </c>
      <c r="AK5" s="11">
        <v>0</v>
      </c>
      <c r="AL5" s="11">
        <v>0</v>
      </c>
      <c r="AM5" s="1">
        <v>1035</v>
      </c>
      <c r="AN5" s="1"/>
      <c r="AO5" s="1">
        <v>0</v>
      </c>
      <c r="AP5" s="1">
        <v>27984</v>
      </c>
      <c r="AQ5" s="1">
        <v>0</v>
      </c>
      <c r="AR5" s="1">
        <v>83628</v>
      </c>
      <c r="AS5" s="1">
        <v>9825</v>
      </c>
      <c r="AT5" s="1">
        <v>0</v>
      </c>
      <c r="AU5" s="1">
        <v>0</v>
      </c>
      <c r="AV5" s="1">
        <v>640</v>
      </c>
      <c r="AW5" s="628">
        <v>0</v>
      </c>
      <c r="AX5" s="1">
        <v>189180</v>
      </c>
      <c r="AY5" s="1"/>
      <c r="AZ5" s="1">
        <v>0</v>
      </c>
      <c r="BA5" s="1">
        <v>12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36955</v>
      </c>
      <c r="B6" s="1">
        <f>(Weather_Input!B6+Weather_Input!C6)/2</f>
        <v>22.5</v>
      </c>
      <c r="C6" s="913">
        <v>1155000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36956</v>
      </c>
      <c r="B7" s="932">
        <f>(Weather_Input!B7+Weather_Input!C7)/2</f>
        <v>27</v>
      </c>
      <c r="C7" s="913">
        <v>1075000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36957</v>
      </c>
      <c r="B8" s="932">
        <f>(Weather_Input!B8+Weather_Input!C8)/2</f>
        <v>32</v>
      </c>
      <c r="C8" s="913">
        <v>990000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36958</v>
      </c>
      <c r="B9" s="932">
        <f>(Weather_Input!B9+Weather_Input!C9)/2</f>
        <v>29</v>
      </c>
      <c r="C9" s="913">
        <v>1035000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36959</v>
      </c>
      <c r="B10" s="932">
        <f>(Weather_Input!B10+Weather_Input!C10)/2</f>
        <v>26.5</v>
      </c>
      <c r="C10" s="913">
        <v>1075000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L6" sqref="L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36954</v>
      </c>
      <c r="B5" s="1">
        <f>(Weather_Input!B5+Weather_Input!C5)/2</f>
        <v>25</v>
      </c>
      <c r="C5" s="913">
        <v>182000</v>
      </c>
      <c r="D5" s="913">
        <v>59176</v>
      </c>
      <c r="E5" s="913">
        <v>102814</v>
      </c>
      <c r="F5" s="913">
        <v>23303</v>
      </c>
      <c r="G5" s="913">
        <v>0</v>
      </c>
      <c r="H5" s="921">
        <f>SUM(D5:G5)</f>
        <v>185293</v>
      </c>
      <c r="I5" s="1">
        <v>1020</v>
      </c>
      <c r="J5" s="1" t="s">
        <v>11</v>
      </c>
      <c r="K5" s="1">
        <v>0</v>
      </c>
      <c r="L5" s="1">
        <v>29385</v>
      </c>
      <c r="M5" s="1">
        <v>0</v>
      </c>
      <c r="N5" s="1">
        <v>3303</v>
      </c>
    </row>
    <row r="6" spans="1:14">
      <c r="A6" s="12">
        <f>A5+1</f>
        <v>36955</v>
      </c>
      <c r="B6" s="1">
        <f>(Weather_Input!B6+Weather_Input!C6)/2</f>
        <v>22.5</v>
      </c>
      <c r="C6" s="913">
        <v>205000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36956</v>
      </c>
      <c r="B7" s="932">
        <f>(Weather_Input!B7+Weather_Input!C7)/2</f>
        <v>27</v>
      </c>
      <c r="C7" s="913">
        <v>193000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36957</v>
      </c>
      <c r="B8" s="932">
        <f>(Weather_Input!B8+Weather_Input!C8)/2</f>
        <v>32</v>
      </c>
      <c r="C8" s="913">
        <v>173000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36958</v>
      </c>
      <c r="B9" s="932">
        <f>(Weather_Input!B9+Weather_Input!C9)/2</f>
        <v>29</v>
      </c>
      <c r="C9" s="913">
        <v>182000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36959</v>
      </c>
      <c r="B10" s="932">
        <f>(Weather_Input!B10+Weather_Input!C10)/2</f>
        <v>26.5</v>
      </c>
      <c r="C10" s="913">
        <v>188000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I1" zoomScale="75" workbookViewId="0">
      <selection activeCell="T7" sqref="T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764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730</v>
      </c>
      <c r="J5" s="54" t="s">
        <v>753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777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731</v>
      </c>
      <c r="J6" s="54" t="s">
        <v>763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748</v>
      </c>
      <c r="S6" s="54" t="s">
        <v>103</v>
      </c>
      <c r="T6" s="1078" t="s">
        <v>727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36954</v>
      </c>
      <c r="B7" s="922">
        <v>9825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9936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0</v>
      </c>
      <c r="Q7" s="628">
        <f t="shared" ref="Q7:Q12" si="0">P7*0.015</f>
        <v>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36954</v>
      </c>
    </row>
    <row r="8" spans="1:89" s="1" customFormat="1" ht="12.75">
      <c r="A8" s="834">
        <f>A7+1</f>
        <v>36955</v>
      </c>
      <c r="B8" s="922">
        <v>10000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10000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36955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36956</v>
      </c>
      <c r="B9" s="922">
        <v>10000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36956</v>
      </c>
      <c r="AN9" s="625"/>
    </row>
    <row r="10" spans="1:89" s="1" customFormat="1" ht="12.75">
      <c r="A10" s="834">
        <f>A9+1</f>
        <v>36957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50000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0</v>
      </c>
      <c r="Q10" s="628">
        <f t="shared" si="0"/>
        <v>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36957</v>
      </c>
    </row>
    <row r="11" spans="1:89" s="1" customFormat="1" ht="12.75">
      <c r="A11" s="834">
        <f>A10+1</f>
        <v>36958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50000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0</v>
      </c>
      <c r="Q11" s="628">
        <f t="shared" si="0"/>
        <v>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36958</v>
      </c>
    </row>
    <row r="12" spans="1:89" s="1" customFormat="1" ht="12.75">
      <c r="A12" s="834">
        <f>A11+1</f>
        <v>36959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36959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H1" zoomScale="75" workbookViewId="0">
      <selection activeCell="S7" sqref="S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775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730</v>
      </c>
      <c r="V5" s="3" t="s">
        <v>773</v>
      </c>
      <c r="W5" s="3"/>
      <c r="X5" s="59" t="s">
        <v>753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714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731</v>
      </c>
      <c r="V6" s="54" t="s">
        <v>774</v>
      </c>
      <c r="W6" s="54" t="s">
        <v>11</v>
      </c>
      <c r="X6" s="1128" t="s">
        <v>760</v>
      </c>
      <c r="Y6" s="69" t="s">
        <v>753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36954</v>
      </c>
      <c r="B7" s="628">
        <v>27984</v>
      </c>
      <c r="C7" s="629">
        <v>0</v>
      </c>
      <c r="D7" s="628">
        <v>0</v>
      </c>
      <c r="E7" s="628">
        <v>4500</v>
      </c>
      <c r="F7" s="628">
        <v>0</v>
      </c>
      <c r="G7" s="922">
        <v>0</v>
      </c>
      <c r="H7" s="626">
        <v>0</v>
      </c>
      <c r="I7" s="626">
        <v>3980</v>
      </c>
      <c r="J7" s="626">
        <v>0</v>
      </c>
      <c r="K7" s="925">
        <v>0</v>
      </c>
      <c r="L7" s="627">
        <v>83628</v>
      </c>
      <c r="M7" s="926">
        <v>189180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311201</v>
      </c>
      <c r="W7" s="627">
        <v>0</v>
      </c>
      <c r="X7" s="625">
        <v>0</v>
      </c>
      <c r="Y7" s="925">
        <v>160430</v>
      </c>
      <c r="Z7" s="627">
        <v>70000</v>
      </c>
      <c r="AA7" s="1">
        <v>127804</v>
      </c>
      <c r="AB7" s="625">
        <v>245451</v>
      </c>
      <c r="AC7" s="625">
        <v>52671</v>
      </c>
      <c r="AD7" s="625">
        <v>111366</v>
      </c>
      <c r="AE7" s="925">
        <v>0</v>
      </c>
      <c r="AF7" s="51">
        <f>Weather_Input!A5</f>
        <v>36954</v>
      </c>
      <c r="AI7" s="625"/>
      <c r="AJ7" s="625"/>
      <c r="AK7" s="625"/>
    </row>
    <row r="8" spans="1:37">
      <c r="A8" s="834">
        <f>A7+1</f>
        <v>36955</v>
      </c>
      <c r="B8" s="628">
        <v>19400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50540</v>
      </c>
      <c r="M8" s="926">
        <v>250000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311201</v>
      </c>
      <c r="W8" s="627">
        <v>0</v>
      </c>
      <c r="X8" s="625">
        <v>0</v>
      </c>
      <c r="Y8" s="925">
        <v>160430</v>
      </c>
      <c r="Z8" s="627">
        <v>70000</v>
      </c>
      <c r="AA8" s="1">
        <v>127804</v>
      </c>
      <c r="AB8" s="625">
        <v>245451</v>
      </c>
      <c r="AC8" s="625">
        <v>52671</v>
      </c>
      <c r="AD8" s="625">
        <v>196366</v>
      </c>
      <c r="AE8" s="925">
        <v>0</v>
      </c>
      <c r="AF8" s="834">
        <f>AF7+1</f>
        <v>36955</v>
      </c>
      <c r="AI8" s="625"/>
      <c r="AJ8" s="625"/>
      <c r="AK8" s="625"/>
    </row>
    <row r="9" spans="1:37" s="625" customFormat="1">
      <c r="A9" s="834">
        <f>A8+1</f>
        <v>36956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220000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311201</v>
      </c>
      <c r="W9" s="627">
        <v>0</v>
      </c>
      <c r="X9" s="625">
        <v>0</v>
      </c>
      <c r="Y9" s="925">
        <v>160430</v>
      </c>
      <c r="Z9" s="627">
        <v>70000</v>
      </c>
      <c r="AA9" s="1">
        <v>127804</v>
      </c>
      <c r="AB9" s="625">
        <v>245451</v>
      </c>
      <c r="AC9" s="625">
        <v>52671</v>
      </c>
      <c r="AD9" s="625">
        <v>111366</v>
      </c>
      <c r="AE9" s="925">
        <v>0</v>
      </c>
      <c r="AF9" s="834">
        <f>AF8+1</f>
        <v>36956</v>
      </c>
    </row>
    <row r="10" spans="1:37">
      <c r="A10" s="834">
        <f>A9+1</f>
        <v>36957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311201</v>
      </c>
      <c r="W10" s="627">
        <v>0</v>
      </c>
      <c r="X10" s="625">
        <v>0</v>
      </c>
      <c r="Y10" s="925">
        <v>160430</v>
      </c>
      <c r="Z10" s="627">
        <v>70000</v>
      </c>
      <c r="AA10" s="1">
        <v>127804</v>
      </c>
      <c r="AB10" s="625">
        <v>245451</v>
      </c>
      <c r="AC10" s="625">
        <v>52671</v>
      </c>
      <c r="AD10" s="625">
        <v>111366</v>
      </c>
      <c r="AE10" s="925">
        <v>0</v>
      </c>
      <c r="AF10" s="834">
        <f>AF9+1</f>
        <v>36957</v>
      </c>
      <c r="AI10" s="625"/>
      <c r="AJ10" s="625"/>
      <c r="AK10" s="625"/>
    </row>
    <row r="11" spans="1:37">
      <c r="A11" s="834">
        <f>A10+1</f>
        <v>36958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311201</v>
      </c>
      <c r="W11" s="627">
        <v>0</v>
      </c>
      <c r="X11" s="625">
        <v>0</v>
      </c>
      <c r="Y11" s="925">
        <v>160430</v>
      </c>
      <c r="Z11" s="627">
        <v>70000</v>
      </c>
      <c r="AA11" s="1">
        <v>127804</v>
      </c>
      <c r="AB11" s="625">
        <v>245451</v>
      </c>
      <c r="AC11" s="625">
        <v>52671</v>
      </c>
      <c r="AD11" s="625">
        <v>111366</v>
      </c>
      <c r="AE11" s="925">
        <v>0</v>
      </c>
      <c r="AF11" s="834">
        <f>AF10+1</f>
        <v>36958</v>
      </c>
    </row>
    <row r="12" spans="1:37">
      <c r="A12" s="834">
        <f>A11+1</f>
        <v>36959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311201</v>
      </c>
      <c r="W12" s="627">
        <v>0</v>
      </c>
      <c r="X12" s="625">
        <v>0</v>
      </c>
      <c r="Y12" s="925">
        <v>160430</v>
      </c>
      <c r="Z12" s="627">
        <v>70000</v>
      </c>
      <c r="AA12" s="1">
        <v>127804</v>
      </c>
      <c r="AB12" s="625">
        <v>245451</v>
      </c>
      <c r="AC12" s="625">
        <v>52671</v>
      </c>
      <c r="AD12" s="625">
        <v>111366</v>
      </c>
      <c r="AE12" s="925">
        <v>0</v>
      </c>
      <c r="AF12" s="834">
        <f>AF11+1</f>
        <v>36959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36954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36954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36955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36955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36956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36956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36957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36957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36958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36958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36959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36959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36954</v>
      </c>
      <c r="B7" s="628">
        <v>0</v>
      </c>
      <c r="C7" s="629">
        <v>0</v>
      </c>
      <c r="D7" s="628">
        <v>0</v>
      </c>
      <c r="E7" s="628">
        <v>3303</v>
      </c>
      <c r="F7" s="628">
        <v>29385</v>
      </c>
      <c r="G7" s="628">
        <f>(R7+S7+C7+PGL_Requirements!Y7+PGL_Requirements!Z7-NSG_Requirements!C7)*0.05</f>
        <v>5342.4500000000007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73429</v>
      </c>
      <c r="S7" s="628">
        <v>33420</v>
      </c>
      <c r="T7" s="628">
        <v>0</v>
      </c>
      <c r="U7" s="628">
        <v>0</v>
      </c>
      <c r="V7" s="834">
        <f>Weather_Input!A5</f>
        <v>36954</v>
      </c>
      <c r="W7" s="625"/>
      <c r="X7" s="625"/>
    </row>
    <row r="8" spans="1:24">
      <c r="A8" s="834">
        <f>A7+1</f>
        <v>36955</v>
      </c>
      <c r="B8" s="628">
        <v>0</v>
      </c>
      <c r="C8" s="629">
        <v>0</v>
      </c>
      <c r="D8" s="628">
        <v>0</v>
      </c>
      <c r="E8" s="628">
        <v>0</v>
      </c>
      <c r="F8" s="628">
        <v>1570</v>
      </c>
      <c r="G8" s="628">
        <f>(R8+S8+C8+PGL_Requirements!Y8+PGL_Requirements!Z8-NSG_Requirements!C8)*0.05</f>
        <v>7842.4500000000007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123429</v>
      </c>
      <c r="S8" s="628">
        <v>33420</v>
      </c>
      <c r="T8" s="628">
        <v>0</v>
      </c>
      <c r="U8" s="628">
        <v>0</v>
      </c>
      <c r="V8" s="834">
        <f>V7+1</f>
        <v>36955</v>
      </c>
      <c r="W8" s="625"/>
      <c r="X8" s="625"/>
    </row>
    <row r="9" spans="1:24">
      <c r="A9" s="834">
        <f>A8+1</f>
        <v>36956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5342.4500000000007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73429</v>
      </c>
      <c r="S9" s="628">
        <v>33420</v>
      </c>
      <c r="T9" s="628">
        <v>0</v>
      </c>
      <c r="U9" s="628">
        <v>0</v>
      </c>
      <c r="V9" s="834">
        <f>V8+1</f>
        <v>36956</v>
      </c>
      <c r="W9" s="625"/>
      <c r="X9" s="625"/>
    </row>
    <row r="10" spans="1:24">
      <c r="A10" s="834">
        <f>A9+1</f>
        <v>36957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5342.4500000000007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73429</v>
      </c>
      <c r="S10" s="628">
        <v>33420</v>
      </c>
      <c r="T10" s="628">
        <v>0</v>
      </c>
      <c r="U10" s="628">
        <v>0</v>
      </c>
      <c r="V10" s="834">
        <f>V9+1</f>
        <v>36957</v>
      </c>
      <c r="W10" s="625"/>
      <c r="X10" s="625"/>
    </row>
    <row r="11" spans="1:24">
      <c r="A11" s="834">
        <f>A10+1</f>
        <v>36958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5342.4500000000007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73429</v>
      </c>
      <c r="S11" s="628">
        <v>33420</v>
      </c>
      <c r="T11" s="628">
        <v>0</v>
      </c>
      <c r="U11" s="628">
        <v>0</v>
      </c>
      <c r="V11" s="834">
        <f>V10+1</f>
        <v>36958</v>
      </c>
      <c r="W11" s="625"/>
      <c r="X11" s="625"/>
    </row>
    <row r="12" spans="1:24">
      <c r="A12" s="834">
        <f>A11+1</f>
        <v>36959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5342.4500000000007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73429</v>
      </c>
      <c r="S12" s="628">
        <v>33420</v>
      </c>
      <c r="T12" s="628">
        <v>0</v>
      </c>
      <c r="U12" s="628">
        <v>0</v>
      </c>
      <c r="V12" s="834">
        <f>V11+1</f>
        <v>36959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SUN</v>
      </c>
      <c r="I1" s="839">
        <f>D4</f>
        <v>36954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SUN</v>
      </c>
      <c r="E3" s="844" t="str">
        <f t="shared" si="0"/>
        <v>MON</v>
      </c>
      <c r="F3" s="844" t="str">
        <f t="shared" si="0"/>
        <v>TUE</v>
      </c>
      <c r="G3" s="844" t="str">
        <f t="shared" si="0"/>
        <v>WED</v>
      </c>
      <c r="H3" s="844" t="str">
        <f t="shared" si="0"/>
        <v>THU</v>
      </c>
      <c r="I3" s="845" t="str">
        <f t="shared" si="0"/>
        <v>FRI</v>
      </c>
    </row>
    <row r="4" spans="1:256" ht="15.75" thickBot="1">
      <c r="A4" s="846"/>
      <c r="B4" s="847"/>
      <c r="C4" s="847"/>
      <c r="D4" s="466">
        <f>Weather_Input!A5</f>
        <v>36954</v>
      </c>
      <c r="E4" s="466">
        <f>Weather_Input!A6</f>
        <v>36955</v>
      </c>
      <c r="F4" s="466">
        <f>Weather_Input!A7</f>
        <v>36956</v>
      </c>
      <c r="G4" s="466">
        <f>Weather_Input!A8</f>
        <v>36957</v>
      </c>
      <c r="H4" s="466">
        <f>Weather_Input!A9</f>
        <v>36958</v>
      </c>
      <c r="I4" s="467">
        <f>Weather_Input!A10</f>
        <v>36959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32/18/25</v>
      </c>
      <c r="E5" s="468" t="str">
        <f>TEXT(Weather_Input!B6,"0")&amp;"/"&amp;TEXT(Weather_Input!C6,"0") &amp; "/" &amp; TEXT((Weather_Input!B6+Weather_Input!C6)/2,"0")</f>
        <v>27/18/23</v>
      </c>
      <c r="F5" s="468" t="str">
        <f>TEXT(Weather_Input!B7,"0")&amp;"/"&amp;TEXT(Weather_Input!C7,"0") &amp; "/" &amp; TEXT((Weather_Input!B7+Weather_Input!C7)/2,"0")</f>
        <v>33/21/27</v>
      </c>
      <c r="G5" s="468" t="str">
        <f>TEXT(Weather_Input!B8,"0")&amp;"/"&amp;TEXT(Weather_Input!C8,"0") &amp; "/" &amp; TEXT((Weather_Input!B8+Weather_Input!C8)/2,"0")</f>
        <v>39/25/32</v>
      </c>
      <c r="H5" s="468" t="str">
        <f>TEXT(Weather_Input!B9,"0")&amp;"/"&amp;TEXT(Weather_Input!C9,"0") &amp; "/" &amp; TEXT((Weather_Input!B9+Weather_Input!C9)/2,"0")</f>
        <v>36/22/29</v>
      </c>
      <c r="I5" s="469" t="str">
        <f>TEXT(Weather_Input!B10,"0")&amp;"/"&amp;TEXT(Weather_Input!C10,"0") &amp; "/" &amp; TEXT((Weather_Input!B10+Weather_Input!C10)/2,"0")</f>
        <v>33/20/27</v>
      </c>
    </row>
    <row r="6" spans="1:256" ht="15.75">
      <c r="A6" s="853" t="s">
        <v>139</v>
      </c>
      <c r="B6" s="841"/>
      <c r="C6" s="841"/>
      <c r="D6" s="468">
        <f>PGL_Deliveries!C5/1000</f>
        <v>1045</v>
      </c>
      <c r="E6" s="468">
        <f>PGL_Deliveries!C6/1000</f>
        <v>1155</v>
      </c>
      <c r="F6" s="468">
        <f>PGL_Deliveries!C7/1000</f>
        <v>1075</v>
      </c>
      <c r="G6" s="468">
        <f>PGL_Deliveries!C8/1000</f>
        <v>990</v>
      </c>
      <c r="H6" s="468">
        <f>PGL_Deliveries!C9/1000</f>
        <v>1035</v>
      </c>
      <c r="I6" s="469">
        <f>PGL_Deliveries!C10/1000</f>
        <v>1075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729</v>
      </c>
      <c r="B8" s="841"/>
      <c r="C8" s="841"/>
      <c r="D8" s="468">
        <f>PGL_Requirements!I7/1000</f>
        <v>9.9359999999999999</v>
      </c>
      <c r="E8" s="468">
        <f>PGL_Requirements!I8/1000</f>
        <v>10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0</v>
      </c>
      <c r="H13" s="468">
        <f>PGL_Requirements!P11/1000</f>
        <v>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0</v>
      </c>
      <c r="H14" s="468">
        <f>PGL_Requirements!Q11/1000</f>
        <v>0</v>
      </c>
      <c r="I14" s="469">
        <f>PGL_Requirements!Q12/1000</f>
        <v>3.75</v>
      </c>
    </row>
    <row r="15" spans="1:256" ht="15.75">
      <c r="A15" s="850"/>
      <c r="C15" s="841" t="s">
        <v>748</v>
      </c>
      <c r="D15" s="468">
        <f>PGL_Requirements!R7/1000</f>
        <v>0.64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781</v>
      </c>
      <c r="D16" s="468">
        <f>PGL_Requirements!B7/1000</f>
        <v>9.8249999999999993</v>
      </c>
      <c r="E16" s="468">
        <f>PGL_Requirements!B8/1000</f>
        <v>10</v>
      </c>
      <c r="F16" s="468">
        <f>PGL_Requirements!B9/1000</f>
        <v>10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727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50</v>
      </c>
      <c r="H24" s="468">
        <f>PGL_Requirements!G11/1000</f>
        <v>50</v>
      </c>
      <c r="I24" s="469">
        <f>PGL_Requirements!G12/1000</f>
        <v>0</v>
      </c>
    </row>
    <row r="25" spans="1:10" ht="15.75">
      <c r="A25" s="850" t="s">
        <v>150</v>
      </c>
      <c r="B25" s="841" t="s">
        <v>766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1065.4010000000001</v>
      </c>
      <c r="E30" s="472">
        <f t="shared" si="1"/>
        <v>1175.6600000000001</v>
      </c>
      <c r="F30" s="472">
        <f t="shared" si="1"/>
        <v>1085.6600000000001</v>
      </c>
      <c r="G30" s="472">
        <f t="shared" si="1"/>
        <v>1040.6599999999999</v>
      </c>
      <c r="H30" s="472">
        <f t="shared" si="1"/>
        <v>1085.6600000000001</v>
      </c>
      <c r="I30" s="1177">
        <f t="shared" si="1"/>
        <v>1329.41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189.18</v>
      </c>
      <c r="E33" s="468">
        <f>PGL_Supplies!M8/1000</f>
        <v>250</v>
      </c>
      <c r="F33" s="468">
        <f>PGL_Supplies!M9/1000</f>
        <v>220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83.628</v>
      </c>
      <c r="E37" s="468">
        <f>PGL_Supplies!L8/1000</f>
        <v>50.54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729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776</v>
      </c>
      <c r="B47" s="841" t="s">
        <v>754</v>
      </c>
      <c r="C47" s="841"/>
      <c r="D47" s="468">
        <f>PGL_Supplies!Y7/1000</f>
        <v>160.43</v>
      </c>
      <c r="E47" s="468">
        <f>PGL_Supplies!Y8/1000</f>
        <v>160.43</v>
      </c>
      <c r="F47" s="468">
        <f>PGL_Supplies!Y9/1000</f>
        <v>160.43</v>
      </c>
      <c r="G47" s="468">
        <f>PGL_Supplies!Y10/1000</f>
        <v>160.43</v>
      </c>
      <c r="H47" s="468">
        <f>PGL_Supplies!Y11/1000</f>
        <v>160.43</v>
      </c>
      <c r="I47" s="469">
        <f>PGL_Supplies!Y12/1000</f>
        <v>160.43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127.804</v>
      </c>
      <c r="E49" s="468">
        <f>PGL_Supplies!AA8/1000</f>
        <v>127.804</v>
      </c>
      <c r="F49" s="468">
        <f>PGL_Supplies!AA9/1000</f>
        <v>127.804</v>
      </c>
      <c r="G49" s="468">
        <f>PGL_Supplies!AA10/1000</f>
        <v>127.804</v>
      </c>
      <c r="H49" s="468">
        <f>PGL_Supplies!AA11/1000</f>
        <v>127.804</v>
      </c>
      <c r="I49" s="469">
        <f>PGL_Supplies!AA12/1000</f>
        <v>127.804</v>
      </c>
    </row>
    <row r="50" spans="1:10" ht="15.75">
      <c r="A50" s="853"/>
      <c r="B50" s="841" t="s">
        <v>421</v>
      </c>
      <c r="C50" s="854"/>
      <c r="D50" s="468">
        <f>PGL_Supplies!AB7/1000</f>
        <v>245.45099999999999</v>
      </c>
      <c r="E50" s="468">
        <f>PGL_Supplies!AB8/1000</f>
        <v>245.45099999999999</v>
      </c>
      <c r="F50" s="468">
        <f>PGL_Supplies!AB9/1000</f>
        <v>245.45099999999999</v>
      </c>
      <c r="G50" s="468">
        <f>PGL_Supplies!AB10/1000</f>
        <v>245.45099999999999</v>
      </c>
      <c r="H50" s="468">
        <f>PGL_Supplies!AB11/1000</f>
        <v>245.45099999999999</v>
      </c>
      <c r="I50" s="469">
        <f>PGL_Supplies!AB12/1000</f>
        <v>245.45099999999999</v>
      </c>
    </row>
    <row r="51" spans="1:10" ht="15.75">
      <c r="A51" s="853"/>
      <c r="B51" s="841" t="s">
        <v>141</v>
      </c>
      <c r="C51" s="841"/>
      <c r="D51" s="468">
        <f>PGL_Supplies!AC7/1000</f>
        <v>52.670999999999999</v>
      </c>
      <c r="E51" s="468">
        <f>PGL_Supplies!AC8/1000</f>
        <v>52.670999999999999</v>
      </c>
      <c r="F51" s="468">
        <f>PGL_Supplies!AC9/1000</f>
        <v>52.670999999999999</v>
      </c>
      <c r="G51" s="468">
        <f>PGL_Supplies!AC10/1000</f>
        <v>52.670999999999999</v>
      </c>
      <c r="H51" s="468">
        <f>PGL_Supplies!AC11/1000</f>
        <v>52.670999999999999</v>
      </c>
      <c r="I51" s="469">
        <f>PGL_Supplies!AC12/1000</f>
        <v>52.670999999999999</v>
      </c>
    </row>
    <row r="52" spans="1:10" ht="15.75">
      <c r="A52" s="853"/>
      <c r="B52" s="841" t="s">
        <v>142</v>
      </c>
      <c r="C52" s="841"/>
      <c r="D52" s="468">
        <f>PGL_Supplies!AD7/1000</f>
        <v>111.366</v>
      </c>
      <c r="E52" s="468">
        <f>PGL_Supplies!AD8/1000</f>
        <v>196.36600000000001</v>
      </c>
      <c r="F52" s="468">
        <f>PGL_Supplies!AD9/1000</f>
        <v>111.366</v>
      </c>
      <c r="G52" s="468">
        <f>PGL_Supplies!AD10/1000</f>
        <v>111.366</v>
      </c>
      <c r="H52" s="468">
        <f>PGL_Supplies!AD11/1000</f>
        <v>111.366</v>
      </c>
      <c r="I52" s="469">
        <f>PGL_Supplies!AD12/1000</f>
        <v>111.366</v>
      </c>
    </row>
    <row r="53" spans="1:10" ht="15.75">
      <c r="A53" s="867"/>
      <c r="B53" s="841" t="s">
        <v>158</v>
      </c>
      <c r="C53" s="841"/>
      <c r="D53" s="468">
        <f>PGL_Supplies!I7/1000</f>
        <v>3.98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27.984000000000002</v>
      </c>
      <c r="E55" s="468">
        <f>PGL_Supplies!B8/1000</f>
        <v>19.399999999999999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765</v>
      </c>
      <c r="B56" s="841" t="s">
        <v>754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4.5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1076.9940000000001</v>
      </c>
      <c r="E61" s="478">
        <f t="shared" si="2"/>
        <v>1175.6620000000003</v>
      </c>
      <c r="F61" s="478">
        <f t="shared" si="2"/>
        <v>990.72200000000009</v>
      </c>
      <c r="G61" s="478">
        <f t="shared" si="2"/>
        <v>770.72200000000009</v>
      </c>
      <c r="H61" s="478">
        <f t="shared" si="2"/>
        <v>770.72200000000009</v>
      </c>
      <c r="I61" s="1179">
        <f t="shared" si="2"/>
        <v>770.72200000000009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11.593000000000075</v>
      </c>
      <c r="E62" s="479">
        <f t="shared" si="3"/>
        <v>2.00000000018008E-3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94.937999999999988</v>
      </c>
      <c r="G63" s="480">
        <f t="shared" si="4"/>
        <v>269.93799999999976</v>
      </c>
      <c r="H63" s="480">
        <f t="shared" si="4"/>
        <v>314.93799999999999</v>
      </c>
      <c r="I63" s="1181">
        <f t="shared" si="4"/>
        <v>558.68799999999999</v>
      </c>
    </row>
    <row r="64" spans="1:10" ht="16.5" thickTop="1" thickBot="1">
      <c r="A64" s="1168" t="s">
        <v>780</v>
      </c>
      <c r="B64" s="1169"/>
      <c r="C64" s="1169"/>
      <c r="D64" s="1170">
        <f>PGL_Supplies!V7/1000</f>
        <v>311.20100000000002</v>
      </c>
      <c r="E64" s="1170">
        <f>PGL_Supplies!V8/1000</f>
        <v>311.20100000000002</v>
      </c>
      <c r="F64" s="1170">
        <f>PGL_Supplies!V9/1000</f>
        <v>311.20100000000002</v>
      </c>
      <c r="G64" s="1170">
        <f>PGL_Supplies!V10/1000</f>
        <v>311.20100000000002</v>
      </c>
      <c r="H64" s="1170">
        <f>PGL_Supplies!V11/1000</f>
        <v>311.20100000000002</v>
      </c>
      <c r="I64" s="1171">
        <f>PGL_Supplies!V12/1000</f>
        <v>311.20100000000002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2001-03-05T18:03:11Z</cp:lastPrinted>
  <dcterms:created xsi:type="dcterms:W3CDTF">1997-07-16T16:14:22Z</dcterms:created>
  <dcterms:modified xsi:type="dcterms:W3CDTF">2023-09-10T17:22:46Z</dcterms:modified>
</cp:coreProperties>
</file>